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DF878AE-82AD-45CC-BE06-2B5EB82023A7}" xr6:coauthVersionLast="36" xr6:coauthVersionMax="36" xr10:uidLastSave="{00000000-0000-0000-0000-000000000000}"/>
  <bookViews>
    <workbookView xWindow="1575" yWindow="195" windowWidth="24405" windowHeight="114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7" i="5" l="1"/>
  <c r="C9" i="4"/>
  <c r="J7" i="184"/>
  <c r="L53" i="184" s="1"/>
  <c r="J6" i="184"/>
  <c r="L52" i="184" s="1"/>
  <c r="E15" i="184"/>
  <c r="M68" i="184"/>
  <c r="L68" i="184"/>
  <c r="K68" i="184"/>
  <c r="G16" i="184" s="1"/>
  <c r="J68" i="184"/>
  <c r="I68" i="184"/>
  <c r="G14" i="184" s="1"/>
  <c r="H68" i="184"/>
  <c r="G68" i="184"/>
  <c r="G12" i="184" s="1"/>
  <c r="G19" i="184" s="1"/>
  <c r="K19" i="184"/>
  <c r="J19" i="184"/>
  <c r="I19" i="184"/>
  <c r="L18" i="184"/>
  <c r="H18" i="184"/>
  <c r="L17" i="184"/>
  <c r="G17" i="184"/>
  <c r="L16" i="184"/>
  <c r="L15" i="184"/>
  <c r="G15" i="184"/>
  <c r="L14" i="184"/>
  <c r="L13" i="184"/>
  <c r="G13" i="184"/>
  <c r="L12" i="184"/>
  <c r="L19" i="184"/>
  <c r="H16" i="184"/>
  <c r="I13" i="11"/>
  <c r="G44" i="29"/>
  <c r="F153" i="5"/>
  <c r="F104" i="5"/>
  <c r="H169" i="29"/>
  <c r="H170" i="29"/>
  <c r="E7" i="3"/>
  <c r="E4" i="3"/>
  <c r="C4" i="3"/>
  <c r="F4" i="3"/>
  <c r="F65" i="5"/>
  <c r="C65" i="5"/>
  <c r="I65" i="5"/>
  <c r="G65" i="5"/>
  <c r="G5" i="5"/>
  <c r="F5" i="5"/>
  <c r="C7" i="5"/>
  <c r="K5" i="5"/>
  <c r="J5" i="5"/>
  <c r="B11" i="7" s="1"/>
  <c r="I5" i="5"/>
  <c r="E5" i="5"/>
  <c r="D5" i="5"/>
  <c r="C5" i="5"/>
  <c r="J4" i="3"/>
  <c r="C5" i="29"/>
  <c r="C55" i="29"/>
  <c r="C265" i="5"/>
  <c r="C61" i="29"/>
  <c r="K39" i="3"/>
  <c r="K5" i="3"/>
  <c r="E5" i="3"/>
  <c r="D5" i="3"/>
  <c r="J39" i="3"/>
  <c r="I39" i="3"/>
  <c r="G39" i="3"/>
  <c r="D76" i="36" s="1"/>
  <c r="G5" i="3"/>
  <c r="C30" i="3"/>
  <c r="C5" i="3"/>
  <c r="F36" i="183"/>
  <c r="F35" i="183"/>
  <c r="F34" i="183"/>
  <c r="F33" i="183"/>
  <c r="F32" i="183"/>
  <c r="F31" i="183"/>
  <c r="F30" i="183"/>
  <c r="F29" i="183"/>
  <c r="F28" i="183"/>
  <c r="F27" i="183"/>
  <c r="F26" i="183"/>
  <c r="F25" i="183"/>
  <c r="F24" i="183"/>
  <c r="F23" i="183"/>
  <c r="F22" i="183"/>
  <c r="F21" i="183"/>
  <c r="F20" i="183"/>
  <c r="F37" i="183" s="1"/>
  <c r="G40" i="108" s="1"/>
  <c r="F19" i="183"/>
  <c r="E36" i="183"/>
  <c r="E35" i="183"/>
  <c r="E34" i="183"/>
  <c r="E33" i="183"/>
  <c r="E32" i="183"/>
  <c r="E31" i="183"/>
  <c r="E30" i="183"/>
  <c r="E29" i="183"/>
  <c r="E28" i="183"/>
  <c r="E27" i="183"/>
  <c r="E26" i="183"/>
  <c r="E25" i="183"/>
  <c r="E24" i="183"/>
  <c r="E23" i="183"/>
  <c r="E22" i="183"/>
  <c r="E21" i="183"/>
  <c r="E20" i="183"/>
  <c r="E19" i="183"/>
  <c r="E18" i="183"/>
  <c r="F18" i="183"/>
  <c r="E17" i="183"/>
  <c r="F17" i="183" s="1"/>
  <c r="B7885" i="106"/>
  <c r="D7885" i="106"/>
  <c r="B7884" i="106"/>
  <c r="B7883" i="106"/>
  <c r="B7882" i="106"/>
  <c r="D7882" i="106"/>
  <c r="D7884" i="106"/>
  <c r="D7883" i="106"/>
  <c r="D7836" i="106"/>
  <c r="J88" i="28"/>
  <c r="J85" i="28"/>
  <c r="J90" i="28" s="1"/>
  <c r="B7819" i="106"/>
  <c r="D7819" i="106" s="1"/>
  <c r="B7818" i="106"/>
  <c r="D7818" i="106" s="1"/>
  <c r="D37" i="183"/>
  <c r="A15" i="183"/>
  <c r="D82" i="36"/>
  <c r="E37" i="183"/>
  <c r="D81" i="36"/>
  <c r="E40" i="108"/>
  <c r="B7820" i="106" s="1"/>
  <c r="D7820" i="106" s="1"/>
  <c r="B7821" i="106"/>
  <c r="D7821" i="106" s="1"/>
  <c r="D80" i="36"/>
  <c r="D79" i="36"/>
  <c r="D79" i="34"/>
  <c r="D179" i="34" s="1"/>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D7811" i="106" s="1"/>
  <c r="B7810" i="106"/>
  <c r="B7809" i="106"/>
  <c r="D7809" i="106" s="1"/>
  <c r="B7816" i="106"/>
  <c r="D7816" i="106"/>
  <c r="B7815" i="106"/>
  <c r="D7815" i="106"/>
  <c r="B7814" i="106"/>
  <c r="D7814" i="106"/>
  <c r="B7813" i="106"/>
  <c r="D7813" i="106"/>
  <c r="D7812" i="106"/>
  <c r="D7810" i="106"/>
  <c r="B7808" i="106"/>
  <c r="D7808" i="106"/>
  <c r="B7807" i="106"/>
  <c r="D7807" i="106"/>
  <c r="B7806" i="106"/>
  <c r="B7805" i="106"/>
  <c r="D7805" i="106" s="1"/>
  <c r="B7804" i="106"/>
  <c r="D7804" i="106" s="1"/>
  <c r="B7803" i="106"/>
  <c r="D7803" i="106" s="1"/>
  <c r="B7802" i="106"/>
  <c r="D7802" i="106" s="1"/>
  <c r="B7801" i="106"/>
  <c r="D7801" i="106" s="1"/>
  <c r="D7806" i="106"/>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3" i="36" s="1"/>
  <c r="K356" i="29"/>
  <c r="B3673" i="106"/>
  <c r="K355" i="29"/>
  <c r="B7794" i="106"/>
  <c r="K354" i="29"/>
  <c r="H357" i="29"/>
  <c r="B7237" i="106" s="1"/>
  <c r="L334" i="29"/>
  <c r="K333" i="29"/>
  <c r="B7788" i="106"/>
  <c r="K332" i="29"/>
  <c r="H334" i="29"/>
  <c r="B7789" i="106" s="1"/>
  <c r="K282" i="29"/>
  <c r="B7784" i="106" s="1"/>
  <c r="H160" i="29"/>
  <c r="B7053" i="106" s="1"/>
  <c r="K159" i="29"/>
  <c r="B7782" i="106" s="1"/>
  <c r="K158" i="29"/>
  <c r="K157" i="29"/>
  <c r="B7795" i="106"/>
  <c r="K133" i="29"/>
  <c r="B7776" i="106" s="1"/>
  <c r="B7793" i="106"/>
  <c r="B7791" i="106"/>
  <c r="B7787" i="106"/>
  <c r="B7786" i="106"/>
  <c r="B7785" i="106"/>
  <c r="B7783" i="106"/>
  <c r="B7781" i="106"/>
  <c r="B7779" i="106"/>
  <c r="B7778" i="106"/>
  <c r="B7777" i="106"/>
  <c r="B7775" i="106"/>
  <c r="B7774" i="106"/>
  <c r="K334" i="29"/>
  <c r="K357" i="29"/>
  <c r="B3674" i="106" s="1"/>
  <c r="B7792" i="106"/>
  <c r="K15" i="4"/>
  <c r="J15" i="4"/>
  <c r="B7796" i="106" s="1"/>
  <c r="L357" i="29"/>
  <c r="L285" i="29"/>
  <c r="D285" i="29"/>
  <c r="L160" i="29"/>
  <c r="L137" i="29"/>
  <c r="H137" i="29"/>
  <c r="E137" i="29"/>
  <c r="E139" i="29"/>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s="1"/>
  <c r="C115" i="170"/>
  <c r="C117" i="170" s="1"/>
  <c r="C119" i="170" s="1"/>
  <c r="C123" i="170" s="1"/>
  <c r="C44" i="170"/>
  <c r="C48" i="170" s="1"/>
  <c r="C50" i="170" s="1"/>
  <c r="C52" i="170" s="1"/>
  <c r="C54" i="170"/>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s="1"/>
  <c r="A2" i="170"/>
  <c r="A2" i="173"/>
  <c r="A1" i="171"/>
  <c r="B1" i="179"/>
  <c r="B1" i="175"/>
  <c r="B1" i="177"/>
  <c r="A1" i="170"/>
  <c r="A1" i="173"/>
  <c r="B1" i="174"/>
  <c r="B2" i="175"/>
  <c r="B1" i="176"/>
  <c r="B7773" i="106"/>
  <c r="B61" i="106"/>
  <c r="B52" i="106"/>
  <c r="B51" i="106"/>
  <c r="B49" i="106"/>
  <c r="B48" i="106"/>
  <c r="B47" i="106"/>
  <c r="B46" i="106"/>
  <c r="B45" i="106"/>
  <c r="B44" i="106"/>
  <c r="B43" i="106"/>
  <c r="B42" i="106"/>
  <c r="B41" i="106"/>
  <c r="B50" i="106"/>
  <c r="F160" i="34"/>
  <c r="B7867" i="106" s="1"/>
  <c r="D7867" i="106" s="1"/>
  <c r="B7769" i="106"/>
  <c r="D7769" i="106"/>
  <c r="B7768" i="106"/>
  <c r="B7766" i="106"/>
  <c r="D7766" i="106" s="1"/>
  <c r="B7765" i="106"/>
  <c r="B7764" i="106"/>
  <c r="D7764" i="106"/>
  <c r="B7758" i="106"/>
  <c r="D7758" i="106"/>
  <c r="K6" i="29"/>
  <c r="B7763" i="106"/>
  <c r="D7763" i="106" s="1"/>
  <c r="B7762" i="106"/>
  <c r="D7762" i="106" s="1"/>
  <c r="K12" i="12"/>
  <c r="K23" i="12"/>
  <c r="B7800" i="106"/>
  <c r="J12" i="12"/>
  <c r="J21" i="12"/>
  <c r="J23" i="12" s="1"/>
  <c r="B7729" i="106"/>
  <c r="D7729" i="106" s="1"/>
  <c r="B7734" i="106"/>
  <c r="B7726" i="106"/>
  <c r="D7726" i="106"/>
  <c r="F159" i="34"/>
  <c r="B30" i="36"/>
  <c r="B33" i="36"/>
  <c r="B43" i="36" s="1"/>
  <c r="B56" i="36"/>
  <c r="B66" i="36" s="1"/>
  <c r="B70" i="36" s="1"/>
  <c r="B74" i="36" s="1"/>
  <c r="D73" i="36"/>
  <c r="C188" i="5"/>
  <c r="B4395" i="106"/>
  <c r="D4395" i="106" s="1"/>
  <c r="C198" i="5"/>
  <c r="B5246" i="106"/>
  <c r="D5246" i="106" s="1"/>
  <c r="C204" i="5"/>
  <c r="C209" i="5"/>
  <c r="B4411" i="106"/>
  <c r="D4411" i="106" s="1"/>
  <c r="C217" i="5"/>
  <c r="B5286" i="106" s="1"/>
  <c r="D5286" i="106"/>
  <c r="C221" i="5"/>
  <c r="B5304" i="106"/>
  <c r="D5304" i="106" s="1"/>
  <c r="C252" i="5"/>
  <c r="B7761" i="106"/>
  <c r="D7761" i="106"/>
  <c r="L127" i="29"/>
  <c r="L129" i="29"/>
  <c r="L139" i="29"/>
  <c r="L149" i="29"/>
  <c r="D84" i="36"/>
  <c r="D78" i="36"/>
  <c r="K75" i="29"/>
  <c r="C14" i="4"/>
  <c r="B2558" i="106" s="1"/>
  <c r="D2558" i="106"/>
  <c r="K130" i="29"/>
  <c r="K185" i="29"/>
  <c r="F62" i="34" s="1"/>
  <c r="B7833" i="106" s="1"/>
  <c r="D7833" i="106" s="1"/>
  <c r="K122" i="29"/>
  <c r="F15" i="184" s="1"/>
  <c r="F19" i="184" s="1"/>
  <c r="K67" i="29"/>
  <c r="E17" i="184" s="1"/>
  <c r="H17" i="184" s="1"/>
  <c r="G33" i="108"/>
  <c r="K64" i="29"/>
  <c r="E16" i="184" s="1"/>
  <c r="D31" i="108"/>
  <c r="K59" i="29"/>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c r="B786" i="106"/>
  <c r="D786" i="106"/>
  <c r="B787" i="106"/>
  <c r="D787" i="106"/>
  <c r="B788" i="106"/>
  <c r="D788" i="106"/>
  <c r="D47" i="29"/>
  <c r="B789" i="106"/>
  <c r="D789" i="106" s="1"/>
  <c r="B790" i="106"/>
  <c r="D790" i="106" s="1"/>
  <c r="B791" i="106"/>
  <c r="D791" i="106" s="1"/>
  <c r="D53" i="29"/>
  <c r="B792" i="106" s="1"/>
  <c r="D792" i="106"/>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c r="B964" i="106"/>
  <c r="D964" i="106"/>
  <c r="B965" i="106"/>
  <c r="D965" i="106"/>
  <c r="G53" i="29"/>
  <c r="B966" i="106"/>
  <c r="D966" i="106" s="1"/>
  <c r="B967" i="106"/>
  <c r="D967" i="106" s="1"/>
  <c r="B968" i="106"/>
  <c r="D968" i="106" s="1"/>
  <c r="G57" i="29"/>
  <c r="B969" i="106" s="1"/>
  <c r="D969" i="106"/>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c r="H47" i="29"/>
  <c r="B1022" i="106"/>
  <c r="D1022" i="106" s="1"/>
  <c r="B1023" i="106"/>
  <c r="D1023" i="106" s="1"/>
  <c r="H53" i="29"/>
  <c r="B1024" i="106" s="1"/>
  <c r="D1024" i="106"/>
  <c r="B1025" i="106"/>
  <c r="D1025" i="106"/>
  <c r="B1026" i="106"/>
  <c r="D1026" i="106"/>
  <c r="H57" i="29"/>
  <c r="B1027" i="106"/>
  <c r="D1027" i="106" s="1"/>
  <c r="B1028" i="106"/>
  <c r="D1028" i="106" s="1"/>
  <c r="B1029" i="106"/>
  <c r="D1029" i="106" s="1"/>
  <c r="B1030" i="106"/>
  <c r="D1030" i="106" s="1"/>
  <c r="B1031" i="106"/>
  <c r="D1031" i="106" s="1"/>
  <c r="B1032" i="106"/>
  <c r="D1032" i="106" s="1"/>
  <c r="B1033" i="106"/>
  <c r="D1033" i="106" s="1"/>
  <c r="D1034" i="106"/>
  <c r="H65" i="29"/>
  <c r="B1035" i="106"/>
  <c r="D1035" i="106" s="1"/>
  <c r="B1036" i="106"/>
  <c r="D1036" i="106" s="1"/>
  <c r="B1037" i="106"/>
  <c r="D1037" i="106" s="1"/>
  <c r="B1038" i="106"/>
  <c r="D1038" i="106" s="1"/>
  <c r="B1039" i="106"/>
  <c r="D1039" i="106" s="1"/>
  <c r="D1040" i="106"/>
  <c r="B1041" i="106"/>
  <c r="D1041" i="106"/>
  <c r="D1042" i="106"/>
  <c r="H72" i="29"/>
  <c r="B1043" i="106" s="1"/>
  <c r="D1043" i="106" s="1"/>
  <c r="B1044" i="106"/>
  <c r="D1044" i="106"/>
  <c r="B1046" i="106"/>
  <c r="D1046" i="106"/>
  <c r="H84" i="29"/>
  <c r="B2081" i="106"/>
  <c r="D2081" i="106" s="1"/>
  <c r="H92" i="29"/>
  <c r="K92" i="29" s="1"/>
  <c r="B2089" i="106" s="1"/>
  <c r="D2089" i="106" s="1"/>
  <c r="H100" i="29"/>
  <c r="B7012" i="106" s="1"/>
  <c r="D7012" i="106" s="1"/>
  <c r="B1048" i="106"/>
  <c r="D1048" i="106"/>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c r="D1100" i="106" s="1"/>
  <c r="D1101" i="106"/>
  <c r="D1102" i="106"/>
  <c r="D1103" i="106"/>
  <c r="K12" i="29"/>
  <c r="B1104" i="106"/>
  <c r="D1104" i="106" s="1"/>
  <c r="K14" i="29"/>
  <c r="B1106" i="106" s="1"/>
  <c r="D1106" i="106"/>
  <c r="K15" i="29"/>
  <c r="B1107" i="106"/>
  <c r="D1107" i="106" s="1"/>
  <c r="K36" i="29"/>
  <c r="K37" i="29"/>
  <c r="B1110" i="106"/>
  <c r="D1110" i="106" s="1"/>
  <c r="K38" i="29"/>
  <c r="B1111" i="106" s="1"/>
  <c r="D1111" i="106" s="1"/>
  <c r="K39" i="29"/>
  <c r="B1112" i="106"/>
  <c r="D1112" i="106" s="1"/>
  <c r="K40" i="29"/>
  <c r="B1113" i="106" s="1"/>
  <c r="D1113" i="106" s="1"/>
  <c r="K41" i="29"/>
  <c r="B1114" i="106"/>
  <c r="D1114" i="106" s="1"/>
  <c r="K46" i="29"/>
  <c r="B1118" i="106" s="1"/>
  <c r="D1118" i="106" s="1"/>
  <c r="K49" i="29"/>
  <c r="B1120" i="106"/>
  <c r="D1120" i="106" s="1"/>
  <c r="K55" i="29"/>
  <c r="K60" i="29"/>
  <c r="D27" i="108"/>
  <c r="K61" i="29"/>
  <c r="B1128" i="106"/>
  <c r="D1128" i="106" s="1"/>
  <c r="K62" i="29"/>
  <c r="B1129" i="106" s="1"/>
  <c r="D1129" i="106"/>
  <c r="K63" i="29"/>
  <c r="B1130" i="106"/>
  <c r="D1130" i="106" s="1"/>
  <c r="D1132" i="106"/>
  <c r="K68" i="29"/>
  <c r="G34" i="108"/>
  <c r="K69" i="29"/>
  <c r="B1136" i="106"/>
  <c r="D1136" i="106" s="1"/>
  <c r="K70" i="29"/>
  <c r="B1137" i="106" s="1"/>
  <c r="D1137" i="106" s="1"/>
  <c r="D1138" i="106"/>
  <c r="K71" i="29"/>
  <c r="B1139" i="106" s="1"/>
  <c r="D1139" i="106"/>
  <c r="D1140" i="106"/>
  <c r="K73" i="29"/>
  <c r="B1142" i="106" s="1"/>
  <c r="D1142" i="106" s="1"/>
  <c r="K78" i="29"/>
  <c r="B2973" i="106"/>
  <c r="D2973" i="106" s="1"/>
  <c r="K79" i="29"/>
  <c r="B2974" i="106" s="1"/>
  <c r="D2974" i="106" s="1"/>
  <c r="K80" i="29"/>
  <c r="K81" i="29"/>
  <c r="B2976" i="106" s="1"/>
  <c r="D2976" i="106"/>
  <c r="K82" i="29"/>
  <c r="B2977" i="106"/>
  <c r="D2977" i="106" s="1"/>
  <c r="K83" i="29"/>
  <c r="B2978" i="106" s="1"/>
  <c r="D2978" i="106"/>
  <c r="K93" i="29"/>
  <c r="K94" i="29"/>
  <c r="K95" i="29"/>
  <c r="K96" i="29"/>
  <c r="K97" i="29"/>
  <c r="K98" i="29"/>
  <c r="K99" i="29"/>
  <c r="B7010" i="106"/>
  <c r="D7010" i="106" s="1"/>
  <c r="K101" i="29"/>
  <c r="B7015" i="106" s="1"/>
  <c r="D7015" i="106"/>
  <c r="K105" i="29"/>
  <c r="K106" i="29"/>
  <c r="B1147" i="106" s="1"/>
  <c r="D1147" i="106" s="1"/>
  <c r="D1148" i="106"/>
  <c r="K109" i="29"/>
  <c r="B1149" i="106" s="1"/>
  <c r="D1149" i="106"/>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4" i="106"/>
  <c r="D1224" i="106"/>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B2094" i="106" s="1"/>
  <c r="D2094" i="106" s="1"/>
  <c r="K142" i="29"/>
  <c r="K143" i="29"/>
  <c r="B1284" i="106" s="1"/>
  <c r="D1284" i="106" s="1"/>
  <c r="K146" i="29"/>
  <c r="B1285" i="106"/>
  <c r="D1285" i="106" s="1"/>
  <c r="D1286" i="106"/>
  <c r="K144" i="29"/>
  <c r="B2810" i="106"/>
  <c r="D2810" i="106" s="1"/>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K163" i="29"/>
  <c r="B1324" i="106" s="1"/>
  <c r="D1324" i="106" s="1"/>
  <c r="K164" i="29"/>
  <c r="B1325" i="106"/>
  <c r="D1325" i="106" s="1"/>
  <c r="K169" i="29"/>
  <c r="B1326" i="106" s="1"/>
  <c r="D1326" i="106" s="1"/>
  <c r="K167" i="29"/>
  <c r="B1327" i="106"/>
  <c r="D1327" i="106" s="1"/>
  <c r="K165" i="29"/>
  <c r="B2818" i="106" s="1"/>
  <c r="D2818" i="106" s="1"/>
  <c r="K166" i="29"/>
  <c r="K170" i="29"/>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s="1"/>
  <c r="K180" i="29"/>
  <c r="K188" i="29"/>
  <c r="B3007" i="106" s="1"/>
  <c r="D3007" i="106" s="1"/>
  <c r="K189" i="29"/>
  <c r="B3008" i="106"/>
  <c r="D3008" i="106" s="1"/>
  <c r="K190" i="29"/>
  <c r="K191" i="29"/>
  <c r="B3010" i="106"/>
  <c r="D3010" i="106" s="1"/>
  <c r="K192" i="29"/>
  <c r="K193" i="29"/>
  <c r="B3012" i="106"/>
  <c r="D3012" i="106" s="1"/>
  <c r="K195" i="29"/>
  <c r="B2839" i="106" s="1"/>
  <c r="D2839" i="106" s="1"/>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2" i="106"/>
  <c r="D1432" i="106"/>
  <c r="B1433" i="106"/>
  <c r="D1433" i="106"/>
  <c r="B1434" i="106"/>
  <c r="D1434" i="106"/>
  <c r="D1435" i="106"/>
  <c r="D270" i="29"/>
  <c r="B1436" i="106" s="1"/>
  <c r="D1436" i="106" s="1"/>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c r="D1466" i="106" s="1"/>
  <c r="D1467" i="106"/>
  <c r="D1468" i="106"/>
  <c r="D1469" i="106"/>
  <c r="K221" i="29"/>
  <c r="B1470" i="106"/>
  <c r="D1470" i="106" s="1"/>
  <c r="K222" i="29"/>
  <c r="B1471" i="106" s="1"/>
  <c r="D1471" i="106" s="1"/>
  <c r="K223" i="29"/>
  <c r="B1472" i="106"/>
  <c r="D1472" i="106" s="1"/>
  <c r="K224" i="29"/>
  <c r="B1473" i="106" s="1"/>
  <c r="D1473" i="106" s="1"/>
  <c r="K215" i="29"/>
  <c r="B3390" i="106"/>
  <c r="D3390" i="106" s="1"/>
  <c r="K216" i="29"/>
  <c r="K217" i="29"/>
  <c r="B3391" i="106"/>
  <c r="D3391" i="106" s="1"/>
  <c r="K218" i="29"/>
  <c r="K219" i="29"/>
  <c r="B3065" i="106"/>
  <c r="D3065" i="106" s="1"/>
  <c r="K220" i="29"/>
  <c r="K226" i="29"/>
  <c r="B7080" i="106"/>
  <c r="D7080" i="106" s="1"/>
  <c r="K228" i="29"/>
  <c r="K232" i="29"/>
  <c r="K233" i="29"/>
  <c r="B1476" i="106" s="1"/>
  <c r="D1476" i="106" s="1"/>
  <c r="K234" i="29"/>
  <c r="B1477" i="106"/>
  <c r="D1477" i="106" s="1"/>
  <c r="K235" i="29"/>
  <c r="B1478" i="106" s="1"/>
  <c r="D1478" i="106" s="1"/>
  <c r="K236" i="29"/>
  <c r="B1479" i="106"/>
  <c r="D1479" i="106" s="1"/>
  <c r="K237" i="29"/>
  <c r="B1480" i="106" s="1"/>
  <c r="D1480" i="106" s="1"/>
  <c r="K240" i="29"/>
  <c r="B1482" i="106"/>
  <c r="D1482" i="106" s="1"/>
  <c r="K241" i="29"/>
  <c r="B1483" i="106" s="1"/>
  <c r="D1483" i="106" s="1"/>
  <c r="K242" i="29"/>
  <c r="B1484" i="106"/>
  <c r="D1484" i="106" s="1"/>
  <c r="K245" i="29"/>
  <c r="B1486" i="106" s="1"/>
  <c r="D1486" i="106" s="1"/>
  <c r="K246" i="29"/>
  <c r="B1487" i="106"/>
  <c r="D1487" i="106" s="1"/>
  <c r="K247" i="29"/>
  <c r="K248" i="29"/>
  <c r="B7082" i="106"/>
  <c r="D7082" i="106" s="1"/>
  <c r="K249" i="29"/>
  <c r="K250" i="29"/>
  <c r="B7086" i="106"/>
  <c r="D7086" i="106" s="1"/>
  <c r="K251" i="29"/>
  <c r="K252" i="29"/>
  <c r="B7090" i="106"/>
  <c r="D7090" i="106" s="1"/>
  <c r="K253" i="29"/>
  <c r="K254" i="29"/>
  <c r="B7094" i="106"/>
  <c r="D7094" i="106" s="1"/>
  <c r="K255" i="29"/>
  <c r="K256" i="29"/>
  <c r="B7098" i="106"/>
  <c r="D7098" i="106" s="1"/>
  <c r="K259" i="29"/>
  <c r="B1489" i="106" s="1"/>
  <c r="D1489" i="106" s="1"/>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s="1"/>
  <c r="K292" i="29"/>
  <c r="B1514" i="106"/>
  <c r="D1514" i="106" s="1"/>
  <c r="K290" i="29"/>
  <c r="B2845" i="106" s="1"/>
  <c r="D2845" i="106" s="1"/>
  <c r="K291" i="29"/>
  <c r="B2846" i="106"/>
  <c r="D2846" i="106" s="1"/>
  <c r="D1516" i="106"/>
  <c r="K283" i="29"/>
  <c r="K284" i="29"/>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B3689" i="106"/>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c r="D1951" i="106"/>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s="1"/>
  <c r="F8" i="11"/>
  <c r="B2027" i="106"/>
  <c r="D2027" i="106" s="1"/>
  <c r="F10" i="11"/>
  <c r="B2028" i="106" s="1"/>
  <c r="D2028" i="106" s="1"/>
  <c r="F12" i="11"/>
  <c r="B2029" i="106"/>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c r="D2052" i="106" s="1"/>
  <c r="K12" i="11"/>
  <c r="B2053" i="106" s="1"/>
  <c r="D2053" i="106" s="1"/>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c r="D2105" i="106" s="1"/>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F77" i="4" s="1"/>
  <c r="B3255" i="106"/>
  <c r="D3255" i="106" s="1"/>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c r="E38" i="4"/>
  <c r="E39" i="4"/>
  <c r="B6287" i="106" s="1"/>
  <c r="D6287" i="106" s="1"/>
  <c r="E40" i="4"/>
  <c r="B6288" i="106"/>
  <c r="D6288" i="106" s="1"/>
  <c r="B3275" i="106"/>
  <c r="D3275" i="106" s="1"/>
  <c r="E76" i="4"/>
  <c r="B3276" i="106" s="1"/>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c r="B3567" i="106"/>
  <c r="D3567" i="106"/>
  <c r="B3577" i="106"/>
  <c r="D3577" i="106"/>
  <c r="B3578" i="106"/>
  <c r="D3578" i="106"/>
  <c r="B3579" i="106"/>
  <c r="D3579" i="106"/>
  <c r="B3580" i="106"/>
  <c r="D3580" i="106"/>
  <c r="B3581" i="106"/>
  <c r="D3581" i="106"/>
  <c r="B3582" i="106"/>
  <c r="D3582" i="106"/>
  <c r="B3583" i="106"/>
  <c r="K44" i="4"/>
  <c r="B3584" i="106" s="1"/>
  <c r="D3584" i="106" s="1"/>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c r="D3671" i="106" s="1"/>
  <c r="D3673" i="106"/>
  <c r="K360" i="29"/>
  <c r="B3675" i="106"/>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c r="B6898" i="106"/>
  <c r="D6898" i="106"/>
  <c r="K31" i="29"/>
  <c r="B6899" i="106"/>
  <c r="D6899" i="106" s="1"/>
  <c r="B6900" i="106"/>
  <c r="D6900" i="106" s="1"/>
  <c r="K32" i="29"/>
  <c r="B6901" i="106" s="1"/>
  <c r="D6901" i="106" s="1"/>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7" i="106" s="1"/>
  <c r="D6917" i="106" s="1"/>
  <c r="B6918" i="106"/>
  <c r="D6918" i="106"/>
  <c r="B6919" i="106"/>
  <c r="D6919" i="106"/>
  <c r="B6920" i="106"/>
  <c r="D6920" i="106"/>
  <c r="B6921" i="106"/>
  <c r="D6921" i="106"/>
  <c r="B6922" i="106"/>
  <c r="D6922" i="106"/>
  <c r="B6923" i="106"/>
  <c r="D6923" i="106"/>
  <c r="I47" i="29"/>
  <c r="B6924" i="106"/>
  <c r="D6924" i="106" s="1"/>
  <c r="J47" i="29"/>
  <c r="B6925" i="106" s="1"/>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c r="B7035" i="106"/>
  <c r="D7035" i="106"/>
  <c r="B7036" i="106"/>
  <c r="D7036" i="106"/>
  <c r="I129" i="29"/>
  <c r="B7037" i="106"/>
  <c r="D7037" i="106" s="1"/>
  <c r="J129" i="29"/>
  <c r="B7038" i="106" s="1"/>
  <c r="D7038" i="106"/>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s="1"/>
  <c r="J184" i="29"/>
  <c r="B7064" i="106" s="1"/>
  <c r="D7064" i="106"/>
  <c r="B7065" i="106"/>
  <c r="D7065" i="106"/>
  <c r="B7066" i="106"/>
  <c r="D7066" i="106"/>
  <c r="B7067" i="106"/>
  <c r="D7067" i="106"/>
  <c r="B7069" i="106"/>
  <c r="D7069" i="106"/>
  <c r="I210" i="29"/>
  <c r="B7071" i="106"/>
  <c r="D7071" i="106" s="1"/>
  <c r="J210" i="29"/>
  <c r="B7072" i="106" s="1"/>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E57" i="184"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c r="B7137" i="106"/>
  <c r="D7137" i="106"/>
  <c r="B7138" i="106"/>
  <c r="D7138" i="106"/>
  <c r="B7139" i="106"/>
  <c r="D7139" i="106"/>
  <c r="B7140" i="106"/>
  <c r="D7140" i="106"/>
  <c r="B7141" i="106"/>
  <c r="D7141" i="106"/>
  <c r="B7142" i="106"/>
  <c r="D7142" i="106"/>
  <c r="B7143" i="106"/>
  <c r="D7143" i="106"/>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c r="B7155" i="106"/>
  <c r="D7155" i="106"/>
  <c r="B7156" i="106"/>
  <c r="D7156" i="106"/>
  <c r="B7157" i="106"/>
  <c r="D7157" i="106"/>
  <c r="B7158" i="106"/>
  <c r="D7158" i="106"/>
  <c r="B7159" i="106"/>
  <c r="D7159" i="106"/>
  <c r="B7160" i="106"/>
  <c r="D7160" i="106"/>
  <c r="B7161" i="106"/>
  <c r="D7161" i="106"/>
  <c r="K323" i="29"/>
  <c r="E61" i="184" s="1"/>
  <c r="N61" i="184"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c r="B7173" i="106"/>
  <c r="D7173" i="106"/>
  <c r="B7174" i="106"/>
  <c r="D7174" i="106"/>
  <c r="B7175" i="106"/>
  <c r="D7175" i="106"/>
  <c r="B7176" i="106"/>
  <c r="D7176" i="106"/>
  <c r="B7177" i="106"/>
  <c r="D7177" i="106"/>
  <c r="B7178" i="106"/>
  <c r="D7178" i="106"/>
  <c r="B7179" i="106"/>
  <c r="D7179" i="106"/>
  <c r="K325" i="29"/>
  <c r="E63" i="184" s="1"/>
  <c r="N63" i="184"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c r="B7191" i="106"/>
  <c r="D7191" i="106"/>
  <c r="B7192" i="106"/>
  <c r="D7192" i="106"/>
  <c r="B7193" i="106"/>
  <c r="D7193" i="106"/>
  <c r="B7194" i="106"/>
  <c r="D7194" i="106"/>
  <c r="B7195" i="106"/>
  <c r="D7195" i="106"/>
  <c r="B7196" i="106"/>
  <c r="D7196" i="106"/>
  <c r="B7197" i="106"/>
  <c r="D7197" i="106"/>
  <c r="K327" i="29"/>
  <c r="E65" i="184" s="1"/>
  <c r="N65" i="184" s="1"/>
  <c r="B7198" i="106"/>
  <c r="D7198" i="106" s="1"/>
  <c r="C330" i="29"/>
  <c r="D330" i="29"/>
  <c r="E330" i="29"/>
  <c r="F330" i="29"/>
  <c r="G330" i="29"/>
  <c r="B7203" i="106" s="1"/>
  <c r="D7203" i="106"/>
  <c r="H330" i="29"/>
  <c r="B7204" i="106"/>
  <c r="D7204" i="106" s="1"/>
  <c r="I330" i="29"/>
  <c r="B7205" i="106" s="1"/>
  <c r="D7205" i="106"/>
  <c r="J330" i="29"/>
  <c r="B7206" i="106"/>
  <c r="D7206" i="106" s="1"/>
  <c r="K328" i="29"/>
  <c r="K329" i="29"/>
  <c r="E67" i="184" s="1"/>
  <c r="N67" i="184" s="1"/>
  <c r="B7705" i="106"/>
  <c r="D7705" i="106" s="1"/>
  <c r="B7208" i="106"/>
  <c r="D7208" i="106" s="1"/>
  <c r="K337" i="29"/>
  <c r="B7209" i="106" s="1"/>
  <c r="D7209" i="106" s="1"/>
  <c r="B7210" i="106"/>
  <c r="D7210" i="106"/>
  <c r="K338" i="29"/>
  <c r="B7212" i="106"/>
  <c r="D7212" i="106" s="1"/>
  <c r="K339" i="29"/>
  <c r="B7213" i="106" s="1"/>
  <c r="D7213" i="106" s="1"/>
  <c r="H340" i="29"/>
  <c r="H342" i="29"/>
  <c r="B7226" i="106"/>
  <c r="D7226" i="106" s="1"/>
  <c r="B7227" i="106"/>
  <c r="D7227" i="106" s="1"/>
  <c r="B7228" i="106"/>
  <c r="D7228" i="106" s="1"/>
  <c r="B7229" i="106"/>
  <c r="D7229" i="106" s="1"/>
  <c r="I350" i="29"/>
  <c r="J350" i="29"/>
  <c r="B7231" i="106"/>
  <c r="D7231" i="106" s="1"/>
  <c r="B7232" i="106"/>
  <c r="D7232" i="106" s="1"/>
  <c r="B7233" i="106"/>
  <c r="D7233" i="106" s="1"/>
  <c r="D7236" i="106"/>
  <c r="D7237" i="106"/>
  <c r="B7238" i="106"/>
  <c r="D7238" i="106" s="1"/>
  <c r="B7240" i="106"/>
  <c r="D7240" i="106" s="1"/>
  <c r="B7242" i="106"/>
  <c r="D7242" i="106" s="1"/>
  <c r="A7245" i="106"/>
  <c r="A7246" i="106" s="1"/>
  <c r="A7247" i="106"/>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c r="B9" i="36" s="1"/>
  <c r="B10" i="36"/>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c r="C33" i="34"/>
  <c r="D33" i="34"/>
  <c r="F33" i="34"/>
  <c r="C34" i="34"/>
  <c r="D34" i="34"/>
  <c r="F34" i="34"/>
  <c r="B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c r="D7840" i="106" s="1"/>
  <c r="C104" i="34"/>
  <c r="D104" i="34"/>
  <c r="F104" i="34"/>
  <c r="B7841" i="106" s="1"/>
  <c r="D7841" i="106" s="1"/>
  <c r="C105" i="34"/>
  <c r="D105" i="34"/>
  <c r="F105" i="34"/>
  <c r="D106" i="34"/>
  <c r="D107" i="34"/>
  <c r="D108" i="34"/>
  <c r="C109" i="34"/>
  <c r="D109" i="34"/>
  <c r="F109" i="34"/>
  <c r="C110" i="34"/>
  <c r="D110" i="34"/>
  <c r="F110" i="34"/>
  <c r="B7845" i="106" s="1"/>
  <c r="D7845" i="106"/>
  <c r="C111" i="34"/>
  <c r="D111" i="34"/>
  <c r="F111" i="34"/>
  <c r="B7846" i="106"/>
  <c r="D7846" i="106" s="1"/>
  <c r="D112" i="34"/>
  <c r="C113" i="34"/>
  <c r="D113" i="34"/>
  <c r="F113" i="34"/>
  <c r="C114" i="34"/>
  <c r="D114" i="34"/>
  <c r="F114" i="34"/>
  <c r="B7848" i="106" s="1"/>
  <c r="D7848" i="106"/>
  <c r="C115" i="34"/>
  <c r="D115" i="34"/>
  <c r="F115" i="34"/>
  <c r="B7849" i="106"/>
  <c r="D7849" i="106" s="1"/>
  <c r="C116" i="34"/>
  <c r="D116" i="34"/>
  <c r="F116" i="34"/>
  <c r="B7850" i="106" s="1"/>
  <c r="D7850" i="106"/>
  <c r="C117" i="34"/>
  <c r="D117" i="34"/>
  <c r="F117" i="34"/>
  <c r="B7851" i="106"/>
  <c r="D7851" i="106" s="1"/>
  <c r="C118" i="34"/>
  <c r="D118" i="34"/>
  <c r="F118" i="34"/>
  <c r="B7852" i="106" s="1"/>
  <c r="D7852" i="106"/>
  <c r="C119" i="34"/>
  <c r="D119" i="34"/>
  <c r="F119" i="34"/>
  <c r="B7853" i="106"/>
  <c r="D7853" i="106" s="1"/>
  <c r="C120" i="34"/>
  <c r="D120" i="34"/>
  <c r="F120" i="34"/>
  <c r="B7854" i="106" s="1"/>
  <c r="D7854" i="106"/>
  <c r="C121" i="34"/>
  <c r="D121" i="34"/>
  <c r="F121" i="34"/>
  <c r="C122" i="34"/>
  <c r="F122" i="34"/>
  <c r="B7855" i="106"/>
  <c r="D7855" i="106" s="1"/>
  <c r="C123" i="34"/>
  <c r="D123" i="34"/>
  <c r="F123" i="34"/>
  <c r="D124" i="34"/>
  <c r="D125" i="34"/>
  <c r="D126" i="34"/>
  <c r="D127" i="34"/>
  <c r="D128" i="34"/>
  <c r="C129" i="34"/>
  <c r="D129" i="34"/>
  <c r="F129" i="34"/>
  <c r="B7861" i="106" s="1"/>
  <c r="D7861" i="106"/>
  <c r="C130" i="34"/>
  <c r="D130" i="34"/>
  <c r="F130" i="34"/>
  <c r="B7862" i="106"/>
  <c r="D7862" i="106" s="1"/>
  <c r="C131" i="34"/>
  <c r="D131" i="34"/>
  <c r="F131" i="34"/>
  <c r="B7863" i="106" s="1"/>
  <c r="D7863" i="106"/>
  <c r="C132" i="34"/>
  <c r="D132" i="34"/>
  <c r="F132" i="34"/>
  <c r="B7864" i="106"/>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s="1"/>
  <c r="C162" i="34"/>
  <c r="D162" i="34"/>
  <c r="F162" i="34"/>
  <c r="B7869" i="106" s="1"/>
  <c r="D7869" i="106" s="1"/>
  <c r="C163" i="34"/>
  <c r="D163" i="34"/>
  <c r="F163" i="34"/>
  <c r="B7870" i="106"/>
  <c r="D7870" i="106" s="1"/>
  <c r="C164" i="34"/>
  <c r="D164" i="34"/>
  <c r="F164" i="34"/>
  <c r="B7871" i="106" s="1"/>
  <c r="D7871" i="106" s="1"/>
  <c r="C165" i="34"/>
  <c r="D165" i="34"/>
  <c r="F165" i="34"/>
  <c r="B7872" i="106"/>
  <c r="D7872" i="106" s="1"/>
  <c r="C166" i="34"/>
  <c r="D166" i="34"/>
  <c r="F166" i="34"/>
  <c r="B7873" i="106" s="1"/>
  <c r="D7873" i="106" s="1"/>
  <c r="C169" i="34"/>
  <c r="D169" i="34"/>
  <c r="F169" i="34"/>
  <c r="B7874" i="106"/>
  <c r="D7874" i="106" s="1"/>
  <c r="C170" i="34"/>
  <c r="D170" i="34"/>
  <c r="F170" i="34"/>
  <c r="B7875" i="106" s="1"/>
  <c r="D7875" i="106" s="1"/>
  <c r="C171" i="34"/>
  <c r="D171" i="34"/>
  <c r="F171" i="34"/>
  <c r="B7876" i="106"/>
  <c r="D7876" i="106" s="1"/>
  <c r="F179" i="34"/>
  <c r="F3" i="11"/>
  <c r="B7591" i="106"/>
  <c r="F5" i="11"/>
  <c r="B2026" i="106"/>
  <c r="D2026" i="106" s="1"/>
  <c r="C16" i="11"/>
  <c r="B2013" i="106" s="1"/>
  <c r="D2013" i="106"/>
  <c r="C49" i="8"/>
  <c r="B7817" i="106"/>
  <c r="D7817" i="106" s="1"/>
  <c r="B4" i="7"/>
  <c r="B1744" i="106" s="1"/>
  <c r="D1744" i="106"/>
  <c r="B5" i="7"/>
  <c r="B1745" i="106"/>
  <c r="D1745" i="106" s="1"/>
  <c r="B6" i="7"/>
  <c r="D6" i="7" s="1"/>
  <c r="B1762" i="106"/>
  <c r="D1762" i="106" s="1"/>
  <c r="B7" i="7"/>
  <c r="B1747" i="106" s="1"/>
  <c r="D1747" i="106"/>
  <c r="B8" i="7"/>
  <c r="B1748" i="106"/>
  <c r="D1748" i="106" s="1"/>
  <c r="B9" i="7"/>
  <c r="B1751" i="106" s="1"/>
  <c r="D1751" i="106"/>
  <c r="B10" i="7"/>
  <c r="B1749" i="106"/>
  <c r="D1749" i="106" s="1"/>
  <c r="B1752" i="106"/>
  <c r="D1752" i="106" s="1"/>
  <c r="B12" i="7"/>
  <c r="B1753" i="106" s="1"/>
  <c r="D1753" i="106" s="1"/>
  <c r="B13" i="7"/>
  <c r="B3725" i="106"/>
  <c r="D3725" i="106" s="1"/>
  <c r="B14" i="7"/>
  <c r="B1754" i="106" s="1"/>
  <c r="D1754" i="106"/>
  <c r="B1756" i="106"/>
  <c r="D1756" i="106"/>
  <c r="B16" i="7"/>
  <c r="B3446" i="106"/>
  <c r="D3446" i="106" s="1"/>
  <c r="B17" i="7"/>
  <c r="B4102" i="106" s="1"/>
  <c r="D4102" i="106"/>
  <c r="B18" i="7"/>
  <c r="B4103" i="106"/>
  <c r="D4103" i="106" s="1"/>
  <c r="K5" i="29"/>
  <c r="B1093" i="106" s="1"/>
  <c r="D1093" i="106"/>
  <c r="K10" i="29"/>
  <c r="B3062" i="106"/>
  <c r="D3062" i="106" s="1"/>
  <c r="K13" i="29"/>
  <c r="B1105" i="106" s="1"/>
  <c r="D1105" i="106"/>
  <c r="C33" i="29"/>
  <c r="D33" i="29"/>
  <c r="B778" i="106" s="1"/>
  <c r="D778" i="106" s="1"/>
  <c r="F33" i="29"/>
  <c r="B894" i="106"/>
  <c r="D894" i="106" s="1"/>
  <c r="G33" i="29"/>
  <c r="B952" i="106" s="1"/>
  <c r="D952" i="106" s="1"/>
  <c r="H33" i="29"/>
  <c r="B1010" i="106"/>
  <c r="D1010" i="106" s="1"/>
  <c r="I33" i="29"/>
  <c r="B6902" i="106" s="1"/>
  <c r="D6902" i="106" s="1"/>
  <c r="J33" i="29"/>
  <c r="B6903" i="106"/>
  <c r="D6903" i="106" s="1"/>
  <c r="L33" i="29"/>
  <c r="L114" i="29" s="1"/>
  <c r="L42" i="29"/>
  <c r="K44" i="29"/>
  <c r="B1116" i="106" s="1"/>
  <c r="D1116" i="106" s="1"/>
  <c r="K45" i="29"/>
  <c r="B1117" i="106"/>
  <c r="D1117" i="106" s="1"/>
  <c r="C47" i="29"/>
  <c r="L47" i="29"/>
  <c r="K50" i="29"/>
  <c r="E12" i="184" s="1"/>
  <c r="C53" i="29"/>
  <c r="B734" i="106"/>
  <c r="D734" i="106" s="1"/>
  <c r="L53" i="29"/>
  <c r="L57" i="29"/>
  <c r="L65" i="29"/>
  <c r="L72" i="29"/>
  <c r="L84" i="29"/>
  <c r="L92" i="29"/>
  <c r="L100" i="29"/>
  <c r="L110" i="29"/>
  <c r="L112" i="29"/>
  <c r="L147" i="29"/>
  <c r="L168" i="29"/>
  <c r="L172" i="29" s="1"/>
  <c r="L174" i="29" s="1"/>
  <c r="L184" i="29"/>
  <c r="L194" i="29"/>
  <c r="L196" i="29" s="1"/>
  <c r="L204" i="29"/>
  <c r="L208" i="29" s="1"/>
  <c r="L210" i="29" s="1"/>
  <c r="L229" i="29"/>
  <c r="L238" i="29"/>
  <c r="L243" i="29"/>
  <c r="L257" i="29"/>
  <c r="L261" i="29"/>
  <c r="L270" i="29"/>
  <c r="L277" i="29"/>
  <c r="L293" i="29"/>
  <c r="L303" i="29"/>
  <c r="L310" i="29"/>
  <c r="L330" i="29"/>
  <c r="L340" i="29"/>
  <c r="L350" i="29"/>
  <c r="L352" i="29" s="1"/>
  <c r="L362" i="29"/>
  <c r="L365" i="29" s="1"/>
  <c r="C12" i="5"/>
  <c r="D12" i="5"/>
  <c r="B5334" i="106"/>
  <c r="D5334" i="106" s="1"/>
  <c r="E12" i="5"/>
  <c r="B5513" i="106" s="1"/>
  <c r="D5513" i="106" s="1"/>
  <c r="F12" i="5"/>
  <c r="B5557" i="106"/>
  <c r="D5557" i="106" s="1"/>
  <c r="G12" i="5"/>
  <c r="B5725" i="106" s="1"/>
  <c r="D5725" i="106" s="1"/>
  <c r="H12" i="5"/>
  <c r="B5873" i="106"/>
  <c r="D5873" i="106" s="1"/>
  <c r="I12" i="5"/>
  <c r="B5918" i="106" s="1"/>
  <c r="D5918" i="106" s="1"/>
  <c r="J12" i="5"/>
  <c r="B6301" i="106"/>
  <c r="D6301" i="106" s="1"/>
  <c r="K12" i="5"/>
  <c r="B5987" i="106" s="1"/>
  <c r="D5987" i="106" s="1"/>
  <c r="C18" i="5"/>
  <c r="B5071" i="106"/>
  <c r="D5071" i="106" s="1"/>
  <c r="D18" i="5"/>
  <c r="B5339" i="106" s="1"/>
  <c r="D5339" i="106" s="1"/>
  <c r="E18" i="5"/>
  <c r="B5518" i="106"/>
  <c r="D5518" i="106" s="1"/>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s="1"/>
  <c r="C82" i="5"/>
  <c r="B5102" i="106"/>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c r="D5125" i="106" s="1"/>
  <c r="D114" i="5"/>
  <c r="B5360" i="106" s="1"/>
  <c r="D5360" i="106" s="1"/>
  <c r="F114" i="5"/>
  <c r="B5592" i="106"/>
  <c r="D5592" i="106" s="1"/>
  <c r="G114" i="5"/>
  <c r="B5741" i="106" s="1"/>
  <c r="D5741" i="106" s="1"/>
  <c r="C122" i="5"/>
  <c r="B5132" i="106"/>
  <c r="D5132" i="106" s="1"/>
  <c r="D122" i="5"/>
  <c r="B5367" i="106" s="1"/>
  <c r="D5367" i="106" s="1"/>
  <c r="E122" i="5"/>
  <c r="B5534" i="106"/>
  <c r="D5534" i="106" s="1"/>
  <c r="F122" i="5"/>
  <c r="B5599" i="106" s="1"/>
  <c r="D5599" i="106" s="1"/>
  <c r="F132" i="5"/>
  <c r="B5614" i="106"/>
  <c r="D5614" i="106" s="1"/>
  <c r="F155" i="5"/>
  <c r="F169" i="5" s="1"/>
  <c r="G122" i="5"/>
  <c r="B5748" i="106"/>
  <c r="D5748" i="106" s="1"/>
  <c r="H122" i="5"/>
  <c r="B5893" i="106" s="1"/>
  <c r="D5893" i="106"/>
  <c r="J122" i="5"/>
  <c r="B6357" i="106"/>
  <c r="D6357" i="106" s="1"/>
  <c r="K122" i="5"/>
  <c r="B6006" i="106" s="1"/>
  <c r="D6006" i="106"/>
  <c r="C132" i="5"/>
  <c r="B5147" i="106"/>
  <c r="D5147" i="106" s="1"/>
  <c r="D132" i="5"/>
  <c r="B5369" i="106" s="1"/>
  <c r="D5369" i="106"/>
  <c r="C141" i="5"/>
  <c r="B5161" i="106"/>
  <c r="D5161" i="106" s="1"/>
  <c r="D141" i="5"/>
  <c r="B5383" i="106" s="1"/>
  <c r="D5383" i="106"/>
  <c r="G141" i="5"/>
  <c r="G145" i="5"/>
  <c r="B5756" i="106" s="1"/>
  <c r="D5756" i="106" s="1"/>
  <c r="G155" i="5"/>
  <c r="B4357" i="106"/>
  <c r="D4357" i="106" s="1"/>
  <c r="C145" i="5"/>
  <c r="B5165" i="106" s="1"/>
  <c r="D5165" i="106" s="1"/>
  <c r="C155" i="5"/>
  <c r="B5178" i="106"/>
  <c r="D5178" i="106" s="1"/>
  <c r="D155" i="5"/>
  <c r="B5394" i="106" s="1"/>
  <c r="D5394" i="106" s="1"/>
  <c r="E169" i="5"/>
  <c r="H169" i="5"/>
  <c r="B5899" i="106" s="1"/>
  <c r="D5899" i="106"/>
  <c r="I169" i="5"/>
  <c r="B4363" i="106"/>
  <c r="D4363" i="106" s="1"/>
  <c r="J169" i="5"/>
  <c r="B6396" i="106" s="1"/>
  <c r="D6396" i="106"/>
  <c r="K169" i="5"/>
  <c r="B5000" i="106"/>
  <c r="D5000" i="106" s="1"/>
  <c r="C175" i="5"/>
  <c r="B5225" i="106" s="1"/>
  <c r="D5225" i="106"/>
  <c r="D175" i="5"/>
  <c r="B5423" i="106"/>
  <c r="D5423" i="106" s="1"/>
  <c r="E175" i="5"/>
  <c r="B4372" i="106" s="1"/>
  <c r="D4372" i="106"/>
  <c r="F175" i="5"/>
  <c r="B5655" i="106"/>
  <c r="D5655" i="106" s="1"/>
  <c r="G175" i="5"/>
  <c r="B5780" i="106" s="1"/>
  <c r="D5780" i="106"/>
  <c r="H175" i="5"/>
  <c r="I175" i="5"/>
  <c r="B4373" i="106" s="1"/>
  <c r="D4373" i="106" s="1"/>
  <c r="J175" i="5"/>
  <c r="B6400" i="106"/>
  <c r="D6400" i="106" s="1"/>
  <c r="K175" i="5"/>
  <c r="B4951" i="106" s="1"/>
  <c r="D4951" i="106" s="1"/>
  <c r="C181" i="5"/>
  <c r="B5232" i="106"/>
  <c r="D5232" i="106" s="1"/>
  <c r="D181" i="5"/>
  <c r="B5425" i="106" s="1"/>
  <c r="D5425" i="106" s="1"/>
  <c r="F181" i="5"/>
  <c r="B5658" i="106"/>
  <c r="D5658" i="106" s="1"/>
  <c r="G181" i="5"/>
  <c r="B5784" i="106" s="1"/>
  <c r="D5784" i="106" s="1"/>
  <c r="H181" i="5"/>
  <c r="B5908" i="106"/>
  <c r="D5908" i="106" s="1"/>
  <c r="K181" i="5"/>
  <c r="B6016" i="106" s="1"/>
  <c r="D6016" i="106" s="1"/>
  <c r="D188" i="5"/>
  <c r="F188" i="5"/>
  <c r="G188" i="5"/>
  <c r="G198" i="5"/>
  <c r="B6409" i="106" s="1"/>
  <c r="D6409" i="106"/>
  <c r="B5260" i="106"/>
  <c r="D5260" i="106"/>
  <c r="D204" i="5"/>
  <c r="B5444" i="106"/>
  <c r="D5444" i="106" s="1"/>
  <c r="F204" i="5"/>
  <c r="B5677" i="106" s="1"/>
  <c r="D5677" i="106"/>
  <c r="G204" i="5"/>
  <c r="B5803" i="106"/>
  <c r="D5803" i="106" s="1"/>
  <c r="D209" i="5"/>
  <c r="B4412" i="106" s="1"/>
  <c r="D4412" i="106"/>
  <c r="F209" i="5"/>
  <c r="B4413" i="106"/>
  <c r="D4413" i="106" s="1"/>
  <c r="G209" i="5"/>
  <c r="B4414" i="106" s="1"/>
  <c r="D4414" i="106"/>
  <c r="D217" i="5"/>
  <c r="B5470" i="106"/>
  <c r="D5470" i="106" s="1"/>
  <c r="F217" i="5"/>
  <c r="B5703" i="106" s="1"/>
  <c r="D5703" i="106"/>
  <c r="G217" i="5"/>
  <c r="B5829" i="106"/>
  <c r="D5829" i="106" s="1"/>
  <c r="D221" i="5"/>
  <c r="B5488" i="106" s="1"/>
  <c r="D5488" i="106"/>
  <c r="G221" i="5"/>
  <c r="B5847" i="106"/>
  <c r="D5847" i="106" s="1"/>
  <c r="G252" i="5"/>
  <c r="B6837" i="106" s="1"/>
  <c r="D6837" i="106"/>
  <c r="B6833" i="106"/>
  <c r="D6833" i="106"/>
  <c r="D252" i="5"/>
  <c r="B6834" i="106"/>
  <c r="D6834" i="106" s="1"/>
  <c r="E252" i="5"/>
  <c r="F252" i="5"/>
  <c r="B6836" i="106"/>
  <c r="D6836" i="106" s="1"/>
  <c r="H252" i="5"/>
  <c r="H266" i="5" s="1"/>
  <c r="B4441" i="106" s="1"/>
  <c r="D4441" i="106" s="1"/>
  <c r="J252" i="5"/>
  <c r="J266" i="5" s="1"/>
  <c r="B7041" i="106" s="1"/>
  <c r="D7041" i="106" s="1"/>
  <c r="K252" i="5"/>
  <c r="K266" i="5" s="1"/>
  <c r="B4442" i="106" s="1"/>
  <c r="D4442" i="106" s="1"/>
  <c r="G14" i="4"/>
  <c r="B2609" i="106" s="1"/>
  <c r="D2609" i="106" s="1"/>
  <c r="D14" i="4"/>
  <c r="B2570" i="106"/>
  <c r="D2570" i="106" s="1"/>
  <c r="D7" i="118"/>
  <c r="D8" i="118"/>
  <c r="D9" i="118"/>
  <c r="H14" i="118"/>
  <c r="H19" i="118"/>
  <c r="H24" i="118"/>
  <c r="H28" i="118"/>
  <c r="H33" i="118"/>
  <c r="D22" i="37"/>
  <c r="L22" i="37"/>
  <c r="D24" i="37"/>
  <c r="B4270" i="106" s="1"/>
  <c r="D4270" i="106"/>
  <c r="B5752" i="106"/>
  <c r="D5752" i="106"/>
  <c r="D7826" i="106"/>
  <c r="B1124" i="106"/>
  <c r="D1124" i="106"/>
  <c r="E33" i="108"/>
  <c r="B1126" i="106"/>
  <c r="D1126" i="106" s="1"/>
  <c r="J22" i="37"/>
  <c r="L342" i="29"/>
  <c r="F19" i="7"/>
  <c r="B1807" i="106"/>
  <c r="D1807" i="106" s="1"/>
  <c r="F46" i="34"/>
  <c r="F38" i="34"/>
  <c r="B7830" i="106"/>
  <c r="D7830" i="106" s="1"/>
  <c r="E38" i="108"/>
  <c r="E35" i="108"/>
  <c r="G29" i="108"/>
  <c r="F28" i="108"/>
  <c r="F27" i="108"/>
  <c r="E26" i="108"/>
  <c r="D54" i="36"/>
  <c r="H112" i="29"/>
  <c r="B7018" i="106"/>
  <c r="D7018" i="106" s="1"/>
  <c r="J77" i="4"/>
  <c r="B6262" i="106" s="1"/>
  <c r="D6262" i="106" s="1"/>
  <c r="B3647" i="106"/>
  <c r="D3647" i="106"/>
  <c r="K76" i="4"/>
  <c r="B3586" i="106"/>
  <c r="D3586" i="106" s="1"/>
  <c r="L13" i="11"/>
  <c r="B2060" i="106" s="1"/>
  <c r="D2060" i="106" s="1"/>
  <c r="K184" i="29"/>
  <c r="F13" i="4"/>
  <c r="B2596" i="106" s="1"/>
  <c r="D2596" i="106"/>
  <c r="G210" i="29"/>
  <c r="L5" i="11"/>
  <c r="B2056" i="106" s="1"/>
  <c r="D2056" i="106" s="1"/>
  <c r="J352" i="29"/>
  <c r="J367" i="29"/>
  <c r="B7245" i="106" s="1"/>
  <c r="D7245" i="106"/>
  <c r="J41" i="3"/>
  <c r="D51" i="36"/>
  <c r="D6103" i="106"/>
  <c r="E29" i="108"/>
  <c r="B1308" i="106"/>
  <c r="D1308" i="106"/>
  <c r="E174" i="29"/>
  <c r="B1309" i="106"/>
  <c r="D1309" i="106" s="1"/>
  <c r="D17" i="7"/>
  <c r="B4104" i="106" s="1"/>
  <c r="D4104" i="106"/>
  <c r="D9" i="7"/>
  <c r="B1767" i="106"/>
  <c r="D1767" i="106" s="1"/>
  <c r="D11" i="37"/>
  <c r="H29" i="118"/>
  <c r="K28" i="118"/>
  <c r="O27" i="118" s="1"/>
  <c r="O29" i="118"/>
  <c r="N22" i="3"/>
  <c r="B283" i="106"/>
  <c r="D283" i="106" s="1"/>
  <c r="F14" i="4"/>
  <c r="B2597" i="106"/>
  <c r="D2597" i="106" s="1"/>
  <c r="B7727" i="106"/>
  <c r="D7727" i="106" s="1"/>
  <c r="F49" i="34"/>
  <c r="F44" i="34"/>
  <c r="G38" i="108"/>
  <c r="D37" i="108"/>
  <c r="E30" i="108"/>
  <c r="F37" i="108"/>
  <c r="E28" i="108"/>
  <c r="F26" i="108"/>
  <c r="D26" i="108"/>
  <c r="D41" i="108" s="1"/>
  <c r="E43" i="108" s="1"/>
  <c r="D31" i="36"/>
  <c r="B7235" i="106"/>
  <c r="D7235" i="106" s="1"/>
  <c r="B4087" i="106"/>
  <c r="D4087" i="106" s="1"/>
  <c r="K41" i="3"/>
  <c r="B3568" i="106" s="1"/>
  <c r="D3568" i="106" s="1"/>
  <c r="L15" i="11"/>
  <c r="B3459" i="106"/>
  <c r="D3459" i="106" s="1"/>
  <c r="B3254" i="106"/>
  <c r="D3254" i="106" s="1"/>
  <c r="I24" i="12"/>
  <c r="B1996" i="106" s="1"/>
  <c r="D1996" i="106" s="1"/>
  <c r="B3649" i="106"/>
  <c r="D3649" i="106"/>
  <c r="G367" i="29"/>
  <c r="D5" i="4"/>
  <c r="B3406" i="106" s="1"/>
  <c r="D3406" i="106" s="1"/>
  <c r="L312" i="29"/>
  <c r="I342" i="29"/>
  <c r="F76" i="34" s="1"/>
  <c r="B7887" i="106" s="1"/>
  <c r="D7887" i="106" s="1"/>
  <c r="K350" i="29"/>
  <c r="F21" i="8"/>
  <c r="B1879" i="106" s="1"/>
  <c r="D1879" i="106" s="1"/>
  <c r="K24" i="12"/>
  <c r="F41" i="34"/>
  <c r="F35" i="34"/>
  <c r="B7827" i="106" s="1"/>
  <c r="D7827" i="106" s="1"/>
  <c r="D3583" i="106"/>
  <c r="F66" i="34"/>
  <c r="F45" i="34"/>
  <c r="K285" i="29"/>
  <c r="B3724" i="106" s="1"/>
  <c r="D3724" i="106" s="1"/>
  <c r="B1410" i="106"/>
  <c r="D1410" i="106"/>
  <c r="B1329" i="106"/>
  <c r="D1329" i="106"/>
  <c r="F61" i="34"/>
  <c r="D12" i="7"/>
  <c r="B1769" i="106" s="1"/>
  <c r="D1769" i="106" s="1"/>
  <c r="B1746" i="106"/>
  <c r="D1746" i="106"/>
  <c r="F128" i="34"/>
  <c r="B7860" i="106"/>
  <c r="D7860" i="106" s="1"/>
  <c r="D13" i="7"/>
  <c r="B3726" i="106" s="1"/>
  <c r="D3726" i="106" s="1"/>
  <c r="I170" i="5"/>
  <c r="B4216" i="106"/>
  <c r="D4216" i="106" s="1"/>
  <c r="B5096" i="106"/>
  <c r="D5096" i="106" s="1"/>
  <c r="D4" i="7"/>
  <c r="B1760" i="106" s="1"/>
  <c r="D1760" i="106" s="1"/>
  <c r="F107" i="34"/>
  <c r="B7843" i="106"/>
  <c r="D7843" i="106" s="1"/>
  <c r="G5" i="4"/>
  <c r="B3409" i="106" s="1"/>
  <c r="D3409" i="106" s="1"/>
  <c r="F125" i="34"/>
  <c r="B7857" i="106"/>
  <c r="D7857" i="106" s="1"/>
  <c r="C109" i="5"/>
  <c r="B5121" i="106" s="1"/>
  <c r="D5121" i="106" s="1"/>
  <c r="I267" i="5"/>
  <c r="B4435" i="106" s="1"/>
  <c r="D4435" i="106" s="1"/>
  <c r="B4396" i="106"/>
  <c r="D4396" i="106"/>
  <c r="B5066" i="106"/>
  <c r="D5066" i="106" s="1"/>
  <c r="F112" i="34"/>
  <c r="B7847" i="106" s="1"/>
  <c r="D7847" i="106" s="1"/>
  <c r="F124" i="34"/>
  <c r="B7856" i="106" s="1"/>
  <c r="D7856" i="106" s="1"/>
  <c r="D5" i="7"/>
  <c r="B1761" i="106"/>
  <c r="D1761" i="106" s="1"/>
  <c r="K170" i="5"/>
  <c r="K6" i="4" s="1"/>
  <c r="B3570" i="106" s="1"/>
  <c r="D3570" i="106" s="1"/>
  <c r="J267" i="5"/>
  <c r="B7054" i="106" s="1"/>
  <c r="D7054" i="106" s="1"/>
  <c r="D15" i="7"/>
  <c r="B1772" i="106"/>
  <c r="D1772" i="106" s="1"/>
  <c r="K267" i="5"/>
  <c r="B6022" i="106" s="1"/>
  <c r="D6022" i="106" s="1"/>
  <c r="F127" i="34"/>
  <c r="B7859" i="106"/>
  <c r="D7859" i="106" s="1"/>
  <c r="H170" i="5"/>
  <c r="B5906" i="106" s="1"/>
  <c r="D5906" i="106" s="1"/>
  <c r="D11" i="7"/>
  <c r="B1768" i="106"/>
  <c r="D1768" i="106" s="1"/>
  <c r="H109" i="5"/>
  <c r="B6025" i="106" s="1"/>
  <c r="D6025" i="106" s="1"/>
  <c r="D7" i="7"/>
  <c r="B1763" i="106"/>
  <c r="D1763" i="106" s="1"/>
  <c r="F133" i="34"/>
  <c r="B7865" i="106" s="1"/>
  <c r="D7865" i="106" s="1"/>
  <c r="C41" i="3"/>
  <c r="B93" i="106" s="1"/>
  <c r="D93" i="106" s="1"/>
  <c r="H295" i="29"/>
  <c r="B1454" i="106"/>
  <c r="D1454" i="106" s="1"/>
  <c r="B4156" i="106"/>
  <c r="D4156" i="106" s="1"/>
  <c r="H172" i="29"/>
  <c r="H174" i="29" s="1"/>
  <c r="B1318" i="106" s="1"/>
  <c r="D1318" i="106" s="1"/>
  <c r="B2823" i="106"/>
  <c r="D2823" i="106" s="1"/>
  <c r="H352" i="29"/>
  <c r="B3656" i="106" s="1"/>
  <c r="D3656" i="106" s="1"/>
  <c r="K168" i="29"/>
  <c r="K172" i="29"/>
  <c r="E102" i="29"/>
  <c r="B2790" i="106"/>
  <c r="D2790" i="106" s="1"/>
  <c r="J342" i="29"/>
  <c r="B7223" i="106" s="1"/>
  <c r="D7223" i="106" s="1"/>
  <c r="G342" i="29"/>
  <c r="F75" i="34" s="1"/>
  <c r="B7886" i="106" s="1"/>
  <c r="D7886" i="106" s="1"/>
  <c r="B7220" i="106"/>
  <c r="D7220" i="106" s="1"/>
  <c r="K137" i="29"/>
  <c r="K84" i="29"/>
  <c r="B2088" i="106"/>
  <c r="D2088" i="106" s="1"/>
  <c r="B79" i="36"/>
  <c r="B77" i="36"/>
  <c r="D18" i="7"/>
  <c r="B4105" i="106" s="1"/>
  <c r="D4105" i="106" s="1"/>
  <c r="F106" i="34"/>
  <c r="B7842" i="106"/>
  <c r="D7842" i="106" s="1"/>
  <c r="F108" i="34"/>
  <c r="B7844" i="106" s="1"/>
  <c r="D7844" i="106" s="1"/>
  <c r="J109" i="5"/>
  <c r="J4" i="4" s="1"/>
  <c r="J170" i="5"/>
  <c r="F96" i="34"/>
  <c r="B7838" i="106" s="1"/>
  <c r="D7838" i="106" s="1"/>
  <c r="F126" i="34"/>
  <c r="B7858" i="106"/>
  <c r="D7858" i="106" s="1"/>
  <c r="D14" i="7"/>
  <c r="B1770" i="106" s="1"/>
  <c r="D1770" i="106" s="1"/>
  <c r="N23" i="3"/>
  <c r="B284" i="106"/>
  <c r="D284" i="106" s="1"/>
  <c r="F5" i="4"/>
  <c r="B3408" i="106" s="1"/>
  <c r="D3408" i="106" s="1"/>
  <c r="C5" i="4"/>
  <c r="B3405" i="106"/>
  <c r="D3405" i="106" s="1"/>
  <c r="B6840" i="106"/>
  <c r="D6840" i="106" s="1"/>
  <c r="B6839" i="106"/>
  <c r="D6839" i="106" s="1"/>
  <c r="B6838" i="106"/>
  <c r="D6838" i="106" s="1"/>
  <c r="D169" i="5"/>
  <c r="B5412" i="106" s="1"/>
  <c r="D5412" i="106" s="1"/>
  <c r="F16" i="11"/>
  <c r="B2031" i="106" s="1"/>
  <c r="D2031" i="106" s="1"/>
  <c r="F48" i="34"/>
  <c r="F40" i="34"/>
  <c r="B7200" i="106"/>
  <c r="D7200" i="106"/>
  <c r="D342" i="29"/>
  <c r="B7217" i="106"/>
  <c r="D7217" i="106" s="1"/>
  <c r="B7144" i="106"/>
  <c r="D7144" i="106" s="1"/>
  <c r="K330" i="29"/>
  <c r="B7207" i="106" s="1"/>
  <c r="D7207" i="106" s="1"/>
  <c r="B6885" i="106"/>
  <c r="D6885" i="106" s="1"/>
  <c r="F43" i="34"/>
  <c r="B7211" i="106"/>
  <c r="D7211" i="106"/>
  <c r="B6893" i="106"/>
  <c r="D6893" i="106" s="1"/>
  <c r="F47" i="34"/>
  <c r="B6877" i="106"/>
  <c r="D6877" i="106"/>
  <c r="F39" i="34"/>
  <c r="B6216" i="106"/>
  <c r="D6216" i="106" s="1"/>
  <c r="B3703" i="106"/>
  <c r="D3703" i="106" s="1"/>
  <c r="K362" i="29"/>
  <c r="B3676" i="106" s="1"/>
  <c r="D3676" i="106" s="1"/>
  <c r="B3650" i="106"/>
  <c r="D3650" i="106"/>
  <c r="D352" i="29"/>
  <c r="D367" i="29"/>
  <c r="I76" i="4"/>
  <c r="L41" i="3"/>
  <c r="I41" i="3"/>
  <c r="K16" i="11"/>
  <c r="B2055" i="106" s="1"/>
  <c r="D2055" i="106" s="1"/>
  <c r="H312" i="29"/>
  <c r="B1554" i="106"/>
  <c r="D1554" i="106" s="1"/>
  <c r="E312" i="29"/>
  <c r="B1536" i="106" s="1"/>
  <c r="D1536" i="106" s="1"/>
  <c r="D312" i="29"/>
  <c r="B1530" i="106"/>
  <c r="D1530" i="106" s="1"/>
  <c r="B1512" i="106"/>
  <c r="D1512" i="106" s="1"/>
  <c r="K293" i="29"/>
  <c r="B1515" i="106" s="1"/>
  <c r="D1515" i="106" s="1"/>
  <c r="K229" i="29"/>
  <c r="B1352" i="106"/>
  <c r="D1352" i="106" s="1"/>
  <c r="E210" i="29"/>
  <c r="B1353" i="106" s="1"/>
  <c r="D1353" i="106" s="1"/>
  <c r="B1264" i="106"/>
  <c r="D1264" i="106"/>
  <c r="H129" i="29"/>
  <c r="B1239" i="106"/>
  <c r="D1239" i="106" s="1"/>
  <c r="E129" i="29"/>
  <c r="B1146" i="106"/>
  <c r="D1146" i="106"/>
  <c r="K110" i="29"/>
  <c r="B122" i="106"/>
  <c r="D122" i="106" s="1"/>
  <c r="D41" i="3"/>
  <c r="B1134" i="106"/>
  <c r="D1134" i="106"/>
  <c r="B7759" i="106"/>
  <c r="D7759" i="106"/>
  <c r="B1339" i="106"/>
  <c r="D1339" i="106"/>
  <c r="C210" i="29"/>
  <c r="B1340" i="106"/>
  <c r="D1340" i="106" s="1"/>
  <c r="B169" i="106"/>
  <c r="D169" i="106"/>
  <c r="F41" i="3"/>
  <c r="B1131" i="106"/>
  <c r="D1131" i="106" s="1"/>
  <c r="L3" i="11"/>
  <c r="B7596" i="106" s="1"/>
  <c r="L9" i="11"/>
  <c r="B7614" i="106" s="1"/>
  <c r="L10" i="11"/>
  <c r="B2058" i="106" s="1"/>
  <c r="D2058" i="106" s="1"/>
  <c r="D10" i="7"/>
  <c r="B1765" i="106"/>
  <c r="D1765" i="106" s="1"/>
  <c r="D16" i="7"/>
  <c r="D8" i="7"/>
  <c r="B1764" i="106" s="1"/>
  <c r="D1764" i="106" s="1"/>
  <c r="F266" i="5"/>
  <c r="B5713" i="106" s="1"/>
  <c r="D5713" i="106" s="1"/>
  <c r="B4397" i="106"/>
  <c r="D4397" i="106"/>
  <c r="B4950" i="106"/>
  <c r="D4950" i="106"/>
  <c r="L102" i="29"/>
  <c r="B1121" i="106"/>
  <c r="D1121" i="106"/>
  <c r="K53" i="29"/>
  <c r="B731" i="106"/>
  <c r="D731" i="106" s="1"/>
  <c r="C74" i="29"/>
  <c r="B755" i="106" s="1"/>
  <c r="D755" i="106" s="1"/>
  <c r="F158" i="34"/>
  <c r="B7866" i="106" s="1"/>
  <c r="D7866" i="106" s="1"/>
  <c r="B7600" i="106"/>
  <c r="L6" i="11"/>
  <c r="B7605" i="106" s="1"/>
  <c r="A7250" i="106"/>
  <c r="A7251" i="106" s="1"/>
  <c r="D7249" i="106"/>
  <c r="E266" i="5"/>
  <c r="B6835" i="106"/>
  <c r="D6835" i="106"/>
  <c r="G266" i="5"/>
  <c r="B4398" i="106"/>
  <c r="D4398" i="106" s="1"/>
  <c r="B5537" i="106"/>
  <c r="D5537" i="106" s="1"/>
  <c r="E170" i="5"/>
  <c r="B5544" i="106" s="1"/>
  <c r="D5544" i="106" s="1"/>
  <c r="L279" i="29"/>
  <c r="L295" i="29" s="1"/>
  <c r="L74" i="29"/>
  <c r="K33" i="29"/>
  <c r="C12" i="4" s="1"/>
  <c r="B720" i="106"/>
  <c r="D720" i="106"/>
  <c r="B7618" i="106"/>
  <c r="L14" i="11"/>
  <c r="B7623" i="106" s="1"/>
  <c r="B7230" i="106"/>
  <c r="D7230" i="106" s="1"/>
  <c r="I352" i="29"/>
  <c r="I367" i="29" s="1"/>
  <c r="B7202" i="106"/>
  <c r="D7202" i="106"/>
  <c r="F342" i="29"/>
  <c r="B7219" i="106"/>
  <c r="D7219" i="106" s="1"/>
  <c r="B7214" i="106"/>
  <c r="D7214" i="106" s="1"/>
  <c r="B7221" i="106"/>
  <c r="D7221" i="106" s="1"/>
  <c r="B7201" i="106"/>
  <c r="D7201" i="106" s="1"/>
  <c r="E342" i="29"/>
  <c r="B7218" i="106" s="1"/>
  <c r="D7218" i="106" s="1"/>
  <c r="D266" i="5"/>
  <c r="B5501" i="106" s="1"/>
  <c r="D5501" i="106" s="1"/>
  <c r="D7248" i="106"/>
  <c r="D7247" i="106"/>
  <c r="D7246" i="106"/>
  <c r="J312" i="29"/>
  <c r="B7117" i="106" s="1"/>
  <c r="D7117" i="106" s="1"/>
  <c r="I312" i="29"/>
  <c r="B7116" i="106"/>
  <c r="D7116" i="106" s="1"/>
  <c r="J151" i="29"/>
  <c r="B7052" i="106" s="1"/>
  <c r="D7052" i="106" s="1"/>
  <c r="I151" i="29"/>
  <c r="F59" i="34"/>
  <c r="B6916" i="106"/>
  <c r="D6916" i="106"/>
  <c r="I74" i="29"/>
  <c r="I49" i="8"/>
  <c r="B3633" i="106"/>
  <c r="D3633" i="106"/>
  <c r="E352" i="29"/>
  <c r="B3629" i="106"/>
  <c r="D3629" i="106" s="1"/>
  <c r="E44" i="4"/>
  <c r="B3274" i="106" s="1"/>
  <c r="D3274" i="106" s="1"/>
  <c r="B3235" i="106"/>
  <c r="D3235" i="106"/>
  <c r="D77" i="4"/>
  <c r="B3238" i="106"/>
  <c r="D3238" i="106" s="1"/>
  <c r="B3229" i="106"/>
  <c r="D3229" i="106" s="1"/>
  <c r="C77" i="4"/>
  <c r="B3232" i="106" s="1"/>
  <c r="D3232" i="106" s="1"/>
  <c r="B1977" i="106"/>
  <c r="D1977" i="106"/>
  <c r="H24" i="12"/>
  <c r="B1867" i="106"/>
  <c r="D1867" i="106" s="1"/>
  <c r="F15" i="8"/>
  <c r="B1875" i="106" s="1"/>
  <c r="D1875" i="106" s="1"/>
  <c r="K310" i="29"/>
  <c r="B4099" i="106"/>
  <c r="D4099" i="106" s="1"/>
  <c r="B1555" i="106"/>
  <c r="D1555" i="106" s="1"/>
  <c r="K303" i="29"/>
  <c r="K312" i="29" s="1"/>
  <c r="B1560" i="106" s="1"/>
  <c r="D1560" i="106" s="1"/>
  <c r="G312" i="29"/>
  <c r="B1548" i="106"/>
  <c r="D1548" i="106" s="1"/>
  <c r="F312" i="29"/>
  <c r="B1542" i="106" s="1"/>
  <c r="D1542" i="106" s="1"/>
  <c r="B1523" i="106"/>
  <c r="D1523" i="106"/>
  <c r="C312" i="29"/>
  <c r="B1524" i="106"/>
  <c r="D1524" i="106" s="1"/>
  <c r="K277" i="29"/>
  <c r="B1508" i="106" s="1"/>
  <c r="D1508" i="106" s="1"/>
  <c r="K261" i="29"/>
  <c r="B1491" i="106"/>
  <c r="D1491" i="106" s="1"/>
  <c r="K243" i="29"/>
  <c r="B1485" i="106" s="1"/>
  <c r="D1485" i="106" s="1"/>
  <c r="B1475" i="106"/>
  <c r="D1475" i="106"/>
  <c r="K238" i="29"/>
  <c r="K204" i="29"/>
  <c r="B4157" i="106" s="1"/>
  <c r="D4157" i="106" s="1"/>
  <c r="B2842" i="106"/>
  <c r="D2842" i="106"/>
  <c r="B1381" i="106"/>
  <c r="D1381" i="106"/>
  <c r="B1127" i="106"/>
  <c r="D1127" i="106"/>
  <c r="K65" i="29"/>
  <c r="B1133" i="106"/>
  <c r="D1133" i="106" s="1"/>
  <c r="B1123" i="106"/>
  <c r="D1123" i="106" s="1"/>
  <c r="K57" i="29"/>
  <c r="B1125" i="106" s="1"/>
  <c r="D1125" i="106" s="1"/>
  <c r="B3640" i="106"/>
  <c r="D3640" i="106" s="1"/>
  <c r="F352" i="29"/>
  <c r="F367" i="29" s="1"/>
  <c r="B3643" i="106" s="1"/>
  <c r="D3643" i="106" s="1"/>
  <c r="K77" i="4"/>
  <c r="B3587" i="106" s="1"/>
  <c r="D3587" i="106" s="1"/>
  <c r="B3296" i="106"/>
  <c r="D3296" i="106"/>
  <c r="H77" i="4"/>
  <c r="B3299" i="106"/>
  <c r="D3299" i="106" s="1"/>
  <c r="G77" i="4"/>
  <c r="B3261" i="106" s="1"/>
  <c r="D3261" i="106" s="1"/>
  <c r="L12" i="11"/>
  <c r="B2059" i="106"/>
  <c r="D2059" i="106" s="1"/>
  <c r="L8" i="11"/>
  <c r="B2057" i="106" s="1"/>
  <c r="D2057" i="106" s="1"/>
  <c r="G24" i="12"/>
  <c r="B1492" i="106"/>
  <c r="D1492" i="106" s="1"/>
  <c r="K270" i="29"/>
  <c r="B1500" i="106" s="1"/>
  <c r="D1500" i="106" s="1"/>
  <c r="K257" i="29"/>
  <c r="B1488" i="106"/>
  <c r="D1488" i="106" s="1"/>
  <c r="B1417" i="106"/>
  <c r="D1417" i="106" s="1"/>
  <c r="D279" i="29"/>
  <c r="D295" i="29" s="1"/>
  <c r="B1448" i="106" s="1"/>
  <c r="D1448" i="106" s="1"/>
  <c r="H196" i="29"/>
  <c r="B2830" i="106" s="1"/>
  <c r="D2830" i="106" s="1"/>
  <c r="B2828" i="106"/>
  <c r="D2828" i="106"/>
  <c r="B1328" i="106"/>
  <c r="D1328" i="106"/>
  <c r="B2986" i="106"/>
  <c r="D2986" i="106"/>
  <c r="B1256" i="106"/>
  <c r="D1256" i="106"/>
  <c r="G129" i="29"/>
  <c r="K100" i="29"/>
  <c r="B7013" i="106" s="1"/>
  <c r="D7013" i="106" s="1"/>
  <c r="B1135" i="106"/>
  <c r="D1135" i="106"/>
  <c r="K72" i="29"/>
  <c r="B1141" i="106"/>
  <c r="D1141" i="106" s="1"/>
  <c r="B1021" i="106"/>
  <c r="D1021" i="106" s="1"/>
  <c r="H74" i="29"/>
  <c r="B1045" i="106" s="1"/>
  <c r="D1045" i="106" s="1"/>
  <c r="B847" i="106"/>
  <c r="D847" i="106"/>
  <c r="E74" i="29"/>
  <c r="E39" i="108"/>
  <c r="B1144" i="106"/>
  <c r="D1144" i="106"/>
  <c r="K194" i="29"/>
  <c r="B1358" i="106"/>
  <c r="D1358" i="106" s="1"/>
  <c r="F210" i="29"/>
  <c r="B1359" i="106" s="1"/>
  <c r="D1359" i="106" s="1"/>
  <c r="B1345" i="106"/>
  <c r="D1345" i="106"/>
  <c r="D210" i="29"/>
  <c r="B1346" i="106"/>
  <c r="D1346" i="106" s="1"/>
  <c r="B1283" i="106"/>
  <c r="D1283" i="106" s="1"/>
  <c r="K147" i="29"/>
  <c r="B7048" i="106" s="1"/>
  <c r="D7048" i="106" s="1"/>
  <c r="B1275" i="106"/>
  <c r="D1275" i="106"/>
  <c r="K127" i="29"/>
  <c r="B1279" i="106"/>
  <c r="D1279" i="106" s="1"/>
  <c r="B1266" i="106"/>
  <c r="D1266" i="106" s="1"/>
  <c r="H151" i="29"/>
  <c r="B1273" i="106" s="1"/>
  <c r="D1273" i="106" s="1"/>
  <c r="B1247" i="106"/>
  <c r="D1247" i="106"/>
  <c r="F129" i="29"/>
  <c r="B1231" i="106"/>
  <c r="D1231" i="106" s="1"/>
  <c r="D129" i="29"/>
  <c r="B1233" i="106" s="1"/>
  <c r="D1233" i="106" s="1"/>
  <c r="B1109" i="106"/>
  <c r="D1109" i="106"/>
  <c r="K42" i="29"/>
  <c r="H102" i="29"/>
  <c r="B1047" i="106" s="1"/>
  <c r="D1047" i="106" s="1"/>
  <c r="G74" i="29"/>
  <c r="B905" i="106"/>
  <c r="D905" i="106" s="1"/>
  <c r="F74" i="29"/>
  <c r="B929" i="106" s="1"/>
  <c r="D929" i="106" s="1"/>
  <c r="D74" i="29"/>
  <c r="B211" i="106"/>
  <c r="D211" i="106" s="1"/>
  <c r="H41" i="3"/>
  <c r="B188" i="106"/>
  <c r="D188" i="106"/>
  <c r="G41" i="3"/>
  <c r="B139" i="106"/>
  <c r="D139" i="106" s="1"/>
  <c r="E41" i="3"/>
  <c r="L151" i="29"/>
  <c r="C266" i="5"/>
  <c r="J24" i="12"/>
  <c r="B7730" i="106"/>
  <c r="D7730" i="106" s="1"/>
  <c r="B3447" i="106"/>
  <c r="D3447" i="106" s="1"/>
  <c r="E367" i="29"/>
  <c r="B3636" i="106" s="1"/>
  <c r="D3636" i="106" s="1"/>
  <c r="B3635" i="106"/>
  <c r="F41" i="108"/>
  <c r="G43" i="108" s="1"/>
  <c r="L16" i="11"/>
  <c r="B2061" i="106" s="1"/>
  <c r="D2061" i="106" s="1"/>
  <c r="D7250" i="106"/>
  <c r="C114" i="29"/>
  <c r="B757" i="106" s="1"/>
  <c r="D757" i="106" s="1"/>
  <c r="B1365" i="106"/>
  <c r="D1365" i="106"/>
  <c r="F65" i="34"/>
  <c r="I26" i="12"/>
  <c r="B7741" i="106" s="1"/>
  <c r="D7741" i="106" s="1"/>
  <c r="F175" i="34"/>
  <c r="B7877" i="106" s="1"/>
  <c r="D7877" i="106" s="1"/>
  <c r="B7733" i="106"/>
  <c r="D7733" i="106" s="1"/>
  <c r="K26" i="12"/>
  <c r="B7743" i="106" s="1"/>
  <c r="D7743" i="106" s="1"/>
  <c r="B3628" i="106"/>
  <c r="D3628" i="106" s="1"/>
  <c r="F73" i="34"/>
  <c r="B3670" i="106"/>
  <c r="D3670" i="106" s="1"/>
  <c r="K352" i="29"/>
  <c r="H367" i="29"/>
  <c r="B3660" i="106" s="1"/>
  <c r="D3660" i="106" s="1"/>
  <c r="I6" i="4"/>
  <c r="B5011" i="106"/>
  <c r="D5011" i="106" s="1"/>
  <c r="K7" i="4"/>
  <c r="B3718" i="106" s="1"/>
  <c r="D3718" i="106" s="1"/>
  <c r="J7" i="4"/>
  <c r="B6222" i="106" s="1"/>
  <c r="D6222" i="106" s="1"/>
  <c r="B7760" i="106"/>
  <c r="D7760" i="106"/>
  <c r="D24" i="36"/>
  <c r="K102" i="29"/>
  <c r="F53" i="34" s="1"/>
  <c r="B171" i="106"/>
  <c r="D171" i="106" s="1"/>
  <c r="D47" i="36"/>
  <c r="B2913" i="106"/>
  <c r="D2913" i="106" s="1"/>
  <c r="D50" i="36"/>
  <c r="B3318" i="106"/>
  <c r="D3318" i="106"/>
  <c r="I77" i="4"/>
  <c r="B3319" i="106"/>
  <c r="D3319" i="106" s="1"/>
  <c r="D3674" i="106"/>
  <c r="B3573" i="106"/>
  <c r="D3573" i="106"/>
  <c r="D170" i="5"/>
  <c r="B5421" i="106" s="1"/>
  <c r="D5421" i="106" s="1"/>
  <c r="B124" i="106"/>
  <c r="D124" i="106" s="1"/>
  <c r="D45" i="36"/>
  <c r="B1151" i="106"/>
  <c r="D1151" i="106"/>
  <c r="K112" i="29"/>
  <c r="B1241" i="106"/>
  <c r="D1241" i="106" s="1"/>
  <c r="E151" i="29"/>
  <c r="B1242" i="106" s="1"/>
  <c r="D1242" i="106" s="1"/>
  <c r="B1474" i="106"/>
  <c r="D1474" i="106"/>
  <c r="G12" i="4"/>
  <c r="B2607" i="106"/>
  <c r="D2607" i="106" s="1"/>
  <c r="B2917" i="106"/>
  <c r="D2917" i="106" s="1"/>
  <c r="D53" i="36"/>
  <c r="B6397" i="106"/>
  <c r="D6397" i="106" s="1"/>
  <c r="J6" i="4"/>
  <c r="B6221" i="106" s="1"/>
  <c r="D6221" i="106" s="1"/>
  <c r="B6352" i="106"/>
  <c r="D6352" i="106" s="1"/>
  <c r="J268" i="5"/>
  <c r="B7055" i="106" s="1"/>
  <c r="D7055" i="106" s="1"/>
  <c r="B5320" i="106"/>
  <c r="D5320" i="106" s="1"/>
  <c r="C267" i="5"/>
  <c r="B987" i="106"/>
  <c r="D987" i="106" s="1"/>
  <c r="G114" i="29"/>
  <c r="B1115" i="106"/>
  <c r="D1115" i="106"/>
  <c r="G21" i="108"/>
  <c r="E21" i="108"/>
  <c r="D151" i="29"/>
  <c r="B1234" i="106" s="1"/>
  <c r="D1234" i="106" s="1"/>
  <c r="F151" i="29"/>
  <c r="B1250" i="106"/>
  <c r="D1250" i="106" s="1"/>
  <c r="B1249" i="106"/>
  <c r="D1249" i="106" s="1"/>
  <c r="K149" i="29"/>
  <c r="B1287" i="106" s="1"/>
  <c r="D1287" i="106" s="1"/>
  <c r="K196" i="29"/>
  <c r="B2837" i="106"/>
  <c r="D2837" i="106" s="1"/>
  <c r="B1145" i="106"/>
  <c r="D1145" i="106" s="1"/>
  <c r="G151" i="29"/>
  <c r="F58" i="34" s="1"/>
  <c r="B1258" i="106"/>
  <c r="D1258" i="106" s="1"/>
  <c r="B1331" i="106"/>
  <c r="D1331" i="106" s="1"/>
  <c r="E16" i="4"/>
  <c r="B2634" i="106" s="1"/>
  <c r="D2634" i="106" s="1"/>
  <c r="E24" i="108"/>
  <c r="K129" i="29"/>
  <c r="K208" i="29"/>
  <c r="K210" i="29" s="1"/>
  <c r="B1559" i="106"/>
  <c r="D1559" i="106" s="1"/>
  <c r="H13" i="4"/>
  <c r="B2659" i="106" s="1"/>
  <c r="D2659" i="106" s="1"/>
  <c r="B1983" i="106"/>
  <c r="D1983" i="106" s="1"/>
  <c r="H26" i="12"/>
  <c r="B7740" i="106" s="1"/>
  <c r="D7740" i="106" s="1"/>
  <c r="B6977" i="106"/>
  <c r="D6977" i="106" s="1"/>
  <c r="I114" i="29"/>
  <c r="B7020" i="106" s="1"/>
  <c r="D7020" i="106" s="1"/>
  <c r="B7051" i="106"/>
  <c r="D7051" i="106"/>
  <c r="B5863" i="106"/>
  <c r="D5863" i="106" s="1"/>
  <c r="B7747" i="106"/>
  <c r="D7747" i="106" s="1"/>
  <c r="E267" i="5"/>
  <c r="B4434" i="106" s="1"/>
  <c r="D4434" i="106" s="1"/>
  <c r="B1122" i="106"/>
  <c r="D1122" i="106" s="1"/>
  <c r="G23" i="108"/>
  <c r="B7732" i="106"/>
  <c r="D7732" i="106"/>
  <c r="J26" i="12"/>
  <c r="B7742" i="106"/>
  <c r="D7742" i="106" s="1"/>
  <c r="B141" i="106"/>
  <c r="D141" i="106" s="1"/>
  <c r="D46" i="36"/>
  <c r="B190" i="106"/>
  <c r="D190" i="106"/>
  <c r="D48" i="36"/>
  <c r="B213" i="106"/>
  <c r="D213" i="106" s="1"/>
  <c r="D49" i="36"/>
  <c r="B813" i="106"/>
  <c r="D813" i="106"/>
  <c r="E114" i="29"/>
  <c r="B873" i="106" s="1"/>
  <c r="D873" i="106" s="1"/>
  <c r="B871" i="106"/>
  <c r="D871" i="106"/>
  <c r="K139" i="29"/>
  <c r="F57" i="34" s="1"/>
  <c r="B2093" i="106"/>
  <c r="D2093" i="106" s="1"/>
  <c r="H210" i="29"/>
  <c r="B1376" i="106" s="1"/>
  <c r="D1376" i="106" s="1"/>
  <c r="B1958" i="106"/>
  <c r="D1958" i="106"/>
  <c r="G26" i="12"/>
  <c r="B7739" i="106"/>
  <c r="D7739" i="106" s="1"/>
  <c r="B3642" i="106"/>
  <c r="D3642" i="106" s="1"/>
  <c r="B1481" i="106"/>
  <c r="D1481" i="106" s="1"/>
  <c r="B2102" i="106"/>
  <c r="D2102" i="106" s="1"/>
  <c r="H15" i="4"/>
  <c r="B2660" i="106" s="1"/>
  <c r="D2660" i="106" s="1"/>
  <c r="D3635" i="106"/>
  <c r="B4171" i="106"/>
  <c r="D4171" i="106" s="1"/>
  <c r="N36" i="3"/>
  <c r="H37" i="37" s="1"/>
  <c r="B7234" i="106"/>
  <c r="D7234" i="106" s="1"/>
  <c r="B1108" i="106"/>
  <c r="D1108" i="106" s="1"/>
  <c r="E19" i="108"/>
  <c r="G19" i="108"/>
  <c r="B3672" i="106"/>
  <c r="D3672" i="106" s="1"/>
  <c r="C15" i="4"/>
  <c r="B2559" i="106" s="1"/>
  <c r="D2559" i="106" s="1"/>
  <c r="B7019" i="106"/>
  <c r="D7019" i="106" s="1"/>
  <c r="C16" i="4"/>
  <c r="B2560" i="106" s="1"/>
  <c r="D2560" i="106" s="1"/>
  <c r="B1281" i="106"/>
  <c r="D1281" i="106" s="1"/>
  <c r="D13" i="4"/>
  <c r="B2569" i="106" s="1"/>
  <c r="D2569" i="106" s="1"/>
  <c r="B1259" i="106"/>
  <c r="D1259" i="106" s="1"/>
  <c r="B989" i="106"/>
  <c r="D989" i="106" s="1"/>
  <c r="F54" i="34"/>
  <c r="B5326" i="106"/>
  <c r="D5326" i="106" s="1"/>
  <c r="C7" i="4"/>
  <c r="B285" i="106"/>
  <c r="D285" i="106" s="1"/>
  <c r="N37" i="3"/>
  <c r="N41" i="3" s="1"/>
  <c r="B1282" i="106"/>
  <c r="D1282" i="106" s="1"/>
  <c r="D15" i="4"/>
  <c r="B2571" i="106" s="1"/>
  <c r="D2571" i="106" s="1"/>
  <c r="B1387" i="106"/>
  <c r="D1387" i="106" s="1"/>
  <c r="F16" i="4"/>
  <c r="B2599" i="106" s="1"/>
  <c r="D2599" i="106" s="1"/>
  <c r="B1382" i="106"/>
  <c r="D1382" i="106"/>
  <c r="F63" i="34"/>
  <c r="F15" i="4"/>
  <c r="B2598" i="106" s="1"/>
  <c r="D2598" i="106" s="1"/>
  <c r="B287" i="106"/>
  <c r="D287" i="106" s="1"/>
  <c r="B2554" i="106"/>
  <c r="D2554"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A2" i="171" l="1"/>
  <c r="B2" i="176"/>
  <c r="B2" i="174"/>
  <c r="B2" i="177"/>
  <c r="B288" i="106"/>
  <c r="D288" i="106" s="1"/>
  <c r="D55" i="36"/>
  <c r="B1388" i="106"/>
  <c r="D1388" i="106" s="1"/>
  <c r="F11" i="34"/>
  <c r="B7244" i="106"/>
  <c r="D7244" i="106" s="1"/>
  <c r="F17" i="11"/>
  <c r="B2556" i="106"/>
  <c r="D2556" i="106" s="1"/>
  <c r="B6220" i="106"/>
  <c r="D6220" i="106" s="1"/>
  <c r="J8" i="4"/>
  <c r="B5644" i="106"/>
  <c r="D5644" i="106" s="1"/>
  <c r="F170" i="5"/>
  <c r="B4997" i="106"/>
  <c r="D4997" i="106" s="1"/>
  <c r="H32" i="118"/>
  <c r="K32" i="118" s="1"/>
  <c r="O31" i="118" s="1"/>
  <c r="O33" i="118" s="1"/>
  <c r="A7252" i="106"/>
  <c r="D7251" i="106"/>
  <c r="B7199" i="106"/>
  <c r="D7199" i="106" s="1"/>
  <c r="C342" i="29"/>
  <c r="B7216" i="106" s="1"/>
  <c r="D7216" i="106" s="1"/>
  <c r="E62" i="184"/>
  <c r="N62" i="184" s="1"/>
  <c r="B7171" i="106"/>
  <c r="D7171" i="106" s="1"/>
  <c r="B6858" i="106"/>
  <c r="D6858" i="106" s="1"/>
  <c r="F36" i="34"/>
  <c r="F17" i="4"/>
  <c r="D17" i="4"/>
  <c r="D16" i="4"/>
  <c r="B2572" i="106" s="1"/>
  <c r="D2572" i="106" s="1"/>
  <c r="H17" i="4"/>
  <c r="F55" i="34"/>
  <c r="K151" i="29"/>
  <c r="E7" i="4"/>
  <c r="B4443" i="106" s="1"/>
  <c r="D4443" i="106" s="1"/>
  <c r="D6" i="4"/>
  <c r="B2566" i="106" s="1"/>
  <c r="D2566" i="106" s="1"/>
  <c r="K13" i="4"/>
  <c r="E6" i="4"/>
  <c r="B2631" i="106" s="1"/>
  <c r="D2631" i="106" s="1"/>
  <c r="K279" i="29"/>
  <c r="H114" i="29"/>
  <c r="B1054" i="106" s="1"/>
  <c r="D1054" i="106" s="1"/>
  <c r="D114" i="29"/>
  <c r="B815" i="106" s="1"/>
  <c r="D815" i="106" s="1"/>
  <c r="E23" i="108"/>
  <c r="G267" i="5"/>
  <c r="E77" i="4"/>
  <c r="B3277" i="106" s="1"/>
  <c r="D3277" i="106" s="1"/>
  <c r="F22" i="37"/>
  <c r="G24" i="108"/>
  <c r="B1446" i="106"/>
  <c r="D1446" i="106" s="1"/>
  <c r="F114" i="29"/>
  <c r="B931" i="106" s="1"/>
  <c r="D931" i="106" s="1"/>
  <c r="J13" i="4"/>
  <c r="G16" i="4"/>
  <c r="B2611" i="106" s="1"/>
  <c r="D2611" i="106" s="1"/>
  <c r="H6" i="4"/>
  <c r="B2656" i="106" s="1"/>
  <c r="D2656" i="106" s="1"/>
  <c r="H4" i="4"/>
  <c r="B6014" i="106"/>
  <c r="D6014" i="106" s="1"/>
  <c r="D19" i="7"/>
  <c r="B1775" i="106" s="1"/>
  <c r="D1775" i="106" s="1"/>
  <c r="D267" i="5"/>
  <c r="F267" i="5"/>
  <c r="C4" i="4"/>
  <c r="G15" i="4"/>
  <c r="B6032" i="106" s="1"/>
  <c r="D6032" i="106" s="1"/>
  <c r="H22" i="37"/>
  <c r="D52" i="36"/>
  <c r="B1317" i="106"/>
  <c r="D1317" i="106" s="1"/>
  <c r="K365" i="29"/>
  <c r="J74" i="29"/>
  <c r="I109" i="5"/>
  <c r="D44" i="36"/>
  <c r="K47" i="29"/>
  <c r="H267" i="5"/>
  <c r="I7" i="4"/>
  <c r="B4444" i="106" s="1"/>
  <c r="D4444" i="106" s="1"/>
  <c r="B19" i="7"/>
  <c r="B1759" i="106" s="1"/>
  <c r="D1759" i="106" s="1"/>
  <c r="K340" i="29"/>
  <c r="F51" i="34"/>
  <c r="K109" i="5"/>
  <c r="B5618" i="106"/>
  <c r="D5618" i="106" s="1"/>
  <c r="F109" i="5"/>
  <c r="E109" i="5"/>
  <c r="C169" i="5"/>
  <c r="G109" i="5"/>
  <c r="D109" i="5"/>
  <c r="G169" i="5"/>
  <c r="B7222" i="106"/>
  <c r="D7222" i="106" s="1"/>
  <c r="L367" i="29"/>
  <c r="H12" i="184"/>
  <c r="E19" i="184"/>
  <c r="E64" i="184"/>
  <c r="N64" i="184" s="1"/>
  <c r="B7189" i="106"/>
  <c r="D7189" i="106" s="1"/>
  <c r="E60" i="184"/>
  <c r="N60" i="184" s="1"/>
  <c r="B7153" i="106"/>
  <c r="D7153" i="106" s="1"/>
  <c r="E66" i="184"/>
  <c r="N66" i="184" s="1"/>
  <c r="B7696" i="106"/>
  <c r="D7696" i="106" s="1"/>
  <c r="E58" i="184"/>
  <c r="N58" i="184" s="1"/>
  <c r="B7135" i="106"/>
  <c r="D7135" i="106" s="1"/>
  <c r="N57" i="184"/>
  <c r="N68" i="184" s="1"/>
  <c r="E68" i="184"/>
  <c r="C352" i="29"/>
  <c r="B1223" i="106"/>
  <c r="D1223" i="106" s="1"/>
  <c r="C129" i="29"/>
  <c r="F74" i="34"/>
  <c r="B7790" i="106"/>
  <c r="D7790" i="106" s="1"/>
  <c r="B7780" i="106"/>
  <c r="D7780" i="106" s="1"/>
  <c r="K160" i="29"/>
  <c r="H15" i="184"/>
  <c r="B5770" i="106" l="1"/>
  <c r="D5770" i="106" s="1"/>
  <c r="G170" i="5"/>
  <c r="B6024" i="106"/>
  <c r="D6024" i="106" s="1"/>
  <c r="G4" i="4"/>
  <c r="G268" i="5"/>
  <c r="E4" i="4"/>
  <c r="B5527" i="106"/>
  <c r="D5527" i="106" s="1"/>
  <c r="E268" i="5"/>
  <c r="B5914" i="106"/>
  <c r="D5914" i="106" s="1"/>
  <c r="H7" i="4"/>
  <c r="B2657" i="106" s="1"/>
  <c r="D2657" i="106" s="1"/>
  <c r="H268" i="5"/>
  <c r="J114" i="29"/>
  <c r="B7021" i="106" s="1"/>
  <c r="D7021" i="106" s="1"/>
  <c r="B6978" i="106"/>
  <c r="D6978" i="106" s="1"/>
  <c r="B2551" i="106"/>
  <c r="D2551" i="106" s="1"/>
  <c r="B5507" i="106"/>
  <c r="D5507" i="106" s="1"/>
  <c r="D7" i="4"/>
  <c r="B7042" i="106"/>
  <c r="D7042" i="106" s="1"/>
  <c r="F24" i="37"/>
  <c r="G7" i="4"/>
  <c r="B2605" i="106" s="1"/>
  <c r="D2605" i="106" s="1"/>
  <c r="B5869" i="106"/>
  <c r="D5869" i="106" s="1"/>
  <c r="B1510" i="106"/>
  <c r="D1510" i="106" s="1"/>
  <c r="K295" i="29"/>
  <c r="G13" i="4"/>
  <c r="B3572" i="106"/>
  <c r="D3572" i="106" s="1"/>
  <c r="B2661" i="106"/>
  <c r="D2661" i="106" s="1"/>
  <c r="H19" i="4"/>
  <c r="B4141" i="106" s="1"/>
  <c r="D4141" i="106" s="1"/>
  <c r="B2573" i="106"/>
  <c r="D2573" i="106" s="1"/>
  <c r="D19" i="4"/>
  <c r="B4137" i="106" s="1"/>
  <c r="D4137" i="106" s="1"/>
  <c r="C9" i="146"/>
  <c r="B7828" i="106"/>
  <c r="D7828" i="106" s="1"/>
  <c r="F6" i="4"/>
  <c r="B2593" i="106" s="1"/>
  <c r="D2593" i="106" s="1"/>
  <c r="B5653" i="106"/>
  <c r="D5653" i="106" s="1"/>
  <c r="F60" i="34"/>
  <c r="F77" i="34" s="1"/>
  <c r="B7834" i="106" s="1"/>
  <c r="D7834" i="106" s="1"/>
  <c r="E15" i="4"/>
  <c r="B1323" i="106"/>
  <c r="D1323" i="106" s="1"/>
  <c r="K174" i="29"/>
  <c r="B1225" i="106"/>
  <c r="D1225" i="106" s="1"/>
  <c r="C151" i="29"/>
  <c r="B1226" i="106" s="1"/>
  <c r="D1226" i="106" s="1"/>
  <c r="B3621" i="106"/>
  <c r="D3621" i="106" s="1"/>
  <c r="C367" i="29"/>
  <c r="B3622" i="106" s="1"/>
  <c r="D3622" i="106" s="1"/>
  <c r="H19" i="184"/>
  <c r="L20" i="184" s="1"/>
  <c r="D268" i="5"/>
  <c r="B5356" i="106"/>
  <c r="D5356" i="106" s="1"/>
  <c r="D4" i="4"/>
  <c r="B5214" i="106"/>
  <c r="D5214" i="106" s="1"/>
  <c r="C170" i="5"/>
  <c r="F4" i="4"/>
  <c r="B5588" i="106"/>
  <c r="D5588" i="106" s="1"/>
  <c r="F268" i="5"/>
  <c r="K4" i="4"/>
  <c r="K268" i="5"/>
  <c r="B6028" i="106"/>
  <c r="D6028" i="106" s="1"/>
  <c r="K342" i="29"/>
  <c r="B7215" i="106"/>
  <c r="D7215" i="106" s="1"/>
  <c r="J16" i="4"/>
  <c r="B6226" i="106" s="1"/>
  <c r="D6226" i="106" s="1"/>
  <c r="B1119" i="106"/>
  <c r="D1119" i="106" s="1"/>
  <c r="E22" i="108"/>
  <c r="E41" i="108" s="1"/>
  <c r="E44" i="108" s="1"/>
  <c r="E45" i="108" s="1"/>
  <c r="K74" i="29"/>
  <c r="G22" i="108"/>
  <c r="G41" i="108" s="1"/>
  <c r="G44" i="108" s="1"/>
  <c r="G45" i="108" s="1"/>
  <c r="B6026" i="106"/>
  <c r="D6026" i="106" s="1"/>
  <c r="I4" i="4"/>
  <c r="I268" i="5"/>
  <c r="B5946" i="106" s="1"/>
  <c r="D5946" i="106" s="1"/>
  <c r="B7243" i="106"/>
  <c r="D7243" i="106" s="1"/>
  <c r="K16" i="4"/>
  <c r="B3574" i="106" s="1"/>
  <c r="D3574" i="106" s="1"/>
  <c r="B5719" i="106"/>
  <c r="D5719" i="106" s="1"/>
  <c r="F7" i="4"/>
  <c r="B2594" i="106" s="1"/>
  <c r="D2594" i="106" s="1"/>
  <c r="B2655" i="106"/>
  <c r="D2655" i="106" s="1"/>
  <c r="H8" i="4"/>
  <c r="F9" i="34"/>
  <c r="B1288" i="106"/>
  <c r="D1288" i="106" s="1"/>
  <c r="D9" i="146"/>
  <c r="F19" i="4"/>
  <c r="B4139" i="106" s="1"/>
  <c r="D4139" i="106" s="1"/>
  <c r="B2600" i="106"/>
  <c r="D2600" i="106" s="1"/>
  <c r="A7253" i="106"/>
  <c r="D7252" i="106"/>
  <c r="K367" i="29"/>
  <c r="B3678" i="106" s="1"/>
  <c r="D3678" i="106" s="1"/>
  <c r="J10" i="4"/>
  <c r="B6225" i="106" s="1"/>
  <c r="D6225" i="106" s="1"/>
  <c r="B6223" i="106"/>
  <c r="D6223" i="106" s="1"/>
  <c r="I17" i="11"/>
  <c r="B7624" i="106"/>
  <c r="B3225" i="106" l="1"/>
  <c r="D3225" i="106" s="1"/>
  <c r="I8" i="4"/>
  <c r="F13" i="34"/>
  <c r="B7224" i="106"/>
  <c r="D7224" i="106" s="1"/>
  <c r="K343" i="29"/>
  <c r="B7225" i="106" s="1"/>
  <c r="D7225" i="106" s="1"/>
  <c r="K368" i="29"/>
  <c r="B3681" i="106" s="1"/>
  <c r="D3681" i="106" s="1"/>
  <c r="B6023" i="106"/>
  <c r="D6023" i="106" s="1"/>
  <c r="B5720" i="106"/>
  <c r="D5720" i="106" s="1"/>
  <c r="K211" i="29"/>
  <c r="B1389" i="106" s="1"/>
  <c r="D1389" i="106" s="1"/>
  <c r="F8" i="4"/>
  <c r="B2591" i="106"/>
  <c r="D2591" i="106" s="1"/>
  <c r="B2608" i="106"/>
  <c r="D2608" i="106" s="1"/>
  <c r="G17" i="4"/>
  <c r="B2567" i="106"/>
  <c r="D2567" i="106" s="1"/>
  <c r="D10" i="171"/>
  <c r="D19" i="171" s="1"/>
  <c r="D32" i="171" s="1"/>
  <c r="D49" i="171" s="1"/>
  <c r="B5915" i="106"/>
  <c r="D5915" i="106" s="1"/>
  <c r="K313" i="29"/>
  <c r="B1561" i="106" s="1"/>
  <c r="D1561" i="106" s="1"/>
  <c r="B5870" i="106"/>
  <c r="D5870" i="106" s="1"/>
  <c r="K296" i="29"/>
  <c r="B1518" i="106" s="1"/>
  <c r="D1518" i="106" s="1"/>
  <c r="I18" i="11"/>
  <c r="B7625" i="106"/>
  <c r="A7254" i="106"/>
  <c r="D7253" i="106"/>
  <c r="H20" i="4"/>
  <c r="B2658" i="106"/>
  <c r="D2658" i="106" s="1"/>
  <c r="H10" i="4"/>
  <c r="B4127" i="106" s="1"/>
  <c r="D4127" i="106" s="1"/>
  <c r="B1143" i="106"/>
  <c r="D1143" i="106" s="1"/>
  <c r="C13" i="4"/>
  <c r="K114" i="29"/>
  <c r="B3569" i="106"/>
  <c r="D3569" i="106" s="1"/>
  <c r="K8" i="4"/>
  <c r="B5223" i="106"/>
  <c r="D5223" i="106" s="1"/>
  <c r="C6" i="4"/>
  <c r="C268" i="5"/>
  <c r="B2564" i="106"/>
  <c r="D2564" i="106" s="1"/>
  <c r="D8" i="4"/>
  <c r="K152" i="29"/>
  <c r="B1289" i="106" s="1"/>
  <c r="D1289" i="106" s="1"/>
  <c r="B5508" i="106"/>
  <c r="D5508" i="106" s="1"/>
  <c r="F10" i="34"/>
  <c r="B1332" i="106"/>
  <c r="D1332" i="106" s="1"/>
  <c r="E17" i="4"/>
  <c r="B2633" i="106"/>
  <c r="D2633" i="106" s="1"/>
  <c r="K17" i="4"/>
  <c r="F12" i="34"/>
  <c r="B1517" i="106"/>
  <c r="D1517" i="106" s="1"/>
  <c r="J17" i="4"/>
  <c r="B5552" i="106"/>
  <c r="D5552" i="106" s="1"/>
  <c r="K175" i="29"/>
  <c r="B1333" i="106" s="1"/>
  <c r="D1333" i="106" s="1"/>
  <c r="B2630" i="106"/>
  <c r="D2630" i="106" s="1"/>
  <c r="E8" i="4"/>
  <c r="B2603" i="106"/>
  <c r="D2603" i="106" s="1"/>
  <c r="B5778" i="106"/>
  <c r="D5778" i="106" s="1"/>
  <c r="G6" i="4"/>
  <c r="B2604" i="106" s="1"/>
  <c r="D2604" i="106" s="1"/>
  <c r="G8" i="4" l="1"/>
  <c r="E20" i="4"/>
  <c r="B2632" i="106"/>
  <c r="D2632" i="106" s="1"/>
  <c r="E10" i="4"/>
  <c r="B4124" i="106" s="1"/>
  <c r="D4124" i="106" s="1"/>
  <c r="J19" i="4"/>
  <c r="B6229" i="106" s="1"/>
  <c r="D6229" i="106" s="1"/>
  <c r="B6227" i="106"/>
  <c r="D6227" i="106" s="1"/>
  <c r="J20" i="4"/>
  <c r="C8" i="146"/>
  <c r="C10" i="146" s="1"/>
  <c r="D10" i="4"/>
  <c r="B4123" i="106" s="1"/>
  <c r="D4123" i="106" s="1"/>
  <c r="D20" i="4"/>
  <c r="B2568" i="106"/>
  <c r="D2568" i="106" s="1"/>
  <c r="B5327" i="106"/>
  <c r="D5327" i="106" s="1"/>
  <c r="K115" i="29"/>
  <c r="B1153" i="106" s="1"/>
  <c r="D1153" i="106" s="1"/>
  <c r="B2557" i="106"/>
  <c r="D2557" i="106" s="1"/>
  <c r="C17" i="4"/>
  <c r="H78" i="4"/>
  <c r="B2662" i="106"/>
  <c r="D2662" i="106" s="1"/>
  <c r="A7255" i="106"/>
  <c r="D7254" i="106"/>
  <c r="B7631" i="106"/>
  <c r="F177" i="34"/>
  <c r="D8" i="146"/>
  <c r="D10" i="146" s="1"/>
  <c r="F10" i="4"/>
  <c r="B4125" i="106" s="1"/>
  <c r="D4125" i="106" s="1"/>
  <c r="B2595" i="106"/>
  <c r="D2595" i="106" s="1"/>
  <c r="F20" i="4"/>
  <c r="I10" i="4"/>
  <c r="B4128" i="106" s="1"/>
  <c r="D4128" i="106" s="1"/>
  <c r="B3226" i="106"/>
  <c r="D3226" i="106" s="1"/>
  <c r="E8" i="146"/>
  <c r="E10" i="146" s="1"/>
  <c r="I20" i="4"/>
  <c r="B3575" i="106"/>
  <c r="D3575" i="106" s="1"/>
  <c r="K19" i="4"/>
  <c r="B4144" i="106" s="1"/>
  <c r="D4144" i="106" s="1"/>
  <c r="B2635" i="106"/>
  <c r="D2635" i="106" s="1"/>
  <c r="E19" i="4"/>
  <c r="B4138" i="106" s="1"/>
  <c r="D4138" i="106" s="1"/>
  <c r="B2553" i="106"/>
  <c r="D2553" i="106" s="1"/>
  <c r="C8" i="4"/>
  <c r="B3571" i="106"/>
  <c r="D3571" i="106" s="1"/>
  <c r="K10" i="4"/>
  <c r="B4130" i="106" s="1"/>
  <c r="D4130" i="106" s="1"/>
  <c r="K20" i="4"/>
  <c r="F8" i="34"/>
  <c r="F14" i="34" s="1"/>
  <c r="B1152" i="106"/>
  <c r="D1152" i="106" s="1"/>
  <c r="G19" i="4"/>
  <c r="B4140" i="106" s="1"/>
  <c r="D4140" i="106" s="1"/>
  <c r="B2612" i="106"/>
  <c r="D2612" i="106" s="1"/>
  <c r="F78" i="34" l="1"/>
  <c r="B7822" i="106"/>
  <c r="H18" i="118"/>
  <c r="B8" i="146"/>
  <c r="B2555" i="106"/>
  <c r="D2555" i="106" s="1"/>
  <c r="C20" i="4"/>
  <c r="H13" i="118"/>
  <c r="C10" i="4"/>
  <c r="B4122" i="106" s="1"/>
  <c r="D4122" i="106" s="1"/>
  <c r="D16" i="37"/>
  <c r="H16" i="37" s="1"/>
  <c r="B3227" i="106"/>
  <c r="D3227" i="106" s="1"/>
  <c r="I78" i="4"/>
  <c r="F78" i="4"/>
  <c r="B2601" i="106"/>
  <c r="D2601" i="106" s="1"/>
  <c r="B2561" i="106"/>
  <c r="D2561" i="106" s="1"/>
  <c r="H17" i="118"/>
  <c r="C19" i="4"/>
  <c r="B4136" i="106" s="1"/>
  <c r="D4136" i="106" s="1"/>
  <c r="B9" i="146"/>
  <c r="F9" i="146" s="1"/>
  <c r="F16" i="37"/>
  <c r="B6230" i="106"/>
  <c r="D6230" i="106" s="1"/>
  <c r="J78" i="4"/>
  <c r="G20" i="4"/>
  <c r="G10" i="4"/>
  <c r="B4126" i="106" s="1"/>
  <c r="D4126" i="106" s="1"/>
  <c r="B2606" i="106"/>
  <c r="D2606" i="106" s="1"/>
  <c r="B3576" i="106"/>
  <c r="D3576" i="106" s="1"/>
  <c r="K78" i="4"/>
  <c r="D7255" i="106"/>
  <c r="A7256" i="106"/>
  <c r="B3300" i="106"/>
  <c r="D3300" i="106" s="1"/>
  <c r="H81" i="4"/>
  <c r="B2574" i="106"/>
  <c r="D2574" i="106" s="1"/>
  <c r="D78" i="4"/>
  <c r="E78" i="4"/>
  <c r="B2636" i="106"/>
  <c r="D2636" i="106" s="1"/>
  <c r="B3278" i="106" l="1"/>
  <c r="D3278" i="106" s="1"/>
  <c r="E81" i="4"/>
  <c r="B3588" i="106"/>
  <c r="D3588" i="106" s="1"/>
  <c r="K81" i="4"/>
  <c r="B2613" i="106"/>
  <c r="D2613" i="106" s="1"/>
  <c r="G78" i="4"/>
  <c r="K17" i="118"/>
  <c r="H25" i="118"/>
  <c r="K24" i="118" s="1"/>
  <c r="O23" i="118" s="1"/>
  <c r="O25" i="118" s="1"/>
  <c r="B3320" i="106"/>
  <c r="D3320" i="106" s="1"/>
  <c r="I81" i="4"/>
  <c r="F176" i="34"/>
  <c r="F80" i="34"/>
  <c r="B7837" i="106" s="1"/>
  <c r="D7837" i="106" s="1"/>
  <c r="B7835" i="106"/>
  <c r="D7835" i="106" s="1"/>
  <c r="B3239" i="106"/>
  <c r="D3239" i="106" s="1"/>
  <c r="D81" i="4"/>
  <c r="D62" i="36"/>
  <c r="B1700" i="106"/>
  <c r="D1700" i="106" s="1"/>
  <c r="H82" i="4"/>
  <c r="A7257" i="106"/>
  <c r="D7256" i="106"/>
  <c r="J81" i="4"/>
  <c r="B6263" i="106"/>
  <c r="D6263" i="106" s="1"/>
  <c r="F81" i="4"/>
  <c r="B3256" i="106"/>
  <c r="D3256" i="106" s="1"/>
  <c r="B2562" i="106"/>
  <c r="D2562" i="106" s="1"/>
  <c r="C78" i="4"/>
  <c r="F8" i="146"/>
  <c r="F10" i="146" s="1"/>
  <c r="B10" i="146"/>
  <c r="D11" i="146" l="1"/>
  <c r="F82" i="4"/>
  <c r="B1672" i="106"/>
  <c r="D1672" i="106" s="1"/>
  <c r="D60" i="36"/>
  <c r="J82" i="4"/>
  <c r="D64" i="36"/>
  <c r="B6266" i="106"/>
  <c r="D6266" i="106" s="1"/>
  <c r="A7258" i="106"/>
  <c r="D7257" i="106"/>
  <c r="D82" i="4"/>
  <c r="C11" i="146"/>
  <c r="B1644" i="106"/>
  <c r="D1644" i="106" s="1"/>
  <c r="D58" i="36"/>
  <c r="F178" i="34"/>
  <c r="B7878" i="106"/>
  <c r="D7878" i="106" s="1"/>
  <c r="O16" i="118"/>
  <c r="J20" i="118"/>
  <c r="K20" i="118"/>
  <c r="B3233" i="106"/>
  <c r="D3233" i="106" s="1"/>
  <c r="C81" i="4"/>
  <c r="H83" i="4"/>
  <c r="B6281" i="106" s="1"/>
  <c r="D6281" i="106" s="1"/>
  <c r="B6272" i="106"/>
  <c r="D6272" i="106" s="1"/>
  <c r="B3323" i="106"/>
  <c r="D3323" i="106" s="1"/>
  <c r="I82" i="4"/>
  <c r="E11" i="146"/>
  <c r="D63" i="36"/>
  <c r="B3262" i="106"/>
  <c r="D3262" i="106" s="1"/>
  <c r="G81" i="4"/>
  <c r="K82" i="4"/>
  <c r="D65" i="36"/>
  <c r="B3591" i="106"/>
  <c r="D3591" i="106" s="1"/>
  <c r="E82" i="4"/>
  <c r="D59" i="36"/>
  <c r="B1658" i="106"/>
  <c r="D1658" i="106" s="1"/>
  <c r="B6269" i="106" l="1"/>
  <c r="D6269" i="106" s="1"/>
  <c r="E83" i="4"/>
  <c r="B6278" i="106" s="1"/>
  <c r="D6278" i="106" s="1"/>
  <c r="D61" i="36"/>
  <c r="B1686" i="106"/>
  <c r="D1686" i="106" s="1"/>
  <c r="G82" i="4"/>
  <c r="I83" i="4"/>
  <c r="B6282" i="106" s="1"/>
  <c r="D6282" i="106" s="1"/>
  <c r="B6273" i="106"/>
  <c r="D6273" i="106" s="1"/>
  <c r="C82" i="4"/>
  <c r="B1630" i="106"/>
  <c r="D1630" i="106" s="1"/>
  <c r="J16" i="37"/>
  <c r="B4269" i="106" s="1"/>
  <c r="D4269" i="106" s="1"/>
  <c r="H12" i="118"/>
  <c r="K12" i="118" s="1"/>
  <c r="O11" i="118" s="1"/>
  <c r="O13" i="118" s="1"/>
  <c r="B11" i="146"/>
  <c r="F11" i="146" s="1"/>
  <c r="D57" i="36"/>
  <c r="O20" i="118"/>
  <c r="O17" i="118"/>
  <c r="B7879" i="106"/>
  <c r="D7879" i="106" s="1"/>
  <c r="F180" i="34"/>
  <c r="B7880" i="106" s="1"/>
  <c r="D7880" i="106" s="1"/>
  <c r="B6268" i="106"/>
  <c r="D6268" i="106" s="1"/>
  <c r="D83" i="4"/>
  <c r="B6277" i="106" s="1"/>
  <c r="D6277" i="106" s="1"/>
  <c r="A7259" i="106"/>
  <c r="D7258" i="106"/>
  <c r="F83" i="4"/>
  <c r="B6279" i="106" s="1"/>
  <c r="D6279" i="106" s="1"/>
  <c r="B6270" i="106"/>
  <c r="D6270" i="106" s="1"/>
  <c r="K83" i="4"/>
  <c r="B6284" i="106" s="1"/>
  <c r="D6284" i="106" s="1"/>
  <c r="B6275" i="106"/>
  <c r="D6275" i="106" s="1"/>
  <c r="B6274" i="106"/>
  <c r="D6274" i="106" s="1"/>
  <c r="J83" i="4"/>
  <c r="B6283" i="106" s="1"/>
  <c r="D6283" i="106" s="1"/>
  <c r="A7260" i="106" l="1"/>
  <c r="D7259" i="106"/>
  <c r="D29" i="36"/>
  <c r="J24" i="24" s="1"/>
  <c r="C12" i="146"/>
  <c r="B6267" i="106"/>
  <c r="D6267" i="106" s="1"/>
  <c r="C83" i="4"/>
  <c r="B6276" i="106" s="1"/>
  <c r="D6276" i="106" s="1"/>
  <c r="O35" i="118"/>
  <c r="O37" i="118" s="1"/>
  <c r="B6271" i="106"/>
  <c r="D6271" i="106" s="1"/>
  <c r="G83" i="4"/>
  <c r="B6280" i="106" s="1"/>
  <c r="D6280" i="106" s="1"/>
  <c r="A7261" i="106" l="1"/>
  <c r="D7260" i="106"/>
  <c r="A7262" i="106" l="1"/>
  <c r="D7261" i="106"/>
  <c r="D7262" i="106" l="1"/>
  <c r="A7263" i="106"/>
  <c r="A7264" i="106" l="1"/>
  <c r="D7263" i="106"/>
  <c r="A7265" i="106" l="1"/>
  <c r="D7264" i="106"/>
  <c r="A7266" i="106" l="1"/>
  <c r="D7265" i="106"/>
  <c r="A7267" i="106" l="1"/>
  <c r="D7266" i="106"/>
  <c r="A7268" i="106" l="1"/>
  <c r="D7267"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A7637" i="106" l="1"/>
  <c r="D7636" i="106"/>
  <c r="A7638" i="106" l="1"/>
  <c r="D7637" i="106"/>
  <c r="A7639" i="106" l="1"/>
  <c r="D7638"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<sst xmlns="http://schemas.openxmlformats.org/spreadsheetml/2006/main" count="5171" uniqueCount="2088">
  <si>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</si>
  <si>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</si>
  <si>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</si>
  <si>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</si>
  <si>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</si>
  <si>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</si>
  <si>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</si>
  <si>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</si>
  <si>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</si>
  <si>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</si>
  <si>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</si>
  <si>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</si>
  <si>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</si>
  <si>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</si>
  <si>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</si>
  <si>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</si>
  <si>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</si>
  <si>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</si>
  <si>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</si>
  <si>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</si>
  <si>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</si>
  <si>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</si>
  <si>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</si>
  <si>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</si>
  <si>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</si>
  <si>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</si>
  <si>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</si>
  <si>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</si>
  <si>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</si>
  <si>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</si>
  <si>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</si>
  <si>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</si>
  <si>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</si>
  <si>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</si>
  <si>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</si>
  <si>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</si>
  <si>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</si>
  <si>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</si>
  <si>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</si>
  <si>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</si>
  <si>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</si>
  <si>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</si>
  <si>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</si>
  <si>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</si>
  <si>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</si>
  <si>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</si>
  <si>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</si>
  <si>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</si>
  <si>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</si>
  <si>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</si>
  <si>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</si>
  <si>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</si>
  <si>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</si>
  <si>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</si>
  <si>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</si>
  <si>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</si>
  <si>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</si>
  <si>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</si>
  <si>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</si>
  <si>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</si>
  <si>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</si>
  <si>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</si>
  <si>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</si>
  <si>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</si>
  <si>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</si>
  <si>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</si>
  <si>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</si>
  <si>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</si>
  <si>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</si>
  <si>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</si>
  <si>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</si>
  <si>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</si>
  <si>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</si>
  <si>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</si>
  <si>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</si>
  <si>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</si>
  <si>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</si>
  <si>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</si>
  <si>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</si>
  <si>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</si>
  <si>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</si>
  <si>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</si>
  <si>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</si>
  <si>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</si>
  <si>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</si>
  <si>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</si>
  <si>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</si>
  <si>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</si>
  <si>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</si>
  <si>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</si>
  <si>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</si>
  <si>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</si>
  <si>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</si>
  <si>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</si>
  <si>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</si>
  <si>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</si>
  <si>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</si>
  <si>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</si>
  <si>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</si>
  <si>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</si>
  <si>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</si>
  <si>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</si>
  <si>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</si>
  <si>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</si>
  <si>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</si>
  <si>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</si>
  <si>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</si>
  <si>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</si>
  <si>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</si>
  <si>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</si>
  <si>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</si>
  <si>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</si>
  <si>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</si>
  <si>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</si>
  <si>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</si>
  <si>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</si>
  <si>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</si>
  <si>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</si>
  <si>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</si>
  <si>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</si>
  <si>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</si>
  <si>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</si>
  <si>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</si>
  <si>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</si>
  <si>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</si>
  <si>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</si>
  <si>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</si>
  <si>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</si>
  <si>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</si>
  <si>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</si>
  <si>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</si>
  <si>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</si>
  <si>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</si>
  <si>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</si>
  <si>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</si>
  <si>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</si>
  <si>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</si>
  <si>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</si>
  <si>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</si>
  <si>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</si>
  <si>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</si>
  <si>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</si>
  <si>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</si>
  <si>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</si>
  <si>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</si>
  <si>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</si>
  <si>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</si>
  <si>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</si>
  <si>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</si>
  <si>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</si>
  <si>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</si>
  <si>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</si>
  <si>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</si>
  <si>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</si>
  <si>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</si>
  <si>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</si>
  <si>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</si>
  <si>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</si>
  <si>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</si>
  <si>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</si>
  <si>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</si>
  <si>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</si>
  <si>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</si>
  <si>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</si>
  <si>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</si>
  <si>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</si>
  <si>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</si>
  <si>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</si>
  <si>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</si>
  <si>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</si>
  <si>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</si>
  <si>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</si>
  <si>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</si>
  <si>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</si>
  <si>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</si>
  <si>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</si>
  <si>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</si>
  <si>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</si>
  <si>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</si>
  <si>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</si>
  <si>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</si>
  <si>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</si>
  <si>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</si>
  <si>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</si>
  <si>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</si>
  <si>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</si>
  <si>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</si>
  <si>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</si>
  <si>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</si>
  <si>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</si>
  <si>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</si>
  <si>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</si>
  <si>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</si>
  <si>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</si>
  <si>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</si>
  <si>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</si>
  <si>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</si>
  <si>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</si>
  <si>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</si>
  <si>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</si>
  <si>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</si>
  <si>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</si>
  <si>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</si>
  <si>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</si>
  <si>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</si>
  <si>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</si>
  <si>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</si>
  <si>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</si>
  <si>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</si>
  <si>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</si>
  <si>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</si>
  <si>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</si>
  <si>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</si>
  <si>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</si>
  <si>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</si>
  <si>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</si>
  <si>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</si>
  <si>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</si>
  <si>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</si>
  <si>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</si>
  <si>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</si>
  <si>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</si>
  <si>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</si>
  <si>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</si>
  <si>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</si>
  <si>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</si>
  <si>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</si>
  <si>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</si>
  <si>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</si>
  <si>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</si>
  <si>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</si>
  <si>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</si>
  <si>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</si>
  <si>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</si>
  <si>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</si>
  <si>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</si>
  <si>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</si>
  <si>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</si>
  <si>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</si>
  <si>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</si>
  <si>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</si>
  <si>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</si>
  <si>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</si>
  <si>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</si>
  <si>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</si>
  <si>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</si>
  <si>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</si>
  <si>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</si>
  <si>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</si>
  <si>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</si>
  <si>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</si>
  <si>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</si>
  <si>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</si>
  <si>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</si>
  <si>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</si>
  <si>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</si>
  <si>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</si>
  <si>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</si>
  <si>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</si>
  <si>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</si>
  <si>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</si>
  <si>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</si>
  <si>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</si>
  <si>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</si>
  <si>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</si>
  <si>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</si>
  <si>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</si>
  <si>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</si>
  <si>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</si>
  <si>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</si>
  <si>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</si>
  <si>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</si>
  <si>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</si>
  <si>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</si>
  <si>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</si>
  <si>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</si>
  <si>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</si>
  <si>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</si>
  <si>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</si>
  <si>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</si>
  <si>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</si>
  <si>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</si>
  <si>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</si>
  <si>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</si>
  <si>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</si>
  <si>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</si>
  <si>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</si>
  <si>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</si>
  <si>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</si>
  <si>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</si>
  <si>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</si>
  <si>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</si>
  <si>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</si>
  <si>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</si>
  <si>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</si>
  <si>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</si>
  <si>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</si>
  <si>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</si>
  <si>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</si>
  <si>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</si>
  <si>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</si>
  <si>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</si>
  <si>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</si>
  <si>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</si>
  <si>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</si>
  <si>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</si>
  <si>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</si>
  <si>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</si>
  <si>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</si>
  <si>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</si>
  <si>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</si>
  <si>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</si>
  <si>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</si>
  <si>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</si>
  <si>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</si>
  <si>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</si>
  <si>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</si>
  <si>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</si>
  <si>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</si>
  <si>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</si>
  <si>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</si>
  <si>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</si>
  <si>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</si>
  <si>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</si>
  <si>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</si>
  <si>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</si>
  <si>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</si>
  <si>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</si>
  <si>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</si>
  <si>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</si>
  <si>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</si>
  <si>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</si>
  <si>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</si>
  <si>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</si>
  <si>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</si>
  <si>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</si>
  <si>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</si>
  <si>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</si>
  <si>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</si>
  <si>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</si>
  <si>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</si>
  <si>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</si>
  <si>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</si>
  <si>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</si>
  <si>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</si>
  <si>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</si>
  <si>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</si>
  <si>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</si>
  <si>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</si>
  <si>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</si>
  <si>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</si>
  <si>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</si>
  <si>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</si>
  <si>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</si>
  <si>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</si>
  <si>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</si>
  <si>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</si>
  <si>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</si>
  <si>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</si>
  <si>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</si>
  <si>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</si>
  <si>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</si>
  <si>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</si>
  <si>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</si>
  <si>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</si>
  <si>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</si>
  <si>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</si>
  <si>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</si>
  <si>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</si>
  <si>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</si>
  <si>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</si>
  <si>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</si>
  <si>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</si>
  <si>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</si>
  <si>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</si>
  <si>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</si>
  <si>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</si>
  <si>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</si>
  <si>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</si>
  <si>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</si>
  <si>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</si>
  <si>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</si>
  <si>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</si>
  <si>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</si>
  <si>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</si>
  <si>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</si>
  <si>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</si>
  <si>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</si>
  <si>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</si>
  <si>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</si>
  <si>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</si>
  <si>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</si>
  <si>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</si>
  <si>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</si>
  <si>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</si>
  <si>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</si>
  <si>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</si>
  <si>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</si>
  <si>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</si>
  <si>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</si>
  <si>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</si>
  <si>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</si>
  <si>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</si>
  <si>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</si>
  <si>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</si>
  <si>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</si>
  <si>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</si>
  <si>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</si>
  <si>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</si>
  <si>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</si>
  <si>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</si>
  <si>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</si>
  <si>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</si>
  <si>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</si>
  <si>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</si>
  <si>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</si>
  <si>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</si>
  <si>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</si>
  <si>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</si>
  <si>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</si>
  <si>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</si>
  <si>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</si>
  <si>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</si>
  <si>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</si>
  <si>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</si>
  <si>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</si>
  <si>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</si>
  <si>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</si>
  <si>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</si>
  <si>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</si>
  <si>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</si>
  <si>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</si>
  <si>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</si>
  <si>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</si>
  <si>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</si>
  <si>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</si>
  <si>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</si>
  <si>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</si>
  <si>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</si>
  <si>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</si>
  <si>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</si>
  <si>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</si>
  <si>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</si>
  <si>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</si>
  <si>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</si>
  <si>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</si>
  <si>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</si>
  <si>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</si>
  <si>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</si>
  <si>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</si>
  <si>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</si>
  <si>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</si>
  <si>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</si>
  <si>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</si>
  <si>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</si>
  <si>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</si>
  <si>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</si>
  <si>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</si>
  <si>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</si>
  <si>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</si>
  <si>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</si>
  <si>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</si>
  <si>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</si>
  <si>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</si>
  <si>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</si>
  <si>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</si>
  <si>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</si>
  <si>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</si>
  <si>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</si>
  <si>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</si>
  <si>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</si>
  <si>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</si>
  <si>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</si>
  <si>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</si>
  <si>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</si>
  <si>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</si>
  <si>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</si>
  <si>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</si>
  <si>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</si>
  <si>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</si>
  <si>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</si>
  <si>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</si>
  <si>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</si>
  <si>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</si>
  <si>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</si>
  <si>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</si>
  <si>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</si>
  <si>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</si>
  <si>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</si>
  <si>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</si>
  <si>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</si>
  <si>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</si>
  <si>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</si>
  <si>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</si>
  <si>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</si>
  <si>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</si>
  <si>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</si>
  <si>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</si>
  <si>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</si>
  <si>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</si>
  <si>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</si>
  <si>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</si>
  <si>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</si>
  <si>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</si>
  <si>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</si>
  <si>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</si>
  <si>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</si>
  <si>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</si>
  <si>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</si>
  <si>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</si>
  <si>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</si>
  <si>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</si>
  <si>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</si>
  <si>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</si>
  <si>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</si>
  <si>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</si>
  <si>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</si>
  <si>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</si>
  <si>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</si>
  <si>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</si>
  <si>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</si>
  <si>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</si>
  <si>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</si>
  <si>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</si>
  <si>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</si>
  <si>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</si>
  <si>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</si>
  <si>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</si>
  <si>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</si>
  <si>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</si>
  <si>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</si>
  <si>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</si>
  <si>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</si>
  <si>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</si>
  <si>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</si>
  <si>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</si>
  <si>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</si>
  <si>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</si>
  <si>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</si>
  <si>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</si>
  <si>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</si>
  <si>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</si>
  <si>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</si>
  <si>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</si>
  <si>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</si>
  <si>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</si>
  <si>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</si>
  <si>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</si>
  <si>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</si>
  <si>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</si>
  <si>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</si>
  <si>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</si>
  <si>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</si>
  <si>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</si>
  <si>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</si>
  <si>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</si>
  <si>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</si>
  <si>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</si>
  <si>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</si>
  <si>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</si>
  <si>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</si>
  <si>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</si>
  <si>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</si>
  <si>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</si>
  <si>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</si>
  <si>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</si>
  <si>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</si>
  <si>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</si>
  <si>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</si>
  <si>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</si>
  <si>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</si>
  <si>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</si>
  <si>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</si>
  <si>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</si>
  <si>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</si>
  <si>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</si>
  <si>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</si>
  <si>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</si>
  <si>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</si>
  <si>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</si>
  <si>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</si>
  <si>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</si>
  <si>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</si>
  <si>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</si>
  <si>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</si>
  <si>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</si>
  <si>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</si>
  <si>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</si>
  <si>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</si>
  <si>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</si>
  <si>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</si>
  <si>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</si>
  <si>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</si>
  <si>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</si>
  <si>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</si>
  <si>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</si>
  <si>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</si>
  <si>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</si>
  <si>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</si>
  <si>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</si>
  <si>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</si>
  <si>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</si>
  <si>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</si>
  <si>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</si>
  <si>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</si>
  <si>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</si>
  <si>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</si>
  <si>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</si>
  <si>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</si>
  <si>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</si>
  <si>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</si>
  <si>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</si>
  <si>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</si>
  <si>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</si>
  <si>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</si>
  <si>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</si>
  <si>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</si>
  <si>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</si>
  <si>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</si>
  <si>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</si>
  <si>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</si>
  <si>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</si>
  <si>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</si>
  <si>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</si>
  <si>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</si>
  <si>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</si>
  <si>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</si>
  <si>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</si>
  <si>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</si>
  <si>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</si>
  <si>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</si>
  <si>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</si>
  <si>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</si>
  <si>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</si>
  <si>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</si>
  <si>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</si>
  <si>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</si>
  <si>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</si>
  <si>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</si>
  <si>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</si>
  <si>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</si>
  <si>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</si>
  <si>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</si>
  <si>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</si>
  <si>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</si>
  <si>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</si>
  <si>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</si>
  <si>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</si>
  <si>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</si>
  <si>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</si>
  <si>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</si>
  <si>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</si>
  <si>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</si>
  <si>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</si>
  <si>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</si>
  <si>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</si>
  <si>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</si>
  <si>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</si>
  <si>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</si>
  <si>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</si>
  <si>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</si>
  <si>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</si>
  <si>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</si>
  <si>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</si>
  <si>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</si>
  <si>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</si>
  <si>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</si>
  <si>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</si>
  <si>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</si>
  <si>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</si>
  <si>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</si>
  <si>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</si>
  <si>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</si>
  <si>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</si>
  <si>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</si>
  <si>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</si>
  <si>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</si>
  <si>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</si>
  <si>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</si>
  <si>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</si>
  <si>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</si>
  <si>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</si>
  <si>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</si>
  <si>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</si>
  <si>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</si>
  <si>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</si>
  <si>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</si>
  <si>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</si>
  <si>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</si>
  <si>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</si>
  <si>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</si>
  <si>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</si>
  <si>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</si>
  <si>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</si>
  <si>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</si>
  <si>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</si>
  <si>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</si>
  <si>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</si>
  <si>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</si>
  <si>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</si>
  <si>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</si>
  <si>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</si>
  <si>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</si>
  <si>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</si>
  <si>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</si>
  <si>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</si>
  <si>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</si>
  <si>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</si>
  <si>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</si>
  <si>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</si>
  <si>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</si>
  <si>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</si>
  <si>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</si>
  <si>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</si>
  <si>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</si>
  <si>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</si>
  <si>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</si>
  <si>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</si>
  <si>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</si>
  <si>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</si>
  <si>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</si>
  <si>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</si>
  <si>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</si>
  <si>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</si>
  <si>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</si>
  <si>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</si>
  <si>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</si>
  <si>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</si>
  <si>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</si>
  <si>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</si>
  <si>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</si>
  <si>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</si>
  <si>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</si>
  <si>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</si>
  <si>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</si>
  <si>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</si>
  <si>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</si>
  <si>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</si>
  <si>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</si>
  <si>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</si>
  <si>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</si>
  <si>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</si>
  <si>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</si>
  <si>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</si>
  <si>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</si>
  <si>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</si>
  <si>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</si>
  <si>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</si>
  <si>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</si>
  <si>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</si>
  <si>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</si>
  <si>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</si>
  <si>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</si>
  <si>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</si>
  <si>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</si>
  <si>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</si>
  <si>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</si>
  <si>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</si>
  <si>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</si>
  <si>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</si>
  <si>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</si>
  <si>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</si>
  <si>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</si>
  <si>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</si>
  <si>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</si>
  <si>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</si>
  <si>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</si>
  <si>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</si>
  <si>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</si>
  <si>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</si>
  <si>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</si>
  <si>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</si>
  <si>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</si>
  <si>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</si>
  <si>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</si>
  <si>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</si>
  <si>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</si>
  <si>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</si>
  <si>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</si>
  <si>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</si>
  <si>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</si>
  <si>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</si>
  <si>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</si>
  <si>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</si>
  <si>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</si>
  <si>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</si>
  <si>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</si>
  <si>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</si>
  <si>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</si>
  <si>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</si>
  <si>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</si>
  <si>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</si>
  <si>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</si>
  <si>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</si>
  <si>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</si>
  <si>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</si>
  <si>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</si>
  <si>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</si>
  <si>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</si>
  <si>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</si>
  <si>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</si>
  <si>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</si>
  <si>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</si>
  <si>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</si>
  <si>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</si>
  <si>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</si>
  <si>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</si>
  <si>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</si>
  <si>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</si>
  <si>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</si>
  <si>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</si>
  <si>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</si>
  <si>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</si>
  <si>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</si>
  <si>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</si>
  <si>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</si>
  <si>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</si>
  <si>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</si>
  <si>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</si>
  <si>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</si>
  <si>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</si>
  <si>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</si>
  <si>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</si>
  <si>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</si>
  <si>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</si>
  <si>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</si>
  <si>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</si>
  <si>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</si>
  <si>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</si>
  <si>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</si>
  <si>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</si>
  <si>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</si>
  <si>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</si>
  <si>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</si>
  <si>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</si>
  <si>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</si>
  <si>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</si>
  <si>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</si>
  <si>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</si>
  <si>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</si>
  <si>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</si>
  <si>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</si>
  <si>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</si>
  <si>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</si>
  <si>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</si>
  <si>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</si>
  <si>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</si>
  <si>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</si>
  <si>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</si>
  <si>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</si>
  <si>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</si>
  <si>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</si>
  <si>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</si>
  <si>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</si>
  <si>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</si>
  <si>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</si>
  <si>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</si>
  <si>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</si>
  <si>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</si>
  <si>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</si>
  <si>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</si>
  <si>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</si>
  <si>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</si>
  <si>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</si>
  <si>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</si>
  <si>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</si>
  <si>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</si>
  <si>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</si>
  <si>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</si>
  <si>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</si>
  <si>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</si>
  <si>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</si>
  <si>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</si>
  <si>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</si>
  <si>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</si>
  <si>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</si>
  <si>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</si>
  <si>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</si>
  <si>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</si>
  <si>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</si>
  <si>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</si>
  <si>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</si>
  <si>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</si>
  <si>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</si>
  <si>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</si>
  <si>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</si>
  <si>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</si>
  <si>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</si>
  <si>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</si>
  <si>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</si>
  <si>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</si>
  <si>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</si>
  <si>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</si>
  <si>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</si>
  <si>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</si>
  <si>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</si>
  <si>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</si>
  <si>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</si>
  <si>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</si>
  <si>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</si>
  <si>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</si>
  <si>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</si>
  <si>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</si>
  <si>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</si>
  <si>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</si>
  <si>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</si>
  <si>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</si>
  <si>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</si>
  <si>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</si>
  <si>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</si>
  <si>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</si>
  <si>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</si>
  <si>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</si>
  <si>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</si>
  <si>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</si>
  <si>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</si>
  <si>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</si>
  <si>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</si>
  <si>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</si>
  <si>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</si>
  <si>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</si>
  <si>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</si>
  <si>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</si>
  <si>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</si>
  <si>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</si>
  <si>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</si>
  <si>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</si>
  <si>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</si>
  <si>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</si>
  <si>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</si>
  <si>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</si>
  <si>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</si>
  <si>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</si>
  <si>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</si>
  <si>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</si>
  <si>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</si>
  <si>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</si>
  <si>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</si>
  <si>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</si>
  <si>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</si>
  <si>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</si>
  <si>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</si>
  <si>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</si>
  <si>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</si>
  <si>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</si>
  <si>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</si>
  <si>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</si>
  <si>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</si>
  <si>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</si>
  <si>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</si>
  <si>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</si>
  <si>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</si>
  <si>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</si>
  <si>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</si>
  <si>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</si>
  <si>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</si>
  <si>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</si>
  <si>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</si>
  <si>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</si>
  <si>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</si>
  <si>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</si>
  <si>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</si>
  <si>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</si>
  <si>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</si>
  <si>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</si>
  <si>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</si>
  <si>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</si>
  <si>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</si>
  <si>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</si>
  <si>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</si>
  <si>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</si>
  <si>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</si>
  <si>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</si>
  <si>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</si>
  <si>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</si>
  <si>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</si>
  <si>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</si>
  <si>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</si>
  <si>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</si>
  <si>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</si>
  <si>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</si>
  <si>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</si>
  <si>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</si>
  <si>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</si>
  <si>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</si>
  <si>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</si>
  <si>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</si>
  <si>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</si>
  <si>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</si>
  <si>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</si>
  <si>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</si>
  <si>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</si>
  <si>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</si>
  <si>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</si>
  <si>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</si>
  <si>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</si>
  <si>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</si>
  <si>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</si>
  <si>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</si>
  <si>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</si>
  <si>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</si>
  <si>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</si>
  <si>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</si>
  <si>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</si>
  <si>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</si>
  <si>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</si>
  <si>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</si>
  <si>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</si>
  <si>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</si>
  <si>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</si>
  <si>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</si>
  <si>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</si>
  <si>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</si>
  <si>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</si>
  <si>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</si>
  <si>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</si>
  <si>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</si>
  <si>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</si>
  <si>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</si>
  <si>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</si>
  <si>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</si>
  <si>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</si>
  <si>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</si>
  <si>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</si>
  <si>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</si>
  <si>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</si>
  <si>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</si>
  <si>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</si>
  <si>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</si>
  <si>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</si>
  <si>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</si>
  <si>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</si>
  <si>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</si>
  <si>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</si>
  <si>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</si>
  <si>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</si>
  <si>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</si>
  <si>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</si>
  <si>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</si>
  <si>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</si>
  <si>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</si>
  <si>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</si>
  <si>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</si>
  <si>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</si>
  <si>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</si>
  <si>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</si>
  <si>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</si>
  <si>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</si>
  <si>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</si>
  <si>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</si>
  <si>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</si>
  <si>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</si>
  <si>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</si>
  <si>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</si>
  <si>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</si>
  <si>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</si>
  <si>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</si>
  <si>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</si>
  <si>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</si>
  <si>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</si>
  <si>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</si>
  <si>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</si>
  <si>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</si>
  <si>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</si>
  <si>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</si>
  <si>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</si>
  <si>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</si>
  <si>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</si>
  <si>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</si>
  <si>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</si>
  <si>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</si>
  <si>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</si>
  <si>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</si>
  <si>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</si>
  <si>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</si>
  <si>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</si>
  <si>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</si>
  <si>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</si>
  <si>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</si>
  <si>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</si>
  <si>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</si>
  <si>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</si>
  <si>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</si>
  <si>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</si>
  <si>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</si>
  <si>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</si>
  <si>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</si>
  <si>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</si>
  <si>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</si>
  <si>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</si>
  <si>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</si>
  <si>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</si>
  <si>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</si>
  <si>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</si>
  <si>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</si>
  <si>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</si>
  <si>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</si>
  <si>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</si>
  <si>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</si>
  <si>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</si>
  <si>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</si>
  <si>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</si>
  <si>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</si>
  <si>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</si>
  <si>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</si>
  <si>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</si>
  <si>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</si>
  <si>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</si>
  <si>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</si>
  <si>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</si>
  <si>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</si>
  <si>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</si>
  <si>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</si>
  <si>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</si>
  <si>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</si>
  <si>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</si>
  <si>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</si>
  <si>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</si>
  <si>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</si>
  <si>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</si>
  <si>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</si>
  <si>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</si>
  <si>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</si>
  <si>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</si>
  <si>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</si>
  <si>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</si>
  <si>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</si>
  <si>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</si>
  <si>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</si>
  <si>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</si>
  <si>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</si>
  <si>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</si>
  <si>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</si>
  <si>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</si>
  <si>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</si>
  <si>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</si>
  <si>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</si>
  <si>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</si>
  <si>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</si>
  <si>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</si>
  <si>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</si>
  <si>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</si>
  <si>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</si>
  <si>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</si>
  <si>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</si>
  <si>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</si>
  <si>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</si>
  <si>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</si>
  <si>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</si>
  <si>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</si>
  <si>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</si>
  <si>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</si>
  <si>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</si>
  <si>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</si>
  <si>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</si>
  <si>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</si>
  <si>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</si>
  <si>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</si>
  <si>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</si>
  <si>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</si>
  <si>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</si>
  <si>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</si>
  <si>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</si>
  <si>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</si>
  <si>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</si>
  <si>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</si>
  <si>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</si>
  <si>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</si>
  <si>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</si>
  <si>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</si>
  <si>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</si>
  <si>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</si>
  <si>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</si>
  <si>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</si>
  <si>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</si>
  <si>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</si>
  <si>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</si>
  <si>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</si>
  <si>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</si>
  <si>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</si>
  <si>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</si>
  <si>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</si>
  <si>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</si>
  <si>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</si>
  <si>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</si>
  <si>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</si>
  <si>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</si>
  <si>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</si>
  <si>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</si>
  <si>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</si>
  <si>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</si>
  <si>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</si>
  <si>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</si>
  <si>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</si>
  <si>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</si>
  <si>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</si>
  <si>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</si>
  <si>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</si>
  <si>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</si>
  <si>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</si>
  <si>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</si>
  <si>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</si>
  <si>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</si>
  <si>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</si>
  <si>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</si>
  <si>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</si>
  <si>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</si>
  <si>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</si>
  <si>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</si>
  <si>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</si>
  <si>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</si>
  <si>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</si>
  <si>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</si>
  <si>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</si>
  <si>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</si>
  <si>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</si>
  <si>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</si>
  <si>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</si>
  <si>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</si>
  <si>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</si>
  <si>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</si>
  <si>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</si>
  <si>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</si>
  <si>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</si>
  <si>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</si>
  <si>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</si>
  <si>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</si>
  <si>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</si>
  <si>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</si>
  <si>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</si>
  <si>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</si>
  <si>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</si>
  <si>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</si>
  <si>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</si>
  <si>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</si>
  <si>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</si>
  <si>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</si>
  <si>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</si>
  <si>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</si>
  <si>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</si>
  <si>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</si>
  <si>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</si>
  <si>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</si>
  <si>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</si>
  <si>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</si>
  <si>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</si>
  <si>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</si>
  <si>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</si>
  <si>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</si>
  <si>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</si>
  <si>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</si>
  <si>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</si>
  <si>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</si>
  <si>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</si>
  <si>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</si>
  <si>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</si>
  <si>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</si>
  <si>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</si>
  <si>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</si>
  <si>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</si>
  <si>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</si>
  <si>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</si>
  <si>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</si>
  <si>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</si>
  <si>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</si>
  <si>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</si>
  <si>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</si>
  <si>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</si>
  <si>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</si>
  <si>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</si>
  <si>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</si>
  <si>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</si>
  <si>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</si>
  <si>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</si>
  <si>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</si>
  <si>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</si>
  <si>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</si>
  <si>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</si>
  <si>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</si>
  <si>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</si>
  <si>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</si>
  <si>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</si>
  <si>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</si>
  <si>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</si>
  <si>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</si>
  <si>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</si>
  <si>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</si>
  <si>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</si>
  <si>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</si>
  <si>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</si>
  <si>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</si>
  <si>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</si>
  <si>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</si>
  <si>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</si>
  <si>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</si>
  <si>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</si>
  <si>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</si>
  <si>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</si>
  <si>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</si>
  <si>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</si>
  <si>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</si>
  <si>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</si>
  <si>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</si>
  <si>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</si>
  <si>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</si>
  <si>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</si>
  <si>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</si>
  <si>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</si>
  <si>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</si>
  <si>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</si>
  <si>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</si>
  <si>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</si>
  <si>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</si>
  <si>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</si>
  <si>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</si>
  <si>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</si>
  <si>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</si>
  <si>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</si>
  <si>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</si>
  <si>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</si>
  <si>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</si>
  <si>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</si>
  <si>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</si>
  <si>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</si>
  <si>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</si>
  <si>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</si>
  <si>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</si>
  <si>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</si>
  <si>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</si>
  <si>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</si>
  <si>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</si>
  <si>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</si>
  <si>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</si>
  <si>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</si>
  <si>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</si>
  <si>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</si>
  <si>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</si>
  <si>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</si>
  <si>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</si>
  <si>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</si>
  <si>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</si>
  <si>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</si>
  <si>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</si>
  <si>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</si>
  <si>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</si>
  <si>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</si>
  <si>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</si>
  <si>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</si>
  <si>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</si>
  <si>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</si>
  <si>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</si>
  <si>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</si>
  <si>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</si>
  <si>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</si>
  <si>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</si>
  <si>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</si>
  <si>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</si>
  <si>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</si>
  <si>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</si>
  <si>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</si>
  <si>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</si>
  <si>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</si>
  <si>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</si>
  <si>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</si>
  <si>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</si>
  <si>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</si>
  <si>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</si>
  <si>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</si>
  <si>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</si>
  <si>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</si>
  <si>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</si>
  <si>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</si>
  <si>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</si>
  <si>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</si>
  <si>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</si>
  <si>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</si>
  <si>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</si>
  <si>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</si>
  <si>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</si>
  <si>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</si>
  <si>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</si>
  <si>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</si>
  <si>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</si>
  <si>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</si>
  <si>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</si>
  <si>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</si>
  <si>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</si>
  <si>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</si>
  <si>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</si>
  <si>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</si>
  <si>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</si>
  <si>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</si>
  <si>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</si>
  <si>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</si>
  <si>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</si>
  <si>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</si>
  <si>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</si>
  <si>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</si>
  <si>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</si>
  <si>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</si>
  <si>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</si>
  <si>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</si>
  <si>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</si>
  <si>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</si>
  <si>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</si>
  <si>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</si>
  <si>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</si>
  <si>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</si>
  <si>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</si>
  <si>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</si>
  <si>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</si>
  <si>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</si>
  <si>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</si>
  <si>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</si>
  <si>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</si>
  <si>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</si>
  <si>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</si>
  <si>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</si>
  <si>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</si>
  <si>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</si>
  <si>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</si>
  <si>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</si>
  <si>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</si>
  <si>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</si>
  <si>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</si>
  <si>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</si>
  <si>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</si>
  <si>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</si>
  <si>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</si>
  <si>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</si>
  <si>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</si>
  <si>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</si>
  <si>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</si>
  <si>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</si>
  <si>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</si>
  <si>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</si>
  <si>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</si>
  <si>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</si>
  <si>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</si>
  <si>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</si>
  <si>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</si>
  <si>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</si>
  <si>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</si>
  <si>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</si>
  <si>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</si>
  <si>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</si>
  <si>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</si>
  <si>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</si>
  <si>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</si>
  <si>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</si>
  <si>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</si>
  <si>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</si>
  <si>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</si>
  <si>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</si>
  <si>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</si>
  <si>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</si>
  <si>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</si>
  <si>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</si>
  <si>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</si>
  <si>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</si>
  <si>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</si>
  <si>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</si>
  <si>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</si>
  <si>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</si>
  <si>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</si>
  <si>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</si>
  <si>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</si>
  <si>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</si>
  <si>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</si>
  <si>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</si>
  <si>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</si>
  <si>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</si>
  <si>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</si>
  <si>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</si>
  <si>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</si>
  <si>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</si>
  <si>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</si>
  <si>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</si>
  <si>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</si>
  <si>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</si>
  <si>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</si>
  <si>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</si>
  <si>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</si>
  <si>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</si>
  <si>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</si>
  <si>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</si>
  <si>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</si>
  <si>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</si>
  <si>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</si>
  <si>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</si>
  <si>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</si>
  <si>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</si>
  <si>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</si>
  <si>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</si>
  <si>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</si>
  <si>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</si>
  <si>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</si>
  <si>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</si>
  <si>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</si>
  <si>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</si>
  <si>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</si>
  <si>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</si>
  <si>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</si>
  <si>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</si>
  <si>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</si>
  <si>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</si>
  <si>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</si>
  <si>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</si>
  <si>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</si>
  <si>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</si>
  <si>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</si>
  <si>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</si>
  <si>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</si>
  <si>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</si>
  <si>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</si>
  <si>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</si>
  <si>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</si>
  <si>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</si>
  <si>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</si>
  <si>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</si>
  <si>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</si>
  <si>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</si>
  <si>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</si>
  <si>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</si>
  <si>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</si>
  <si>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</si>
  <si>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</si>
  <si>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</si>
  <si>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</si>
  <si>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</si>
  <si>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</si>
  <si>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</si>
  <si>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</si>
  <si>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</si>
  <si>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</si>
  <si>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</si>
  <si>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</si>
  <si>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</si>
  <si>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</si>
  <si>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</si>
  <si>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</si>
  <si>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</si>
  <si>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</si>
  <si>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</si>
  <si>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</si>
  <si>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</si>
  <si>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</si>
  <si>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</si>
  <si>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</si>
  <si>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</si>
  <si>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</si>
  <si>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</si>
  <si>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</si>
  <si>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</si>
  <si>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</si>
  <si>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</si>
  <si>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</si>
  <si>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</si>
  <si>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</si>
  <si>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</si>
  <si>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</si>
  <si>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</si>
  <si>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</si>
  <si>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</si>
  <si>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</si>
  <si>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</si>
  <si>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</si>
  <si>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</si>
  <si>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</si>
  <si>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</si>
  <si>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</si>
  <si>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</si>
  <si>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</si>
  <si>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</si>
  <si>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</si>
  <si>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</si>
  <si>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</si>
  <si>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</si>
  <si>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</si>
  <si>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</si>
  <si>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</si>
  <si>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</si>
  <si>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</si>
  <si>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</si>
  <si>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</si>
  <si>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</si>
  <si>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</si>
  <si>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</si>
  <si>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</si>
  <si>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</si>
  <si>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</si>
  <si>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</si>
  <si>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</si>
  <si>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</si>
  <si>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</si>
  <si>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</si>
  <si>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</si>
  <si>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</si>
  <si>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</si>
  <si>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</si>
  <si>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</si>
  <si>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</si>
  <si>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</si>
  <si>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</si>
  <si>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</si>
  <si>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</si>
  <si>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</si>
  <si>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</si>
  <si>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</si>
  <si>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</si>
  <si>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</si>
  <si>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</si>
  <si>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</si>
  <si>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</si>
  <si>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</si>
  <si>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</si>
  <si>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</si>
  <si>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</si>
  <si>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</si>
  <si>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</si>
  <si>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</si>
  <si>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</si>
  <si>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</si>
  <si>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</si>
  <si>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</si>
  <si>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</si>
  <si>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</si>
  <si>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</si>
  <si>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</si>
  <si>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</si>
  <si>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</si>
  <si>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</si>
  <si>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</si>
  <si>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</si>
  <si>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</si>
  <si>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</si>
  <si>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</si>
  <si>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</si>
  <si>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</si>
  <si>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</si>
  <si>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</si>
  <si>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</si>
  <si>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</si>
  <si>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</si>
  <si>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</si>
  <si>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</si>
  <si>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</si>
  <si>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</si>
  <si>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</si>
  <si>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</si>
  <si>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</si>
  <si>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</si>
  <si>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</si>
  <si>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</si>
  <si>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</si>
  <si>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</si>
  <si>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</si>
  <si>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</si>
  <si>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</si>
  <si>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</si>
  <si>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</si>
  <si>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</si>
  <si>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</si>
  <si>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</si>
  <si>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</si>
  <si>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</si>
  <si>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</si>
  <si>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</si>
  <si>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</si>
  <si>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</si>
  <si>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</si>
  <si>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</si>
  <si>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</si>
  <si>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</si>
  <si>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</si>
  <si>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</si>
  <si>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</si>
  <si>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</si>
  <si>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</si>
  <si>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</si>
  <si>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</si>
  <si>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</si>
  <si>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</si>
  <si>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</si>
  <si>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</si>
  <si>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</si>
  <si>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</si>
  <si>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</si>
  <si>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</si>
  <si>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</si>
  <si>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</si>
  <si>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</si>
  <si>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</si>
  <si>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</si>
  <si>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</si>
  <si>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</si>
  <si>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</si>
  <si>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</si>
  <si>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</si>
  <si>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</si>
  <si>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</si>
  <si>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</si>
  <si>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</si>
  <si>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</si>
  <si>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</si>
  <si>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</si>
  <si>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</si>
  <si>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</si>
  <si>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</si>
  <si>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</si>
  <si>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</si>
  <si>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</si>
  <si>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</si>
  <si>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</si>
  <si>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</si>
  <si>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</si>
  <si>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</si>
  <si>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</si>
  <si>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</si>
  <si>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</si>
  <si>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</si>
  <si>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</si>
  <si>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</si>
  <si>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</si>
  <si>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</si>
  <si>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</si>
  <si>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</si>
  <si>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</si>
  <si>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</si>
  <si>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</si>
  <si>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</si>
  <si>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</si>
  <si>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</si>
  <si>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</si>
  <si>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</si>
  <si>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</si>
  <si>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</si>
  <si>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</si>
  <si>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</si>
  <si>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</si>
  <si>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</si>
  <si>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</si>
  <si>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</si>
  <si>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</si>
  <si>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</si>
  <si>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</si>
  <si>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</si>
  <si>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</si>
  <si>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</si>
  <si>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</si>
  <si>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</si>
  <si>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</si>
  <si>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</si>
  <si>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</si>
  <si>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</si>
  <si>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</si>
  <si>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</si>
  <si>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</si>
  <si>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</si>
  <si>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</si>
  <si>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</si>
  <si>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</si>
  <si>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</si>
  <si>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</si>
  <si>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</si>
  <si>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</si>
  <si>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</si>
  <si>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</si>
  <si>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</si>
  <si>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</si>
  <si>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</si>
  <si>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</si>
  <si>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</si>
  <si>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</si>
  <si>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</si>
  <si>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</si>
  <si>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</si>
  <si>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</si>
  <si>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</si>
  <si>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</si>
  <si>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</si>
  <si>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</si>
  <si>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</si>
  <si>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</si>
  <si>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</si>
  <si>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</si>
  <si>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</si>
  <si>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</si>
  <si>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</si>
  <si>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</si>
  <si>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</si>
  <si>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</si>
  <si>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</si>
  <si>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</si>
  <si>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</si>
  <si>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</si>
  <si>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</si>
  <si>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</si>
  <si>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</si>
  <si>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</si>
  <si>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</si>
  <si>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</si>
  <si>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</si>
  <si>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</si>
  <si>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</si>
  <si>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</si>
  <si>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</si>
  <si>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</si>
  <si>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</si>
  <si>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</si>
  <si>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</si>
  <si>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</si>
  <si>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</si>
  <si>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</si>
  <si>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</si>
  <si>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</si>
  <si>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</si>
  <si>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</si>
  <si>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</si>
  <si>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</si>
  <si>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</si>
  <si>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</si>
  <si>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</si>
  <si>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</si>
  <si>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</si>
  <si>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</si>
  <si>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</si>
  <si>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</si>
  <si>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</si>
  <si>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</si>
  <si>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</si>
  <si>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</si>
  <si>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</si>
  <si>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</si>
  <si>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</si>
  <si>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</si>
  <si>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</si>
  <si>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</si>
  <si>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</si>
  <si>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</si>
  <si>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</si>
  <si>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</si>
  <si>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</si>
  <si>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</si>
  <si>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</si>
  <si>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</si>
  <si>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</si>
  <si>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</si>
  <si>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</si>
  <si>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</si>
  <si>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</si>
  <si>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</si>
  <si>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</si>
  <si>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</si>
  <si>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</si>
  <si>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</si>
  <si>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</si>
  <si>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</si>
  <si>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</si>
  <si>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</si>
  <si>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</si>
  <si>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</si>
  <si>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</si>
  <si>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</si>
  <si>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</si>
  <si>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</si>
  <si>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</si>
  <si>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</si>
  <si>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</si>
  <si>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</si>
  <si>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</si>
  <si>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</si>
  <si>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</si>
  <si>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</si>
  <si>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</si>
  <si>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</si>
  <si>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</si>
  <si>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</si>
  <si>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</si>
  <si>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</si>
  <si>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</si>
  <si>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</si>
  <si>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</si>
  <si>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</si>
  <si>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</si>
  <si>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</si>
  <si>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</si>
  <si>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</si>
  <si>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</si>
  <si>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</si>
  <si>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</si>
  <si>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</si>
  <si>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</si>
  <si>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</si>
  <si>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</si>
  <si>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</si>
  <si>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</si>
  <si>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</si>
  <si>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</si>
  <si>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</si>
  <si>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</si>
  <si>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</si>
  <si>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</si>
  <si>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</si>
  <si>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</si>
  <si>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</si>
  <si>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</si>
  <si>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</si>
  <si>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</si>
  <si>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</si>
  <si>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</si>
  <si>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</si>
  <si>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</si>
  <si>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</si>
  <si>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</si>
  <si>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</si>
  <si>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</si>
  <si>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</si>
  <si>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</si>
  <si>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</si>
  <si>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</si>
  <si>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</si>
  <si>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</si>
  <si>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</si>
  <si>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</si>
  <si>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</si>
  <si>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</si>
  <si>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</si>
  <si>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</si>
  <si>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</si>
  <si>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</si>
  <si>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</si>
  <si>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</si>
  <si>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</si>
  <si>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</si>
  <si>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</si>
  <si>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</si>
  <si>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</si>
  <si>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</si>
  <si>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</si>
  <si>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</si>
  <si>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</si>
  <si>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</si>
  <si>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</si>
  <si>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</si>
  <si>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</si>
  <si>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</si>
  <si>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</si>
  <si>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</si>
  <si>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</si>
  <si>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</si>
  <si>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</si>
  <si>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</si>
  <si>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</si>
  <si>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</si>
  <si>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</si>
  <si>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</si>
  <si>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</si>
  <si>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</si>
  <si>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</si>
  <si>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</si>
  <si>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</si>
  <si>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</si>
  <si>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</si>
  <si>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</si>
  <si>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</si>
  <si>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</si>
  <si>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</si>
  <si>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</si>
  <si>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</si>
  <si>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</si>
  <si>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</si>
  <si>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</si>
  <si>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</si>
  <si>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</si>
  <si>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</si>
  <si>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</si>
  <si>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</si>
  <si>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</si>
  <si>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</si>
  <si>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</si>
  <si>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</si>
  <si>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</si>
  <si>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</si>
  <si>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</si>
  <si>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</si>
  <si>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</si>
  <si>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</si>
  <si>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</si>
  <si>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</si>
  <si>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</si>
  <si>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</si>
  <si>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</si>
  <si>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</si>
  <si>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</si>
  <si>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</si>
  <si>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</si>
  <si>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</si>
  <si>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</si>
  <si>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</si>
  <si>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</si>
  <si>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</si>
  <si>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</si>
  <si>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</si>
  <si>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</si>
  <si>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</si>
  <si>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</si>
  <si>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</si>
  <si>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</si>
  <si>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</si>
  <si>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</si>
  <si>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</si>
  <si>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</si>
  <si>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</si>
  <si>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</si>
  <si>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</si>
  <si>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</si>
  <si>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</si>
  <si>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</si>
  <si>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</si>
  <si>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</si>
  <si>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</si>
  <si>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</si>
  <si>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</si>
  <si>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</si>
  <si>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</si>
  <si>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</si>
  <si>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</si>
  <si>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</si>
  <si>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</si>
  <si>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</si>
  <si>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Livingston</t>
  </si>
  <si>
    <t>202 Falcon Highway</t>
  </si>
  <si>
    <t>Flanagan</t>
  </si>
  <si>
    <t>Jerry Farris</t>
  </si>
  <si>
    <t>jfarris@fc74.org</t>
  </si>
  <si>
    <t>General Obligation Limited School Bond Series 2015B</t>
  </si>
  <si>
    <t>General Obligation Limited School Bond Series 2015A</t>
  </si>
  <si>
    <t>Loan 2016 Collins Microbird (July 2015 financing lease)</t>
  </si>
  <si>
    <t>Working Cash bond Series 2019A</t>
  </si>
  <si>
    <t>Working Cash Bond Series 2019B</t>
  </si>
  <si>
    <t>NO CONTRACTS</t>
  </si>
  <si>
    <t>Blue Cross/Blue Shield, Dearbon Life</t>
  </si>
  <si>
    <t>Center Point Energy</t>
  </si>
  <si>
    <t>WCSIT, ISDA</t>
  </si>
  <si>
    <t>HLERK</t>
  </si>
  <si>
    <t>Cornell Grade School District</t>
  </si>
  <si>
    <t>Livingston County SSU</t>
  </si>
  <si>
    <t>LACC</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</si>
  <si>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</si>
  <si>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</si>
  <si>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</si>
  <si>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</si>
  <si>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</si>
  <si>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</si>
  <si>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</si>
  <si>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</si>
  <si>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</si>
  <si>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</si>
  <si>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</si>
  <si>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</si>
  <si>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</si>
  <si>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</si>
  <si>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</si>
  <si>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</si>
  <si>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</si>
  <si>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</si>
  <si>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</si>
  <si>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</si>
  <si>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</si>
  <si>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</si>
  <si>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</si>
  <si>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</si>
  <si>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</si>
  <si>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</si>
  <si>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</si>
  <si>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</si>
  <si>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</si>
  <si>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</si>
  <si>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</si>
  <si>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</si>
  <si>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</si>
  <si>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</si>
  <si>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</si>
  <si>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</si>
  <si>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</si>
  <si>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Installment Loan Agreement</t>
  </si>
  <si>
    <t xml:space="preserve"> Flanagan-Cornell U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</si>
</sst>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4"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1.5"/>
      <color theme="1"/>
      <name val="Calibri"/>
      <family val="2"/>
      <scheme val="minor"/>
    </font>
    <font>
      <b/>
      <u/>
      <sz val="10"/>
      <color theme="1"/>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20"/>
      <color theme="1"/>
      <name val="Calibri"/>
      <family val="2"/>
      <scheme val="minor"/>
    </font>
    <font>
      <sz val="8.5"/>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4"/>
        <bgColor indexed="64"/>
      </patternFill>
    </fill>
    <fill>
      <patternFill patternType="solid">
        <fgColor theme="4" tint="0.79998168889431442"/>
        <bgColor indexed="64"/>
      </patternFill>
    </fill>
    <fill>
      <patternFill patternType="solid">
        <fgColor rgb="FFC0C0C0"/>
        <bgColor indexed="64"/>
      </patternFill>
    </fill>
    <fill>
      <patternFill patternType="solid">
        <fgColor theme="0" tint="-0.249977111117893"/>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theme="0" tint="-0.24994659260841701"/>
      </left>
      <right/>
      <top/>
      <bottom style="thin">
        <color indexed="22"/>
      </bottom>
      <diagonal/>
    </border>
    <border>
      <left/>
      <right/>
      <top/>
      <bottom style="thin">
        <color theme="0" tint="-0.34998626667073579"/>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style="thin">
        <color rgb="FFC0C0C0"/>
      </right>
      <top style="thin">
        <color rgb="FFC0C0C0"/>
      </top>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6"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627">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8"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130" xfId="19" applyFont="1" applyBorder="1" applyAlignment="1" applyProtection="1">
      <alignment vertical="center"/>
    </xf>
    <xf numFmtId="0" fontId="3" fillId="0" borderId="8" xfId="19" applyFont="1" applyBorder="1" applyAlignment="1" applyProtection="1">
      <alignment horizontal="left" vertical="center"/>
    </xf>
    <xf numFmtId="0" fontId="89" fillId="0" borderId="12" xfId="0" applyFont="1" applyFill="1" applyBorder="1" applyAlignment="1">
      <alignment horizontal="left" vertical="center"/>
    </xf>
    <xf numFmtId="0" fontId="90" fillId="0" borderId="0" xfId="0" applyFont="1" applyBorder="1"/>
    <xf numFmtId="0" fontId="90" fillId="0" borderId="12" xfId="0" applyFont="1" applyBorder="1" applyAlignment="1">
      <alignment horizontal="centerContinuous" vertical="center"/>
    </xf>
    <xf numFmtId="0" fontId="90" fillId="0" borderId="13" xfId="0" applyFont="1" applyBorder="1"/>
    <xf numFmtId="0" fontId="89" fillId="0" borderId="13" xfId="0" applyFont="1" applyBorder="1" applyAlignment="1">
      <alignment horizontal="left" vertical="center"/>
    </xf>
    <xf numFmtId="0" fontId="89" fillId="0" borderId="13" xfId="0" applyFont="1" applyBorder="1" applyAlignment="1">
      <alignment horizontal="center" vertical="center" wrapText="1"/>
    </xf>
    <xf numFmtId="0" fontId="90" fillId="0" borderId="0" xfId="0" applyFont="1" applyBorder="1" applyAlignment="1">
      <alignment horizontal="left"/>
    </xf>
    <xf numFmtId="0" fontId="89" fillId="0" borderId="0" xfId="0" applyFont="1" applyBorder="1"/>
    <xf numFmtId="49" fontId="90" fillId="0" borderId="0" xfId="0" applyNumberFormat="1" applyFont="1" applyBorder="1" applyAlignment="1">
      <alignment horizontal="left"/>
    </xf>
    <xf numFmtId="49" fontId="91" fillId="0" borderId="0" xfId="2" applyNumberFormat="1" applyFont="1" applyBorder="1" applyAlignment="1" applyProtection="1">
      <alignment horizontal="center"/>
    </xf>
    <xf numFmtId="49" fontId="90" fillId="0" borderId="0" xfId="0" applyNumberFormat="1" applyFont="1" applyBorder="1" applyAlignment="1">
      <alignment horizontal="center"/>
    </xf>
    <xf numFmtId="0" fontId="90" fillId="0" borderId="0" xfId="0" applyFont="1" applyBorder="1" applyAlignment="1">
      <alignment horizontal="left" indent="1"/>
    </xf>
    <xf numFmtId="0" fontId="89" fillId="0" borderId="0" xfId="0" applyFont="1" applyBorder="1" applyAlignment="1">
      <alignment horizontal="left"/>
    </xf>
    <xf numFmtId="0" fontId="90" fillId="0" borderId="0" xfId="0" applyFont="1" applyBorder="1" applyAlignment="1">
      <alignment horizontal="centerContinuous" vertical="center"/>
    </xf>
    <xf numFmtId="0" fontId="90" fillId="0" borderId="0" xfId="0" applyFont="1" applyBorder="1" applyAlignment="1">
      <alignment vertical="center"/>
    </xf>
    <xf numFmtId="0" fontId="92" fillId="0" borderId="0" xfId="2" applyFont="1" applyBorder="1" applyAlignment="1" applyProtection="1">
      <alignment horizontal="left" indent="2"/>
    </xf>
    <xf numFmtId="0" fontId="93" fillId="0" borderId="0" xfId="0" applyFont="1" applyBorder="1"/>
    <xf numFmtId="0" fontId="94" fillId="0" borderId="0" xfId="0" applyFont="1" applyBorder="1"/>
    <xf numFmtId="164" fontId="95" fillId="0" borderId="0" xfId="0" applyNumberFormat="1" applyFont="1" applyBorder="1" applyAlignment="1" applyProtection="1">
      <alignment vertical="center"/>
    </xf>
    <xf numFmtId="0" fontId="96" fillId="0" borderId="0" xfId="0" applyFont="1" applyBorder="1"/>
    <xf numFmtId="0" fontId="96" fillId="0" borderId="0" xfId="0" applyFont="1" applyBorder="1" applyAlignment="1" applyProtection="1">
      <alignment vertical="center"/>
    </xf>
    <xf numFmtId="0" fontId="90" fillId="0" borderId="0" xfId="0" applyFont="1" applyBorder="1" applyAlignment="1" applyProtection="1">
      <alignment horizontal="left" vertical="top"/>
      <protection locked="0"/>
    </xf>
    <xf numFmtId="0" fontId="90" fillId="0" borderId="0" xfId="0" applyFont="1" applyFill="1" applyBorder="1"/>
    <xf numFmtId="0" fontId="94" fillId="0" borderId="0" xfId="0" applyFont="1" applyBorder="1" applyAlignment="1">
      <alignment vertical="center"/>
    </xf>
    <xf numFmtId="49" fontId="90" fillId="0" borderId="0" xfId="0" applyNumberFormat="1" applyFont="1" applyBorder="1" applyAlignment="1">
      <alignment horizontal="center" vertical="center"/>
    </xf>
    <xf numFmtId="49" fontId="90" fillId="0" borderId="0" xfId="0" applyNumberFormat="1" applyFont="1" applyBorder="1" applyAlignment="1">
      <alignment vertical="center"/>
    </xf>
    <xf numFmtId="49" fontId="97" fillId="0" borderId="0" xfId="0" applyNumberFormat="1" applyFont="1" applyBorder="1" applyAlignment="1">
      <alignment horizontal="left" vertical="center"/>
    </xf>
    <xf numFmtId="49" fontId="90" fillId="0" borderId="0" xfId="0" applyNumberFormat="1" applyFont="1" applyBorder="1" applyAlignment="1">
      <alignment horizontal="left" indent="2"/>
    </xf>
    <xf numFmtId="49" fontId="90" fillId="0" borderId="0" xfId="0" applyNumberFormat="1" applyFont="1" applyBorder="1"/>
    <xf numFmtId="49" fontId="90" fillId="0" borderId="0" xfId="0" applyNumberFormat="1" applyFont="1" applyBorder="1" applyAlignment="1">
      <alignment horizontal="left" indent="1"/>
    </xf>
    <xf numFmtId="49" fontId="92" fillId="0" borderId="0" xfId="2" applyNumberFormat="1" applyFont="1" applyBorder="1" applyAlignment="1" applyProtection="1">
      <alignment horizontal="left" indent="1"/>
    </xf>
    <xf numFmtId="49" fontId="90" fillId="0" borderId="0" xfId="0" applyNumberFormat="1" applyFont="1" applyFill="1" applyBorder="1" applyAlignment="1">
      <alignment horizontal="left" indent="1"/>
    </xf>
    <xf numFmtId="49" fontId="90" fillId="0" borderId="0" xfId="0" applyNumberFormat="1" applyFont="1" applyFill="1" applyBorder="1" applyAlignment="1">
      <alignment horizontal="left" indent="2"/>
    </xf>
    <xf numFmtId="49" fontId="90" fillId="0" borderId="0" xfId="0" applyNumberFormat="1" applyFont="1" applyFill="1" applyBorder="1" applyAlignment="1">
      <alignment horizontal="left" indent="3"/>
    </xf>
    <xf numFmtId="49" fontId="98" fillId="0" borderId="0" xfId="0" applyNumberFormat="1" applyFont="1" applyBorder="1" applyAlignment="1">
      <alignment horizontal="left" indent="2"/>
    </xf>
    <xf numFmtId="49" fontId="99" fillId="0" borderId="0" xfId="0" applyNumberFormat="1" applyFont="1" applyBorder="1" applyAlignment="1">
      <alignment horizontal="left" indent="5"/>
    </xf>
    <xf numFmtId="49" fontId="99" fillId="0" borderId="0" xfId="0" applyNumberFormat="1" applyFont="1" applyBorder="1" applyAlignment="1">
      <alignment horizontal="left" indent="3"/>
    </xf>
    <xf numFmtId="49" fontId="100" fillId="0" borderId="0" xfId="0" applyNumberFormat="1" applyFont="1" applyBorder="1" applyAlignment="1">
      <alignment horizontal="left"/>
    </xf>
    <xf numFmtId="49" fontId="92" fillId="0" borderId="0" xfId="2" applyNumberFormat="1" applyFont="1" applyBorder="1" applyAlignment="1" applyProtection="1">
      <alignment horizontal="left" indent="3"/>
    </xf>
    <xf numFmtId="49" fontId="90" fillId="0" borderId="0" xfId="0" applyNumberFormat="1" applyFont="1" applyFill="1" applyBorder="1"/>
    <xf numFmtId="49" fontId="92" fillId="0" borderId="0" xfId="2" applyNumberFormat="1" applyFont="1" applyBorder="1" applyAlignment="1" applyProtection="1">
      <alignment horizontal="left" indent="2"/>
    </xf>
    <xf numFmtId="0" fontId="96" fillId="0" borderId="0" xfId="0" applyFont="1" applyBorder="1" applyProtection="1"/>
    <xf numFmtId="0" fontId="96" fillId="0" borderId="0" xfId="0" applyFont="1" applyBorder="1" applyAlignment="1" applyProtection="1">
      <alignment horizontal="left"/>
    </xf>
    <xf numFmtId="164" fontId="94" fillId="0" borderId="0" xfId="0" applyNumberFormat="1" applyFont="1" applyBorder="1" applyAlignment="1" applyProtection="1">
      <alignment horizontal="left"/>
    </xf>
    <xf numFmtId="0" fontId="96" fillId="0" borderId="0" xfId="0" applyFont="1" applyBorder="1" applyAlignment="1" applyProtection="1">
      <alignment horizontal="center" vertical="top" textRotation="180"/>
    </xf>
    <xf numFmtId="0" fontId="96" fillId="0" borderId="0" xfId="0" applyFont="1" applyBorder="1" applyAlignment="1" applyProtection="1"/>
    <xf numFmtId="0" fontId="101" fillId="0" borderId="0" xfId="0" applyFont="1" applyBorder="1" applyAlignment="1" applyProtection="1">
      <alignment horizontal="centerContinuous" vertical="center"/>
    </xf>
    <xf numFmtId="164" fontId="95" fillId="0" borderId="0" xfId="0" applyNumberFormat="1" applyFont="1" applyBorder="1" applyAlignment="1" applyProtection="1">
      <alignment horizontal="left" vertical="center"/>
    </xf>
    <xf numFmtId="0" fontId="90" fillId="0" borderId="0" xfId="0" applyFont="1" applyBorder="1" applyAlignment="1" applyProtection="1">
      <alignment horizontal="left" vertical="center"/>
    </xf>
    <xf numFmtId="0" fontId="96" fillId="0" borderId="0" xfId="0" applyFont="1" applyBorder="1" applyAlignment="1"/>
    <xf numFmtId="0" fontId="101" fillId="0" borderId="0" xfId="0" applyFont="1" applyBorder="1" applyAlignment="1" applyProtection="1">
      <alignment horizontal="center" vertical="center"/>
    </xf>
    <xf numFmtId="0" fontId="94" fillId="0" borderId="0" xfId="0" applyFont="1" applyBorder="1" applyAlignment="1">
      <alignment horizontal="left" vertical="top"/>
    </xf>
    <xf numFmtId="164" fontId="94" fillId="0" borderId="0" xfId="0" applyNumberFormat="1" applyFont="1" applyBorder="1" applyAlignment="1">
      <alignment horizontal="left" vertical="top"/>
    </xf>
    <xf numFmtId="0" fontId="102" fillId="0" borderId="0" xfId="0" applyFont="1" applyBorder="1" applyAlignment="1" applyProtection="1">
      <alignment horizontal="left" vertical="center"/>
    </xf>
    <xf numFmtId="0" fontId="103" fillId="0" borderId="0" xfId="0" applyFont="1" applyBorder="1" applyAlignment="1">
      <alignment horizontal="left" vertical="top"/>
    </xf>
    <xf numFmtId="0" fontId="90" fillId="0" borderId="0" xfId="0" applyFont="1" applyBorder="1" applyProtection="1"/>
    <xf numFmtId="0" fontId="90" fillId="0" borderId="0" xfId="0" applyFont="1" applyBorder="1" applyAlignment="1" applyProtection="1">
      <alignment horizontal="left"/>
    </xf>
    <xf numFmtId="0" fontId="94" fillId="0" borderId="0" xfId="0" applyFont="1" applyBorder="1" applyProtection="1"/>
    <xf numFmtId="0" fontId="89" fillId="0" borderId="0" xfId="0" applyFont="1" applyBorder="1" applyAlignment="1" applyProtection="1">
      <alignment horizontal="center" vertical="center"/>
    </xf>
    <xf numFmtId="164" fontId="89" fillId="0" borderId="2" xfId="0" applyNumberFormat="1" applyFont="1" applyBorder="1" applyAlignment="1" applyProtection="1">
      <alignment horizontal="center" vertical="center"/>
      <protection locked="0"/>
    </xf>
    <xf numFmtId="0" fontId="94" fillId="0" borderId="0" xfId="0" applyFont="1" applyBorder="1" applyAlignment="1">
      <alignment horizontal="left" vertical="center"/>
    </xf>
    <xf numFmtId="0" fontId="90" fillId="0" borderId="0" xfId="0" applyFont="1" applyBorder="1" applyAlignment="1" applyProtection="1">
      <alignment vertical="center"/>
    </xf>
    <xf numFmtId="164" fontId="95" fillId="0" borderId="0" xfId="0" applyNumberFormat="1" applyFont="1" applyBorder="1" applyAlignment="1" applyProtection="1">
      <alignment horizontal="right" vertical="center"/>
    </xf>
    <xf numFmtId="164" fontId="94" fillId="0" borderId="0" xfId="0" applyNumberFormat="1" applyFont="1" applyBorder="1" applyAlignment="1" applyProtection="1">
      <alignment vertical="center"/>
    </xf>
    <xf numFmtId="0" fontId="94" fillId="0" borderId="0" xfId="0" applyFont="1" applyBorder="1" applyAlignment="1" applyProtection="1">
      <alignment horizontal="left" vertical="center" indent="1"/>
    </xf>
    <xf numFmtId="0" fontId="89" fillId="0" borderId="2" xfId="0" applyFont="1" applyBorder="1" applyAlignment="1" applyProtection="1">
      <alignment horizontal="center" vertical="center"/>
      <protection locked="0"/>
    </xf>
    <xf numFmtId="164" fontId="95" fillId="0" borderId="0" xfId="0" applyNumberFormat="1" applyFont="1" applyBorder="1" applyAlignment="1" applyProtection="1">
      <alignment horizontal="right" vertical="center" wrapText="1"/>
    </xf>
    <xf numFmtId="164" fontId="94" fillId="0" borderId="0" xfId="0" applyNumberFormat="1" applyFont="1" applyBorder="1" applyAlignment="1">
      <alignment horizontal="left" vertical="center"/>
    </xf>
    <xf numFmtId="0" fontId="89" fillId="0" borderId="0" xfId="0" applyFont="1" applyBorder="1" applyAlignment="1" applyProtection="1">
      <alignment horizontal="left" vertical="center"/>
    </xf>
    <xf numFmtId="164" fontId="104" fillId="0" borderId="0" xfId="0" applyNumberFormat="1" applyFont="1" applyBorder="1" applyAlignment="1" applyProtection="1">
      <alignment horizontal="left" vertical="center" indent="1"/>
    </xf>
    <xf numFmtId="0" fontId="94" fillId="0" borderId="0" xfId="0" applyFont="1" applyAlignment="1">
      <alignment horizontal="left" vertical="center"/>
    </xf>
    <xf numFmtId="0" fontId="94" fillId="0" borderId="0" xfId="0" applyFont="1" applyAlignment="1">
      <alignment horizontal="left" vertical="center" indent="1"/>
    </xf>
    <xf numFmtId="0" fontId="104" fillId="0" borderId="0" xfId="0" applyFont="1" applyAlignment="1">
      <alignment horizontal="left" vertical="center" indent="1"/>
    </xf>
    <xf numFmtId="0" fontId="89" fillId="0" borderId="14" xfId="0" applyFont="1" applyBorder="1" applyAlignment="1" applyProtection="1">
      <alignment horizontal="center" vertical="center"/>
      <protection locked="0"/>
    </xf>
    <xf numFmtId="0" fontId="94" fillId="0" borderId="0" xfId="0" applyFont="1" applyBorder="1" applyAlignment="1">
      <alignment horizontal="left" vertical="center" indent="1"/>
    </xf>
    <xf numFmtId="0" fontId="89" fillId="0" borderId="0" xfId="0" applyFont="1" applyBorder="1" applyAlignment="1" applyProtection="1">
      <alignment horizontal="center" vertical="center"/>
      <protection locked="0"/>
    </xf>
    <xf numFmtId="0" fontId="94" fillId="0" borderId="0" xfId="0" applyFont="1" applyBorder="1" applyAlignment="1" applyProtection="1">
      <alignment vertical="center"/>
    </xf>
    <xf numFmtId="0" fontId="104" fillId="0" borderId="0" xfId="0" applyFont="1" applyAlignment="1">
      <alignment horizontal="left" vertical="center"/>
    </xf>
    <xf numFmtId="0" fontId="94" fillId="0" borderId="0" xfId="0" applyFont="1" applyBorder="1" applyAlignment="1" applyProtection="1">
      <alignment horizontal="left" vertical="top"/>
    </xf>
    <xf numFmtId="0" fontId="94" fillId="0" borderId="0" xfId="0" applyFont="1" applyBorder="1" applyAlignment="1" applyProtection="1">
      <alignment horizontal="left" vertical="top" indent="1"/>
    </xf>
    <xf numFmtId="0" fontId="104" fillId="0" borderId="0" xfId="0" applyFont="1" applyBorder="1" applyAlignment="1" applyProtection="1">
      <alignment horizontal="left" vertical="top" indent="1"/>
    </xf>
    <xf numFmtId="0" fontId="94" fillId="0" borderId="0" xfId="0" applyFont="1" applyAlignment="1">
      <alignment vertical="top"/>
    </xf>
    <xf numFmtId="0" fontId="94" fillId="0" borderId="0" xfId="0" applyFont="1" applyBorder="1" applyAlignment="1" applyProtection="1">
      <alignment vertical="top"/>
    </xf>
    <xf numFmtId="0" fontId="105" fillId="0" borderId="2" xfId="0" applyFont="1" applyBorder="1" applyAlignment="1" applyProtection="1">
      <alignment horizontal="center"/>
      <protection locked="0"/>
    </xf>
    <xf numFmtId="164" fontId="95" fillId="0" borderId="0" xfId="0" applyNumberFormat="1" applyFont="1" applyBorder="1" applyAlignment="1" applyProtection="1">
      <alignment horizontal="right"/>
    </xf>
    <xf numFmtId="0" fontId="96" fillId="0" borderId="14" xfId="0" applyFont="1" applyBorder="1" applyAlignment="1" applyProtection="1">
      <alignment horizontal="left"/>
    </xf>
    <xf numFmtId="0" fontId="94" fillId="0" borderId="0" xfId="0" applyFont="1" applyBorder="1" applyAlignment="1" applyProtection="1">
      <alignment horizontal="left" vertical="center"/>
    </xf>
    <xf numFmtId="0" fontId="96" fillId="0" borderId="0" xfId="0" applyFont="1" applyBorder="1" applyAlignment="1" applyProtection="1">
      <alignment horizontal="left" vertical="center"/>
    </xf>
    <xf numFmtId="14" fontId="90" fillId="0" borderId="0" xfId="0" applyNumberFormat="1" applyFont="1" applyBorder="1" applyAlignment="1" applyProtection="1">
      <alignment horizontal="center" vertical="center"/>
    </xf>
    <xf numFmtId="14" fontId="105" fillId="0" borderId="15" xfId="0" applyNumberFormat="1" applyFont="1" applyBorder="1" applyAlignment="1" applyProtection="1">
      <alignment horizontal="center" vertical="center"/>
      <protection locked="0"/>
    </xf>
    <xf numFmtId="0" fontId="106" fillId="0" borderId="0" xfId="0" applyFont="1" applyAlignment="1">
      <alignment horizontal="left" vertical="center"/>
    </xf>
    <xf numFmtId="0" fontId="96" fillId="0" borderId="0" xfId="0" applyFont="1" applyAlignment="1">
      <alignment horizontal="left" vertical="center"/>
    </xf>
    <xf numFmtId="0" fontId="102" fillId="0" borderId="0" xfId="0" applyFont="1" applyBorder="1" applyAlignment="1" applyProtection="1">
      <alignment horizontal="left" vertical="center" wrapText="1"/>
    </xf>
    <xf numFmtId="0" fontId="89" fillId="0" borderId="0" xfId="0" applyFont="1" applyBorder="1" applyAlignment="1" applyProtection="1">
      <alignment horizontal="center" vertical="center" wrapText="1"/>
    </xf>
    <xf numFmtId="0" fontId="90" fillId="0" borderId="0" xfId="0" applyFont="1" applyBorder="1" applyAlignment="1" applyProtection="1">
      <alignment horizontal="left" vertical="top"/>
    </xf>
    <xf numFmtId="0" fontId="96" fillId="0" borderId="0" xfId="0" applyFont="1" applyBorder="1" applyAlignment="1">
      <alignment horizontal="left" vertical="top"/>
    </xf>
    <xf numFmtId="0" fontId="96" fillId="0" borderId="0" xfId="0" applyFont="1" applyBorder="1" applyAlignment="1">
      <alignment horizontal="center" vertical="top"/>
    </xf>
    <xf numFmtId="0" fontId="94" fillId="0" borderId="0" xfId="0" applyFont="1" applyAlignment="1">
      <alignment horizontal="left"/>
    </xf>
    <xf numFmtId="0" fontId="94" fillId="0" borderId="0" xfId="0" applyFont="1"/>
    <xf numFmtId="0" fontId="96" fillId="0" borderId="0" xfId="0" applyFont="1" applyBorder="1" applyAlignment="1" applyProtection="1">
      <alignment horizontal="right" vertical="center"/>
    </xf>
    <xf numFmtId="14" fontId="96" fillId="0" borderId="131" xfId="0" applyNumberFormat="1" applyFont="1" applyBorder="1" applyAlignment="1" applyProtection="1">
      <alignment vertical="center"/>
      <protection locked="0"/>
    </xf>
    <xf numFmtId="164" fontId="89" fillId="0" borderId="0" xfId="0" applyNumberFormat="1" applyFont="1" applyBorder="1" applyAlignment="1" applyProtection="1">
      <alignment horizontal="center" vertical="center"/>
    </xf>
    <xf numFmtId="0" fontId="107" fillId="9" borderId="132" xfId="0" applyFont="1" applyFill="1" applyBorder="1" applyAlignment="1">
      <alignment horizontal="center" vertical="center"/>
    </xf>
    <xf numFmtId="0" fontId="107" fillId="9" borderId="133" xfId="0" applyFont="1" applyFill="1" applyBorder="1" applyAlignment="1">
      <alignment horizontal="center" vertical="center"/>
    </xf>
    <xf numFmtId="0" fontId="89" fillId="10" borderId="134" xfId="0" applyFont="1" applyFill="1" applyBorder="1" applyAlignment="1" applyProtection="1">
      <alignment horizontal="left" vertical="center"/>
    </xf>
    <xf numFmtId="164" fontId="89" fillId="10" borderId="134" xfId="0" applyNumberFormat="1" applyFont="1" applyFill="1" applyBorder="1" applyAlignment="1" applyProtection="1">
      <alignment horizontal="center" vertical="center"/>
    </xf>
    <xf numFmtId="164" fontId="95" fillId="10" borderId="134" xfId="0" applyNumberFormat="1" applyFont="1" applyFill="1" applyBorder="1" applyAlignment="1" applyProtection="1">
      <alignment vertical="center"/>
    </xf>
    <xf numFmtId="0" fontId="108" fillId="11" borderId="135" xfId="0" applyFont="1" applyFill="1" applyBorder="1" applyAlignment="1">
      <alignment horizontal="left" vertical="center"/>
    </xf>
    <xf numFmtId="38" fontId="109" fillId="11" borderId="136" xfId="0" applyNumberFormat="1" applyFont="1" applyFill="1" applyBorder="1" applyAlignment="1">
      <alignment horizontal="right"/>
    </xf>
    <xf numFmtId="38" fontId="109" fillId="11" borderId="137" xfId="0" applyNumberFormat="1" applyFont="1" applyFill="1" applyBorder="1" applyAlignment="1">
      <alignment horizontal="right"/>
    </xf>
    <xf numFmtId="0" fontId="89" fillId="10" borderId="137" xfId="0" applyFont="1" applyFill="1" applyBorder="1" applyAlignment="1" applyProtection="1">
      <alignment horizontal="center" vertical="center"/>
    </xf>
    <xf numFmtId="164" fontId="89" fillId="10" borderId="137" xfId="0" applyNumberFormat="1" applyFont="1" applyFill="1" applyBorder="1" applyAlignment="1" applyProtection="1">
      <alignment horizontal="center" vertical="center"/>
    </xf>
    <xf numFmtId="164" fontId="95" fillId="10" borderId="137" xfId="0" applyNumberFormat="1" applyFont="1" applyFill="1" applyBorder="1" applyAlignment="1" applyProtection="1">
      <alignment vertical="center"/>
    </xf>
    <xf numFmtId="0" fontId="108" fillId="11" borderId="136" xfId="0" applyFont="1" applyFill="1" applyBorder="1" applyAlignment="1">
      <alignment horizontal="left" vertical="center"/>
    </xf>
    <xf numFmtId="0" fontId="89" fillId="10" borderId="0" xfId="0" applyFont="1" applyFill="1" applyBorder="1" applyAlignment="1" applyProtection="1">
      <alignment horizontal="left" vertical="center"/>
    </xf>
    <xf numFmtId="164" fontId="89" fillId="10" borderId="0" xfId="0" applyNumberFormat="1" applyFont="1" applyFill="1" applyBorder="1" applyAlignment="1" applyProtection="1">
      <alignment horizontal="center" vertical="center"/>
    </xf>
    <xf numFmtId="164" fontId="95" fillId="10" borderId="0" xfId="0" applyNumberFormat="1" applyFont="1" applyFill="1" applyBorder="1" applyAlignment="1" applyProtection="1">
      <alignment vertical="center"/>
    </xf>
    <xf numFmtId="0" fontId="108" fillId="11" borderId="138" xfId="0" applyFont="1" applyFill="1" applyBorder="1" applyAlignment="1">
      <alignment horizontal="left" vertical="center"/>
    </xf>
    <xf numFmtId="1" fontId="90" fillId="0" borderId="0" xfId="0" applyNumberFormat="1" applyFont="1" applyBorder="1" applyAlignment="1" applyProtection="1">
      <alignment horizontal="center" vertical="center"/>
    </xf>
    <xf numFmtId="0" fontId="96" fillId="0" borderId="0" xfId="0" applyFont="1" applyBorder="1" applyAlignment="1" applyProtection="1">
      <alignment horizontal="center" vertical="center"/>
    </xf>
    <xf numFmtId="164" fontId="90"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6" fillId="0" borderId="0" xfId="4" applyFont="1" applyAlignment="1">
      <alignment horizontal="left" vertical="center"/>
    </xf>
    <xf numFmtId="0" fontId="95" fillId="0" borderId="0" xfId="4" applyFont="1" applyBorder="1" applyAlignment="1" applyProtection="1">
      <alignment horizontal="left" vertical="center"/>
    </xf>
    <xf numFmtId="0" fontId="96" fillId="0" borderId="0" xfId="4" applyFont="1" applyBorder="1" applyAlignment="1" applyProtection="1">
      <alignment horizontal="right" vertical="center"/>
    </xf>
    <xf numFmtId="1" fontId="90" fillId="0" borderId="0" xfId="4" applyNumberFormat="1" applyFont="1" applyBorder="1" applyAlignment="1" applyProtection="1">
      <alignment horizontal="center" vertical="center"/>
    </xf>
    <xf numFmtId="0" fontId="96" fillId="0" borderId="0" xfId="4" applyFont="1" applyBorder="1" applyAlignment="1" applyProtection="1">
      <alignment vertical="center"/>
    </xf>
    <xf numFmtId="0" fontId="96" fillId="0" borderId="0" xfId="4" applyFont="1" applyBorder="1" applyAlignment="1" applyProtection="1">
      <alignment horizontal="center" vertical="center"/>
    </xf>
    <xf numFmtId="0" fontId="96" fillId="0" borderId="0" xfId="4" applyNumberFormat="1" applyFont="1" applyBorder="1" applyAlignment="1" applyProtection="1">
      <alignment vertical="center"/>
    </xf>
    <xf numFmtId="0" fontId="94" fillId="0" borderId="0" xfId="4" applyFont="1" applyBorder="1" applyAlignment="1">
      <alignment horizontal="left" indent="1"/>
    </xf>
    <xf numFmtId="0" fontId="90" fillId="0" borderId="0" xfId="4" applyFont="1" applyBorder="1"/>
    <xf numFmtId="164" fontId="95" fillId="0" borderId="0" xfId="4" applyNumberFormat="1" applyFont="1" applyBorder="1" applyAlignment="1" applyProtection="1">
      <alignment vertical="center"/>
    </xf>
    <xf numFmtId="0" fontId="96" fillId="0" borderId="0" xfId="4" applyFont="1" applyBorder="1"/>
    <xf numFmtId="0" fontId="90" fillId="0" borderId="0" xfId="4" applyFont="1" applyBorder="1" applyAlignment="1" applyProtection="1">
      <alignment horizontal="left" vertical="top"/>
    </xf>
    <xf numFmtId="0" fontId="94" fillId="0" borderId="0" xfId="4" applyFont="1" applyBorder="1"/>
    <xf numFmtId="0" fontId="89" fillId="0" borderId="0" xfId="4" applyFont="1" applyBorder="1" applyAlignment="1" applyProtection="1">
      <alignment horizontal="center" vertical="center"/>
    </xf>
    <xf numFmtId="164" fontId="95" fillId="0" borderId="0" xfId="4" applyNumberFormat="1" applyFont="1" applyBorder="1" applyAlignment="1" applyProtection="1">
      <alignment horizontal="right" vertical="center"/>
    </xf>
    <xf numFmtId="0" fontId="110" fillId="0" borderId="0" xfId="4" applyFont="1" applyBorder="1"/>
    <xf numFmtId="0" fontId="96" fillId="0" borderId="0" xfId="4" applyFont="1"/>
    <xf numFmtId="0" fontId="96" fillId="0" borderId="0" xfId="4" applyFont="1" applyProtection="1"/>
    <xf numFmtId="0" fontId="104" fillId="0" borderId="0" xfId="4" applyFont="1" applyBorder="1"/>
    <xf numFmtId="0" fontId="104" fillId="0" borderId="0" xfId="4" applyFont="1" applyBorder="1" applyAlignment="1">
      <alignment horizontal="center" vertical="top"/>
    </xf>
    <xf numFmtId="171" fontId="96" fillId="0" borderId="0" xfId="4" applyNumberFormat="1" applyFont="1" applyBorder="1" applyAlignment="1" applyProtection="1">
      <alignment horizontal="center" vertical="center"/>
    </xf>
    <xf numFmtId="0" fontId="104" fillId="0" borderId="0" xfId="4" applyFont="1" applyBorder="1" applyAlignment="1">
      <alignment horizontal="center"/>
    </xf>
    <xf numFmtId="0" fontId="96" fillId="0" borderId="0" xfId="4" applyFont="1" applyBorder="1" applyProtection="1"/>
    <xf numFmtId="0" fontId="96" fillId="0" borderId="0" xfId="4" applyFont="1" applyProtection="1">
      <protection locked="0"/>
    </xf>
    <xf numFmtId="0" fontId="96" fillId="0" borderId="0" xfId="4" applyFont="1" applyBorder="1" applyProtection="1">
      <protection locked="0"/>
    </xf>
    <xf numFmtId="0" fontId="96" fillId="0" borderId="0" xfId="4" applyFont="1" applyBorder="1" applyAlignment="1">
      <alignment horizontal="center" vertical="center"/>
    </xf>
    <xf numFmtId="164" fontId="94" fillId="0" borderId="0" xfId="4" applyNumberFormat="1" applyFont="1" applyBorder="1"/>
    <xf numFmtId="0" fontId="104" fillId="0" borderId="16" xfId="4" applyFont="1" applyBorder="1" applyAlignment="1">
      <alignment horizontal="center"/>
    </xf>
    <xf numFmtId="0" fontId="90" fillId="0" borderId="0" xfId="4" applyFont="1" applyBorder="1" applyProtection="1"/>
    <xf numFmtId="0" fontId="96" fillId="0" borderId="0" xfId="0" applyFont="1"/>
    <xf numFmtId="0" fontId="104" fillId="0" borderId="0" xfId="0" applyFont="1" applyBorder="1"/>
    <xf numFmtId="0" fontId="104" fillId="0" borderId="0" xfId="0" applyFont="1" applyBorder="1" applyAlignment="1">
      <alignment horizontal="left" vertical="top" wrapText="1"/>
    </xf>
    <xf numFmtId="0" fontId="104" fillId="0" borderId="0" xfId="0" applyFont="1" applyBorder="1" applyAlignment="1">
      <alignment horizontal="center"/>
    </xf>
    <xf numFmtId="0" fontId="104" fillId="0" borderId="0" xfId="0" applyFont="1" applyBorder="1" applyAlignment="1" applyProtection="1">
      <alignment horizontal="center" vertical="top"/>
    </xf>
    <xf numFmtId="0" fontId="96" fillId="0" borderId="0" xfId="0" applyFont="1" applyBorder="1" applyAlignment="1">
      <alignment horizontal="center" vertical="center"/>
    </xf>
    <xf numFmtId="164" fontId="94" fillId="0" borderId="0" xfId="0" applyNumberFormat="1" applyFont="1" applyBorder="1"/>
    <xf numFmtId="0" fontId="89" fillId="0" borderId="0" xfId="0" applyFont="1" applyBorder="1" applyAlignment="1" applyProtection="1">
      <alignment horizontal="center"/>
    </xf>
    <xf numFmtId="0" fontId="104" fillId="0" borderId="0" xfId="0" applyFont="1" applyBorder="1" applyAlignment="1">
      <alignment horizontal="center" vertical="top"/>
    </xf>
    <xf numFmtId="171" fontId="96" fillId="0" borderId="0" xfId="0" applyNumberFormat="1" applyFont="1" applyBorder="1" applyAlignment="1" applyProtection="1">
      <alignment horizontal="center" vertical="center"/>
    </xf>
    <xf numFmtId="164" fontId="94" fillId="0" borderId="0" xfId="0" applyNumberFormat="1" applyFont="1" applyBorder="1" applyProtection="1"/>
    <xf numFmtId="0" fontId="111" fillId="0" borderId="0" xfId="0" applyFont="1" applyBorder="1" applyAlignment="1">
      <alignment horizontal="left" vertical="top" wrapText="1"/>
    </xf>
    <xf numFmtId="166" fontId="96" fillId="0" borderId="0" xfId="0" applyNumberFormat="1" applyFont="1" applyBorder="1" applyAlignment="1" applyProtection="1">
      <alignment horizontal="left" vertical="center"/>
    </xf>
    <xf numFmtId="164" fontId="94" fillId="0" borderId="0" xfId="0" applyNumberFormat="1" applyFont="1" applyBorder="1" applyAlignment="1" applyProtection="1">
      <alignment horizontal="left" vertical="center"/>
    </xf>
    <xf numFmtId="0" fontId="96" fillId="0" borderId="0" xfId="0" applyFont="1" applyAlignment="1">
      <alignment vertical="center"/>
    </xf>
    <xf numFmtId="0" fontId="95" fillId="0" borderId="0" xfId="0" applyFont="1" applyBorder="1" applyAlignment="1" applyProtection="1">
      <alignment vertical="center"/>
    </xf>
    <xf numFmtId="0" fontId="90" fillId="0" borderId="0" xfId="4" applyFont="1" applyBorder="1" applyAlignment="1">
      <alignment horizontal="left" indent="1"/>
    </xf>
    <xf numFmtId="0" fontId="100" fillId="0" borderId="0" xfId="0" applyFont="1" applyBorder="1" applyAlignment="1" applyProtection="1">
      <alignment horizontal="center" vertical="center"/>
    </xf>
    <xf numFmtId="0" fontId="90" fillId="0" borderId="0" xfId="0" applyFont="1" applyAlignment="1" applyProtection="1">
      <alignment vertical="center"/>
    </xf>
    <xf numFmtId="0" fontId="112" fillId="0" borderId="0" xfId="0" applyFont="1" applyBorder="1" applyAlignment="1" applyProtection="1">
      <alignment horizontal="left" vertical="center"/>
    </xf>
    <xf numFmtId="0" fontId="89" fillId="0" borderId="0" xfId="0" applyFont="1" applyBorder="1" applyAlignment="1" applyProtection="1">
      <alignment vertical="center"/>
    </xf>
    <xf numFmtId="0" fontId="113" fillId="0" borderId="0" xfId="0" applyFont="1" applyBorder="1" applyAlignment="1" applyProtection="1">
      <alignment vertical="center"/>
    </xf>
    <xf numFmtId="0" fontId="94" fillId="0" borderId="0" xfId="0" applyFont="1" applyBorder="1" applyAlignment="1" applyProtection="1">
      <alignment horizontal="left" vertical="center" indent="3"/>
    </xf>
    <xf numFmtId="0" fontId="95" fillId="0" borderId="0" xfId="0" applyFont="1" applyBorder="1" applyAlignment="1" applyProtection="1">
      <alignment horizontal="center" vertical="center"/>
    </xf>
    <xf numFmtId="0" fontId="95" fillId="0" borderId="0" xfId="0" applyFont="1" applyBorder="1" applyAlignment="1" applyProtection="1">
      <alignment horizontal="center" vertical="center" wrapText="1"/>
    </xf>
    <xf numFmtId="176" fontId="96" fillId="0" borderId="2" xfId="0" applyNumberFormat="1" applyFont="1" applyBorder="1" applyAlignment="1" applyProtection="1">
      <alignment vertical="center" wrapText="1"/>
      <protection locked="0"/>
    </xf>
    <xf numFmtId="0" fontId="90" fillId="0" borderId="0" xfId="0" applyFont="1" applyBorder="1" applyAlignment="1" applyProtection="1">
      <alignment horizontal="center" vertical="center"/>
    </xf>
    <xf numFmtId="0" fontId="114" fillId="0" borderId="0" xfId="0" applyFont="1" applyBorder="1" applyAlignment="1" applyProtection="1">
      <alignment horizontal="center" vertical="center" wrapText="1"/>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0" fontId="95" fillId="0" borderId="0" xfId="0" applyFont="1" applyBorder="1" applyAlignment="1" applyProtection="1">
      <alignment horizontal="center"/>
    </xf>
    <xf numFmtId="0" fontId="90" fillId="0" borderId="0" xfId="0" applyFont="1" applyBorder="1" applyAlignment="1" applyProtection="1"/>
    <xf numFmtId="0" fontId="95" fillId="0" borderId="0" xfId="0" applyFont="1" applyBorder="1" applyAlignment="1" applyProtection="1">
      <alignment horizontal="center" wrapText="1"/>
    </xf>
    <xf numFmtId="0" fontId="90" fillId="0" borderId="0" xfId="0" applyFont="1" applyBorder="1" applyAlignment="1" applyProtection="1">
      <alignment horizontal="right" vertical="center"/>
    </xf>
    <xf numFmtId="0" fontId="116" fillId="0" borderId="0" xfId="0" applyFont="1" applyBorder="1" applyAlignment="1" applyProtection="1">
      <alignment vertical="center"/>
    </xf>
    <xf numFmtId="0" fontId="104" fillId="0" borderId="0" xfId="0" applyFont="1" applyBorder="1" applyAlignment="1" applyProtection="1">
      <alignment vertical="center"/>
    </xf>
    <xf numFmtId="38" fontId="89" fillId="0" borderId="2" xfId="0" applyNumberFormat="1" applyFont="1" applyBorder="1" applyAlignment="1" applyProtection="1">
      <alignment horizontal="center" vertical="center"/>
      <protection locked="0"/>
    </xf>
    <xf numFmtId="0" fontId="90" fillId="0" borderId="0" xfId="0" applyFont="1" applyAlignment="1" applyProtection="1">
      <alignment horizontal="right" vertical="center"/>
    </xf>
    <xf numFmtId="0" fontId="94" fillId="0" borderId="7" xfId="0" applyFont="1" applyFill="1" applyBorder="1" applyAlignment="1" applyProtection="1">
      <alignment vertical="center"/>
    </xf>
    <xf numFmtId="38" fontId="96" fillId="0" borderId="2" xfId="0" applyNumberFormat="1" applyFont="1" applyBorder="1" applyAlignment="1" applyProtection="1">
      <alignment horizontal="center" vertical="center"/>
      <protection locked="0"/>
    </xf>
    <xf numFmtId="0" fontId="90" fillId="0" borderId="7" xfId="0" applyFont="1" applyBorder="1" applyAlignment="1" applyProtection="1">
      <alignment horizontal="right" vertical="center"/>
    </xf>
    <xf numFmtId="40" fontId="94" fillId="0" borderId="0" xfId="0" applyNumberFormat="1" applyFont="1" applyBorder="1" applyAlignment="1" applyProtection="1">
      <alignment horizontal="center" vertical="center"/>
    </xf>
    <xf numFmtId="0" fontId="117" fillId="0" borderId="0" xfId="0" applyFont="1" applyBorder="1" applyAlignment="1" applyProtection="1">
      <alignment vertical="center"/>
    </xf>
    <xf numFmtId="0" fontId="90" fillId="0" borderId="6" xfId="0" applyFont="1" applyFill="1" applyBorder="1" applyAlignment="1" applyProtection="1">
      <alignment vertical="center"/>
    </xf>
    <xf numFmtId="0" fontId="94" fillId="0" borderId="0" xfId="0" applyFont="1" applyBorder="1" applyAlignment="1" applyProtection="1">
      <alignment horizontal="right" vertical="center"/>
    </xf>
    <xf numFmtId="0" fontId="94" fillId="0" borderId="2" xfId="0" applyFont="1" applyBorder="1" applyAlignment="1" applyProtection="1">
      <alignment vertical="center"/>
    </xf>
    <xf numFmtId="38" fontId="96" fillId="2" borderId="2" xfId="0" applyNumberFormat="1" applyFont="1" applyFill="1" applyBorder="1" applyAlignment="1" applyProtection="1">
      <alignment vertical="center"/>
    </xf>
    <xf numFmtId="0" fontId="90" fillId="3" borderId="2" xfId="0" applyFont="1" applyFill="1" applyBorder="1" applyAlignment="1" applyProtection="1">
      <alignment vertical="center"/>
    </xf>
    <xf numFmtId="0" fontId="105" fillId="0" borderId="2" xfId="0" applyNumberFormat="1" applyFont="1" applyBorder="1" applyAlignment="1" applyProtection="1">
      <alignment horizontal="center" vertical="center"/>
      <protection locked="0"/>
    </xf>
    <xf numFmtId="38" fontId="96" fillId="0" borderId="0" xfId="0" applyNumberFormat="1" applyFont="1" applyBorder="1" applyAlignment="1" applyProtection="1">
      <alignment horizontal="center" vertical="center"/>
    </xf>
    <xf numFmtId="0" fontId="96" fillId="0" borderId="0" xfId="0" applyFont="1" applyBorder="1" applyAlignment="1" applyProtection="1">
      <alignment horizontal="left" vertical="top"/>
    </xf>
    <xf numFmtId="0" fontId="116" fillId="0" borderId="0" xfId="0" applyFont="1" applyBorder="1" applyAlignment="1" applyProtection="1">
      <alignment horizontal="left"/>
    </xf>
    <xf numFmtId="0" fontId="116" fillId="0" borderId="0" xfId="0" applyFont="1" applyBorder="1" applyAlignment="1" applyProtection="1"/>
    <xf numFmtId="0" fontId="118" fillId="0" borderId="0" xfId="0" applyFont="1" applyBorder="1" applyAlignment="1" applyProtection="1">
      <alignment horizontal="right" vertical="center"/>
    </xf>
    <xf numFmtId="0" fontId="96" fillId="0" borderId="0" xfId="0" applyFont="1" applyProtection="1"/>
    <xf numFmtId="0" fontId="90" fillId="0" borderId="0" xfId="0" applyFont="1" applyProtection="1"/>
    <xf numFmtId="0" fontId="119" fillId="0" borderId="0" xfId="2" applyFont="1" applyAlignment="1" applyProtection="1">
      <alignment horizontal="centerContinuous" vertical="center"/>
    </xf>
    <xf numFmtId="0" fontId="96" fillId="0" borderId="0" xfId="0" applyFont="1" applyAlignment="1">
      <alignment horizontal="centerContinuous" vertical="center"/>
    </xf>
    <xf numFmtId="0" fontId="90" fillId="0" borderId="0" xfId="0" applyFont="1" applyAlignment="1" applyProtection="1">
      <alignment horizontal="centerContinuous" vertical="center"/>
    </xf>
    <xf numFmtId="0" fontId="105" fillId="0" borderId="0" xfId="0" applyFont="1"/>
    <xf numFmtId="0" fontId="90" fillId="0" borderId="0" xfId="0" applyNumberFormat="1" applyFont="1" applyAlignment="1">
      <alignment horizontal="left"/>
    </xf>
    <xf numFmtId="0" fontId="96" fillId="0" borderId="0" xfId="0" applyFont="1" applyAlignment="1">
      <alignment horizontal="left"/>
    </xf>
    <xf numFmtId="174" fontId="90" fillId="0" borderId="0" xfId="0" applyNumberFormat="1" applyFont="1" applyAlignment="1">
      <alignment horizontal="left"/>
    </xf>
    <xf numFmtId="174" fontId="96" fillId="0" borderId="0" xfId="0" applyNumberFormat="1" applyFont="1" applyAlignment="1">
      <alignment horizontal="left"/>
    </xf>
    <xf numFmtId="0" fontId="90" fillId="0" borderId="0" xfId="0" applyNumberFormat="1" applyFont="1" applyBorder="1" applyAlignment="1" applyProtection="1">
      <alignment horizontal="left"/>
    </xf>
    <xf numFmtId="0" fontId="90" fillId="0" borderId="0" xfId="0" applyFont="1" applyBorder="1" applyAlignment="1" applyProtection="1">
      <alignment horizontal="right"/>
    </xf>
    <xf numFmtId="49" fontId="90" fillId="0" borderId="0" xfId="0" applyNumberFormat="1"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89" fillId="0" borderId="0" xfId="0" applyFont="1" applyBorder="1" applyProtection="1"/>
    <xf numFmtId="0" fontId="89" fillId="0" borderId="0" xfId="0" applyFont="1" applyBorder="1" applyAlignment="1" applyProtection="1">
      <alignment horizontal="right"/>
    </xf>
    <xf numFmtId="49" fontId="94" fillId="0" borderId="0" xfId="0" applyNumberFormat="1" applyFont="1" applyBorder="1" applyAlignment="1" applyProtection="1">
      <alignment horizontal="left" vertical="center"/>
    </xf>
    <xf numFmtId="0" fontId="94" fillId="0" borderId="0" xfId="0" applyFont="1" applyFill="1" applyBorder="1" applyProtection="1"/>
    <xf numFmtId="40" fontId="94" fillId="0" borderId="0" xfId="0" applyNumberFormat="1" applyFont="1" applyBorder="1" applyAlignment="1" applyProtection="1">
      <alignment horizontal="right"/>
    </xf>
    <xf numFmtId="37" fontId="94" fillId="0" borderId="0" xfId="0" applyNumberFormat="1" applyFont="1" applyBorder="1" applyProtection="1"/>
    <xf numFmtId="173" fontId="94" fillId="0" borderId="0" xfId="0" applyNumberFormat="1" applyFont="1" applyBorder="1" applyProtection="1"/>
    <xf numFmtId="0" fontId="94" fillId="0" borderId="0" xfId="0" applyFont="1" applyProtection="1"/>
    <xf numFmtId="0" fontId="94" fillId="0" borderId="0" xfId="0" applyFont="1" applyBorder="1" applyAlignment="1" applyProtection="1">
      <alignment vertical="center" wrapText="1"/>
    </xf>
    <xf numFmtId="0" fontId="94" fillId="0" borderId="0" xfId="0" applyFont="1" applyBorder="1" applyAlignment="1" applyProtection="1">
      <alignment horizontal="right"/>
    </xf>
    <xf numFmtId="0" fontId="120" fillId="0" borderId="0" xfId="0" applyFont="1" applyAlignment="1" applyProtection="1">
      <alignment horizontal="left"/>
    </xf>
    <xf numFmtId="0" fontId="94" fillId="0" borderId="0" xfId="0" applyFont="1" applyAlignment="1">
      <alignment wrapText="1"/>
    </xf>
    <xf numFmtId="0" fontId="90" fillId="0" borderId="0" xfId="0" applyFont="1" applyFill="1" applyBorder="1" applyProtection="1"/>
    <xf numFmtId="0" fontId="90" fillId="0" borderId="0" xfId="0" applyFont="1" applyBorder="1" applyAlignment="1" applyProtection="1">
      <alignment horizontal="center"/>
    </xf>
    <xf numFmtId="175" fontId="94" fillId="0" borderId="0" xfId="0" quotePrefix="1" applyNumberFormat="1" applyFont="1" applyBorder="1" applyAlignment="1" applyProtection="1">
      <alignment horizontal="right"/>
    </xf>
    <xf numFmtId="0" fontId="95" fillId="0" borderId="0" xfId="0" applyFont="1" applyProtection="1"/>
    <xf numFmtId="0" fontId="94" fillId="0" borderId="0" xfId="0" applyFont="1" applyBorder="1" applyAlignment="1" applyProtection="1">
      <alignment vertical="top" wrapText="1"/>
    </xf>
    <xf numFmtId="37" fontId="94" fillId="0" borderId="0" xfId="0" applyNumberFormat="1" applyFont="1" applyBorder="1" applyAlignment="1" applyProtection="1">
      <alignment horizontal="right"/>
    </xf>
    <xf numFmtId="175" fontId="94" fillId="4" borderId="0" xfId="0" quotePrefix="1" applyNumberFormat="1" applyFont="1" applyFill="1" applyBorder="1" applyAlignment="1" applyProtection="1">
      <alignment horizontal="right"/>
    </xf>
    <xf numFmtId="38" fontId="94" fillId="0" borderId="0" xfId="0" applyNumberFormat="1" applyFont="1" applyBorder="1" applyProtection="1"/>
    <xf numFmtId="1" fontId="94" fillId="0" borderId="0" xfId="0" applyNumberFormat="1" applyFont="1" applyBorder="1" applyProtection="1"/>
    <xf numFmtId="39" fontId="94" fillId="0" borderId="0" xfId="0" applyNumberFormat="1" applyFont="1" applyBorder="1" applyProtection="1"/>
    <xf numFmtId="3" fontId="94" fillId="0" borderId="0" xfId="0" applyNumberFormat="1" applyFont="1" applyBorder="1" applyAlignment="1" applyProtection="1">
      <alignment horizontal="right" vertical="center"/>
    </xf>
    <xf numFmtId="173" fontId="94" fillId="0" borderId="0" xfId="0" applyNumberFormat="1" applyFont="1" applyBorder="1" applyAlignment="1" applyProtection="1">
      <alignment horizontal="right"/>
    </xf>
    <xf numFmtId="49" fontId="94" fillId="0" borderId="0" xfId="0" applyNumberFormat="1" applyFont="1" applyBorder="1" applyProtection="1"/>
    <xf numFmtId="0" fontId="94" fillId="0" borderId="0" xfId="0" applyFont="1" applyBorder="1" applyAlignment="1" applyProtection="1">
      <alignment horizontal="center"/>
    </xf>
    <xf numFmtId="0" fontId="95" fillId="0" borderId="0" xfId="0" applyFont="1" applyFill="1" applyBorder="1" applyAlignment="1" applyProtection="1">
      <alignment horizontal="center"/>
    </xf>
    <xf numFmtId="0" fontId="90"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0" fontId="118" fillId="0" borderId="0" xfId="0" applyFont="1" applyProtection="1"/>
    <xf numFmtId="0" fontId="90" fillId="0" borderId="0" xfId="0" applyFont="1" applyFill="1" applyBorder="1" applyAlignment="1" applyProtection="1">
      <alignment horizontal="center"/>
    </xf>
    <xf numFmtId="49" fontId="118" fillId="0" borderId="0" xfId="0" applyNumberFormat="1" applyFont="1" applyAlignment="1" applyProtection="1">
      <alignment horizontal="right" vertical="top"/>
    </xf>
    <xf numFmtId="0" fontId="94" fillId="0" borderId="0" xfId="0" applyFont="1" applyBorder="1" applyAlignment="1" applyProtection="1">
      <alignment horizontal="left"/>
    </xf>
    <xf numFmtId="49" fontId="90" fillId="0" borderId="0" xfId="0" applyNumberFormat="1" applyFont="1" applyBorder="1" applyAlignment="1" applyProtection="1">
      <alignment horizontal="left" vertical="top"/>
    </xf>
    <xf numFmtId="0" fontId="94" fillId="0" borderId="0" xfId="0" applyFont="1" applyAlignment="1" applyProtection="1">
      <alignment horizontal="left"/>
    </xf>
    <xf numFmtId="49" fontId="90" fillId="0" borderId="0" xfId="0" applyNumberFormat="1" applyFont="1" applyAlignment="1" applyProtection="1">
      <alignment horizontal="left" vertical="center"/>
    </xf>
    <xf numFmtId="49" fontId="90" fillId="0" borderId="0" xfId="0" applyNumberFormat="1" applyFont="1" applyAlignment="1" applyProtection="1">
      <alignment horizontal="left" vertical="top"/>
    </xf>
    <xf numFmtId="0" fontId="90" fillId="0" borderId="0" xfId="0" applyFont="1" applyAlignment="1" applyProtection="1">
      <alignment horizontal="right"/>
    </xf>
    <xf numFmtId="0" fontId="94" fillId="0" borderId="0" xfId="0" applyFont="1" applyAlignment="1" applyProtection="1">
      <alignment horizontal="right"/>
    </xf>
    <xf numFmtId="49" fontId="121" fillId="0" borderId="0" xfId="0" applyNumberFormat="1" applyFont="1" applyAlignment="1" applyProtection="1">
      <alignment horizontal="right" vertical="top"/>
    </xf>
    <xf numFmtId="0" fontId="94" fillId="0" borderId="17" xfId="0" applyFont="1" applyBorder="1" applyAlignment="1" applyProtection="1">
      <alignment horizontal="center" vertical="center"/>
    </xf>
    <xf numFmtId="49" fontId="89" fillId="0" borderId="17" xfId="0" applyNumberFormat="1" applyFont="1" applyBorder="1" applyAlignment="1" applyProtection="1">
      <alignment horizontal="center" vertical="center"/>
    </xf>
    <xf numFmtId="49" fontId="96" fillId="0" borderId="17" xfId="0" applyNumberFormat="1" applyFont="1" applyBorder="1" applyAlignment="1" applyProtection="1">
      <alignment horizontal="center" vertical="center"/>
    </xf>
    <xf numFmtId="49" fontId="105" fillId="0" borderId="8" xfId="0" applyNumberFormat="1" applyFont="1" applyBorder="1" applyAlignment="1" applyProtection="1">
      <alignment horizontal="centerContinuous" vertical="center"/>
    </xf>
    <xf numFmtId="49" fontId="96" fillId="0" borderId="4" xfId="0" applyNumberFormat="1" applyFont="1" applyBorder="1" applyAlignment="1" applyProtection="1">
      <alignment horizontal="centerContinuous" vertical="center"/>
    </xf>
    <xf numFmtId="0" fontId="96" fillId="0" borderId="0" xfId="0" applyFont="1" applyAlignment="1" applyProtection="1">
      <alignment vertical="center"/>
    </xf>
    <xf numFmtId="1" fontId="95" fillId="0" borderId="18" xfId="0" applyNumberFormat="1" applyFont="1" applyBorder="1" applyAlignment="1" applyProtection="1">
      <alignment horizontal="center" vertical="center" wrapText="1"/>
    </xf>
    <xf numFmtId="3" fontId="95" fillId="0" borderId="18" xfId="0" applyNumberFormat="1" applyFont="1" applyBorder="1" applyAlignment="1" applyProtection="1">
      <alignment horizontal="center" vertical="center" wrapText="1"/>
    </xf>
    <xf numFmtId="0" fontId="95" fillId="0" borderId="18" xfId="0" applyFont="1" applyBorder="1" applyAlignment="1" applyProtection="1">
      <alignment horizontal="center" vertical="center" wrapText="1"/>
    </xf>
    <xf numFmtId="43" fontId="95" fillId="0" borderId="2" xfId="1" applyFont="1" applyBorder="1" applyAlignment="1" applyProtection="1">
      <alignment horizontal="center" vertical="center" wrapText="1"/>
    </xf>
    <xf numFmtId="0" fontId="95" fillId="0" borderId="2" xfId="0" applyFont="1" applyBorder="1" applyAlignment="1" applyProtection="1">
      <alignment horizontal="center" vertical="center" wrapTex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center" vertical="center"/>
    </xf>
    <xf numFmtId="0" fontId="94" fillId="0" borderId="2" xfId="0" applyFont="1" applyBorder="1" applyAlignment="1" applyProtection="1">
      <alignment horizontal="center" vertical="center"/>
    </xf>
    <xf numFmtId="0" fontId="94" fillId="0" borderId="19" xfId="0" applyFont="1" applyBorder="1" applyAlignment="1" applyProtection="1">
      <alignment horizontal="left" vertical="center" indent="1"/>
    </xf>
    <xf numFmtId="164" fontId="94" fillId="0" borderId="2" xfId="0" applyNumberFormat="1" applyFont="1" applyFill="1" applyBorder="1" applyAlignment="1" applyProtection="1">
      <alignment horizontal="left" vertical="center"/>
    </xf>
    <xf numFmtId="0" fontId="94" fillId="0" borderId="2" xfId="0" applyFont="1" applyFill="1" applyBorder="1" applyAlignment="1" applyProtection="1">
      <alignment horizontal="center" vertical="center"/>
    </xf>
    <xf numFmtId="0" fontId="96" fillId="0" borderId="0" xfId="0" applyFont="1" applyFill="1" applyAlignment="1" applyProtection="1">
      <alignment vertical="center"/>
    </xf>
    <xf numFmtId="0" fontId="94" fillId="0" borderId="10" xfId="0" applyFont="1" applyBorder="1" applyAlignment="1" applyProtection="1">
      <alignment horizontal="left" vertical="center" indent="1"/>
    </xf>
    <xf numFmtId="0" fontId="94" fillId="0" borderId="18" xfId="0" applyFont="1" applyBorder="1" applyAlignment="1" applyProtection="1">
      <alignment horizontal="center" vertical="center"/>
    </xf>
    <xf numFmtId="0" fontId="94" fillId="0" borderId="6" xfId="0" applyFont="1" applyBorder="1" applyAlignment="1" applyProtection="1">
      <alignment horizontal="left" vertical="center" indent="1"/>
    </xf>
    <xf numFmtId="0" fontId="94" fillId="0" borderId="19" xfId="0" applyFont="1" applyBorder="1" applyAlignment="1" applyProtection="1">
      <alignment horizontal="left" vertical="center" wrapText="1" indent="1"/>
    </xf>
    <xf numFmtId="0" fontId="94" fillId="0" borderId="2" xfId="0" applyFont="1" applyFill="1" applyBorder="1" applyAlignment="1" applyProtection="1">
      <alignment horizontal="left" vertical="center" indent="1"/>
    </xf>
    <xf numFmtId="0" fontId="94" fillId="0" borderId="3" xfId="0" applyFont="1" applyFill="1" applyBorder="1" applyAlignment="1" applyProtection="1">
      <alignment horizontal="left" vertical="center" indent="1"/>
    </xf>
    <xf numFmtId="0" fontId="94" fillId="0" borderId="4" xfId="0" applyFont="1" applyFill="1" applyBorder="1" applyAlignment="1" applyProtection="1">
      <alignment horizontal="center" vertical="center"/>
    </xf>
    <xf numFmtId="0" fontId="94" fillId="0" borderId="0" xfId="0" applyFont="1" applyAlignment="1" applyProtection="1">
      <alignment vertical="center"/>
    </xf>
    <xf numFmtId="0" fontId="94" fillId="0" borderId="0" xfId="0" applyFont="1" applyAlignment="1" applyProtection="1">
      <alignment horizontal="center" vertical="center"/>
    </xf>
    <xf numFmtId="38" fontId="96" fillId="0" borderId="0" xfId="0" applyNumberFormat="1" applyFont="1" applyAlignment="1" applyProtection="1">
      <alignment vertical="center"/>
    </xf>
    <xf numFmtId="49" fontId="95" fillId="0" borderId="17" xfId="0" applyNumberFormat="1" applyFont="1" applyBorder="1" applyAlignment="1" applyProtection="1">
      <alignment horizontal="center" vertical="center"/>
    </xf>
    <xf numFmtId="0" fontId="96" fillId="0" borderId="0" xfId="0" applyFont="1" applyAlignment="1" applyProtection="1">
      <alignment horizontal="center" vertical="center"/>
    </xf>
    <xf numFmtId="0" fontId="90"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6" fillId="0" borderId="0" xfId="0" applyNumberFormat="1" applyFont="1" applyAlignment="1" applyProtection="1">
      <alignment vertical="center"/>
    </xf>
    <xf numFmtId="0" fontId="104" fillId="0" borderId="6" xfId="0" applyFont="1" applyBorder="1" applyAlignment="1" applyProtection="1">
      <alignment horizontal="left" indent="2"/>
    </xf>
    <xf numFmtId="0" fontId="94" fillId="0" borderId="10" xfId="0" applyFont="1" applyBorder="1" applyAlignment="1" applyProtection="1">
      <alignment horizontal="center" vertical="center"/>
    </xf>
    <xf numFmtId="0" fontId="89" fillId="0" borderId="0" xfId="0" applyFont="1" applyAlignment="1" applyProtection="1">
      <alignment vertical="center"/>
    </xf>
    <xf numFmtId="0" fontId="105" fillId="0" borderId="0" xfId="0" applyFont="1" applyAlignment="1" applyProtection="1">
      <alignment vertical="center"/>
    </xf>
    <xf numFmtId="0" fontId="90" fillId="0" borderId="0" xfId="0" applyFont="1" applyFill="1" applyAlignment="1" applyProtection="1">
      <alignment vertical="center"/>
    </xf>
    <xf numFmtId="0" fontId="94" fillId="0" borderId="18" xfId="0" applyFont="1" applyFill="1" applyBorder="1" applyAlignment="1" applyProtection="1">
      <alignment horizontal="center" vertical="center"/>
    </xf>
    <xf numFmtId="0" fontId="94" fillId="0" borderId="2" xfId="0" applyFont="1" applyFill="1" applyBorder="1" applyAlignment="1" applyProtection="1">
      <alignment horizontal="center" vertical="top"/>
    </xf>
    <xf numFmtId="0" fontId="90" fillId="0" borderId="0" xfId="0" applyFont="1" applyFill="1" applyBorder="1" applyAlignment="1" applyProtection="1">
      <alignment vertical="center"/>
    </xf>
    <xf numFmtId="38" fontId="90" fillId="0" borderId="0" xfId="0" applyNumberFormat="1" applyFont="1" applyAlignment="1" applyProtection="1"/>
    <xf numFmtId="0" fontId="94" fillId="0" borderId="10" xfId="0" applyFont="1" applyFill="1" applyBorder="1" applyAlignment="1" applyProtection="1">
      <alignment horizontal="center" vertical="center"/>
    </xf>
    <xf numFmtId="0" fontId="94" fillId="0" borderId="20" xfId="0" applyFont="1" applyBorder="1" applyAlignment="1" applyProtection="1">
      <alignment horizontal="left" vertical="center" indent="4"/>
    </xf>
    <xf numFmtId="0" fontId="94" fillId="0" borderId="21" xfId="0" applyFont="1" applyBorder="1" applyAlignment="1" applyProtection="1">
      <alignment horizontal="center" vertical="center"/>
    </xf>
    <xf numFmtId="40" fontId="90" fillId="5" borderId="22" xfId="0" applyNumberFormat="1" applyFont="1" applyFill="1" applyBorder="1" applyAlignment="1" applyProtection="1">
      <alignment horizontal="right" vertical="center"/>
    </xf>
    <xf numFmtId="0" fontId="94" fillId="0" borderId="23" xfId="0" applyFont="1" applyBorder="1" applyAlignment="1" applyProtection="1">
      <alignment horizontal="left" vertical="center" indent="4"/>
    </xf>
    <xf numFmtId="9" fontId="90" fillId="5" borderId="22" xfId="0" applyNumberFormat="1" applyFont="1" applyFill="1" applyBorder="1" applyAlignment="1" applyProtection="1">
      <alignment horizontal="righ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3" fontId="90" fillId="3" borderId="18" xfId="0" applyNumberFormat="1" applyFont="1" applyFill="1" applyBorder="1" applyAlignment="1" applyProtection="1">
      <alignment horizontal="center"/>
    </xf>
    <xf numFmtId="3" fontId="96" fillId="3" borderId="10" xfId="0" applyNumberFormat="1" applyFont="1" applyFill="1" applyBorder="1" applyAlignment="1" applyProtection="1">
      <alignment horizontal="center"/>
    </xf>
    <xf numFmtId="38" fontId="96" fillId="3" borderId="18" xfId="0" applyNumberFormat="1" applyFont="1" applyFill="1" applyBorder="1" applyAlignment="1" applyProtection="1">
      <alignment horizontal="center"/>
    </xf>
    <xf numFmtId="3" fontId="96" fillId="3" borderId="18" xfId="0" applyNumberFormat="1" applyFont="1" applyFill="1" applyBorder="1" applyAlignment="1" applyProtection="1">
      <alignment horizontal="center"/>
    </xf>
    <xf numFmtId="0" fontId="94" fillId="0" borderId="19" xfId="0" applyFont="1" applyBorder="1" applyAlignment="1" applyProtection="1">
      <alignment horizontal="center"/>
    </xf>
    <xf numFmtId="0" fontId="94" fillId="0" borderId="2" xfId="0" applyFont="1" applyBorder="1" applyAlignment="1" applyProtection="1">
      <alignment horizontal="center"/>
    </xf>
    <xf numFmtId="0" fontId="94" fillId="0" borderId="2" xfId="0" applyFont="1" applyBorder="1" applyAlignment="1" applyProtection="1">
      <alignment horizontal="center" vertical="center" wrapText="1"/>
    </xf>
    <xf numFmtId="38" fontId="96" fillId="0" borderId="0" xfId="0" applyNumberFormat="1" applyFont="1" applyProtection="1"/>
    <xf numFmtId="0" fontId="94" fillId="0" borderId="24" xfId="0" applyFont="1" applyFill="1" applyBorder="1" applyAlignment="1" applyProtection="1">
      <alignment horizontal="center" vertical="center"/>
    </xf>
    <xf numFmtId="0" fontId="94" fillId="0" borderId="2" xfId="0" applyFont="1" applyBorder="1" applyAlignment="1" applyProtection="1">
      <alignment horizontal="center" vertical="top"/>
    </xf>
    <xf numFmtId="0" fontId="94" fillId="0" borderId="24" xfId="0" applyFont="1" applyFill="1" applyBorder="1" applyAlignment="1" applyProtection="1">
      <alignment horizontal="center" vertical="top"/>
    </xf>
    <xf numFmtId="0" fontId="94" fillId="0" borderId="5" xfId="0" applyFont="1" applyFill="1" applyBorder="1" applyAlignment="1" applyProtection="1">
      <alignment horizontal="center" vertical="center"/>
    </xf>
    <xf numFmtId="1" fontId="94" fillId="0" borderId="2" xfId="0" applyNumberFormat="1" applyFont="1" applyBorder="1" applyAlignment="1" applyProtection="1">
      <alignment horizontal="center" vertical="center"/>
    </xf>
    <xf numFmtId="0" fontId="94" fillId="0" borderId="14" xfId="0" applyFont="1" applyBorder="1" applyAlignment="1" applyProtection="1">
      <alignment horizontal="left" vertical="top" wrapText="1" indent="1"/>
    </xf>
    <xf numFmtId="1" fontId="94" fillId="0" borderId="2" xfId="0" applyNumberFormat="1" applyFont="1" applyBorder="1" applyAlignment="1" applyProtection="1">
      <alignment horizontal="center" vertical="top"/>
    </xf>
    <xf numFmtId="1" fontId="94" fillId="0" borderId="18" xfId="0" applyNumberFormat="1" applyFont="1" applyBorder="1" applyAlignment="1" applyProtection="1">
      <alignment horizontal="center" vertical="center"/>
    </xf>
    <xf numFmtId="1" fontId="94" fillId="0" borderId="18" xfId="0" applyNumberFormat="1" applyFont="1" applyBorder="1" applyAlignment="1" applyProtection="1">
      <alignment horizontal="center" vertical="center"/>
    </xf>
    <xf numFmtId="1" fontId="94" fillId="0" borderId="25" xfId="0" applyNumberFormat="1" applyFont="1" applyBorder="1" applyAlignment="1" applyProtection="1">
      <alignment horizontal="center" vertical="center"/>
    </xf>
    <xf numFmtId="1" fontId="94" fillId="0" borderId="22" xfId="0" applyNumberFormat="1" applyFont="1" applyBorder="1" applyAlignment="1" applyProtection="1">
      <alignment horizontal="center" vertical="center"/>
    </xf>
    <xf numFmtId="0" fontId="94" fillId="0" borderId="2" xfId="0" applyFont="1" applyBorder="1" applyAlignment="1" applyProtection="1">
      <alignment horizontal="center" vertical="top" wrapText="1"/>
    </xf>
    <xf numFmtId="0" fontId="94" fillId="0" borderId="24" xfId="0" applyFont="1" applyBorder="1" applyAlignment="1" applyProtection="1">
      <alignment horizontal="center" vertical="center"/>
    </xf>
    <xf numFmtId="0" fontId="94" fillId="0" borderId="139" xfId="0" applyFont="1" applyFill="1" applyBorder="1" applyAlignment="1" applyProtection="1">
      <alignment horizontal="center" vertical="center"/>
    </xf>
    <xf numFmtId="0" fontId="94" fillId="0" borderId="131" xfId="0" applyFont="1" applyFill="1" applyBorder="1" applyAlignment="1" applyProtection="1">
      <alignment horizontal="center" vertical="center"/>
    </xf>
    <xf numFmtId="0" fontId="96" fillId="0" borderId="0" xfId="0" applyFont="1" applyAlignment="1" applyProtection="1"/>
    <xf numFmtId="0" fontId="94" fillId="0" borderId="0" xfId="0" applyFont="1" applyAlignment="1" applyProtection="1">
      <alignment horizontal="left" vertical="center" wrapText="1"/>
    </xf>
    <xf numFmtId="0" fontId="94" fillId="0" borderId="0" xfId="0" applyFont="1" applyAlignment="1" applyProtection="1">
      <alignment horizontal="center" vertical="center" wrapText="1"/>
    </xf>
    <xf numFmtId="0" fontId="96" fillId="0" borderId="0" xfId="0" applyFont="1" applyAlignment="1" applyProtection="1">
      <alignment wrapText="1"/>
    </xf>
    <xf numFmtId="0" fontId="96" fillId="0" borderId="0" xfId="0" applyFont="1" applyAlignment="1"/>
    <xf numFmtId="49" fontId="94"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0" fillId="0" borderId="17" xfId="0" applyNumberFormat="1" applyFont="1" applyBorder="1" applyAlignment="1">
      <alignment horizontal="center" vertical="center"/>
    </xf>
    <xf numFmtId="49" fontId="95" fillId="0" borderId="24" xfId="0" applyNumberFormat="1" applyFont="1" applyBorder="1" applyAlignment="1">
      <alignment horizontal="center" vertical="center" wrapText="1"/>
    </xf>
    <xf numFmtId="3" fontId="89" fillId="0" borderId="24" xfId="0" applyNumberFormat="1" applyFont="1" applyBorder="1" applyAlignment="1">
      <alignment horizontal="center" vertical="center"/>
    </xf>
    <xf numFmtId="3" fontId="89" fillId="0" borderId="24" xfId="0" applyNumberFormat="1" applyFont="1" applyBorder="1" applyAlignment="1">
      <alignment horizontal="center" vertical="center" wrapText="1"/>
    </xf>
    <xf numFmtId="0" fontId="96" fillId="0" borderId="0" xfId="0" applyFont="1" applyAlignment="1">
      <alignment horizontal="center" vertical="top" wrapText="1"/>
    </xf>
    <xf numFmtId="0" fontId="96" fillId="0" borderId="0" xfId="0" applyFont="1" applyBorder="1" applyAlignment="1">
      <alignment vertical="center"/>
    </xf>
    <xf numFmtId="0" fontId="94" fillId="0" borderId="0" xfId="0" applyFont="1" applyBorder="1" applyAlignment="1"/>
    <xf numFmtId="49" fontId="94" fillId="0" borderId="2" xfId="0" applyNumberFormat="1" applyFont="1" applyBorder="1" applyAlignment="1">
      <alignment horizontal="center" vertical="center"/>
    </xf>
    <xf numFmtId="49" fontId="95" fillId="6" borderId="26" xfId="0" applyNumberFormat="1" applyFont="1" applyFill="1" applyBorder="1" applyAlignment="1">
      <alignment horizontal="center" vertical="center"/>
    </xf>
    <xf numFmtId="0" fontId="94" fillId="0" borderId="0" xfId="0" applyFont="1" applyFill="1" applyBorder="1" applyAlignment="1"/>
    <xf numFmtId="0" fontId="94" fillId="0" borderId="0" xfId="0" applyFont="1" applyFill="1"/>
    <xf numFmtId="3" fontId="95" fillId="3" borderId="23" xfId="0" applyNumberFormat="1" applyFont="1" applyFill="1" applyBorder="1" applyAlignment="1">
      <alignment horizontal="left" vertical="center" wrapText="1" indent="1"/>
    </xf>
    <xf numFmtId="49" fontId="95" fillId="3" borderId="19" xfId="0" applyNumberFormat="1" applyFont="1" applyFill="1" applyBorder="1" applyAlignment="1">
      <alignment horizontal="center" vertical="center"/>
    </xf>
    <xf numFmtId="164" fontId="95" fillId="3" borderId="9" xfId="0" applyNumberFormat="1" applyFont="1" applyFill="1" applyBorder="1" applyAlignment="1">
      <alignment horizontal="left" vertical="center" wrapText="1" indent="1"/>
    </xf>
    <xf numFmtId="49" fontId="95" fillId="3" borderId="21" xfId="0" applyNumberFormat="1" applyFont="1" applyFill="1" applyBorder="1" applyAlignment="1">
      <alignment horizontal="center" vertical="center"/>
    </xf>
    <xf numFmtId="49" fontId="94" fillId="0" borderId="17" xfId="0" applyNumberFormat="1" applyFont="1" applyBorder="1" applyAlignment="1">
      <alignment horizontal="center" vertical="center" wrapText="1"/>
    </xf>
    <xf numFmtId="49" fontId="94" fillId="0" borderId="2" xfId="0" applyNumberFormat="1" applyFont="1" applyBorder="1" applyAlignment="1">
      <alignment horizontal="center" vertical="top"/>
    </xf>
    <xf numFmtId="49" fontId="94" fillId="0" borderId="18" xfId="0" applyNumberFormat="1" applyFont="1" applyBorder="1" applyAlignment="1">
      <alignment horizontal="center" vertical="center"/>
    </xf>
    <xf numFmtId="49" fontId="95" fillId="3" borderId="10" xfId="0" applyNumberFormat="1" applyFont="1" applyFill="1" applyBorder="1" applyAlignment="1">
      <alignment horizontal="center" vertical="center"/>
    </xf>
    <xf numFmtId="49" fontId="94" fillId="0" borderId="22" xfId="0" applyNumberFormat="1" applyFont="1" applyFill="1" applyBorder="1" applyAlignment="1">
      <alignment horizontal="center" vertical="center"/>
    </xf>
    <xf numFmtId="0" fontId="94" fillId="0" borderId="0" xfId="0" applyFont="1" applyAlignment="1">
      <alignment vertical="center"/>
    </xf>
    <xf numFmtId="0" fontId="94" fillId="0" borderId="27" xfId="0" applyFont="1" applyFill="1" applyBorder="1" applyAlignment="1">
      <alignment horizontal="center" vertical="center"/>
    </xf>
    <xf numFmtId="0" fontId="94" fillId="0" borderId="1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8" xfId="0" applyFont="1" applyFill="1" applyBorder="1" applyAlignment="1">
      <alignment horizontal="center" vertical="center"/>
    </xf>
    <xf numFmtId="49" fontId="94" fillId="0" borderId="18" xfId="0" applyNumberFormat="1" applyFont="1" applyFill="1" applyBorder="1" applyAlignment="1">
      <alignment horizontal="center" vertical="center"/>
    </xf>
    <xf numFmtId="164" fontId="95" fillId="2" borderId="23" xfId="0" applyNumberFormat="1" applyFont="1" applyFill="1" applyBorder="1" applyAlignment="1">
      <alignment horizontal="left" vertical="center" wrapText="1" indent="1"/>
    </xf>
    <xf numFmtId="49" fontId="95" fillId="2" borderId="19" xfId="0" applyNumberFormat="1" applyFont="1" applyFill="1" applyBorder="1" applyAlignment="1">
      <alignment horizontal="center" vertical="center"/>
    </xf>
    <xf numFmtId="0" fontId="94" fillId="0" borderId="0" xfId="0" applyFont="1" applyAlignment="1"/>
    <xf numFmtId="49" fontId="95" fillId="0" borderId="27" xfId="0" applyNumberFormat="1" applyFont="1" applyFill="1" applyBorder="1" applyAlignment="1">
      <alignment horizontal="center" vertical="center"/>
    </xf>
    <xf numFmtId="3" fontId="95" fillId="0" borderId="23" xfId="0" applyNumberFormat="1" applyFont="1" applyBorder="1" applyAlignment="1">
      <alignment horizontal="left" vertical="top" wrapText="1" indent="2"/>
    </xf>
    <xf numFmtId="49" fontId="94" fillId="0" borderId="14" xfId="0" applyNumberFormat="1" applyFont="1" applyFill="1" applyBorder="1" applyAlignment="1">
      <alignment horizontal="left" vertical="top" indent="1"/>
    </xf>
    <xf numFmtId="0" fontId="90" fillId="0" borderId="0" xfId="0" applyFont="1" applyAlignment="1">
      <alignment vertical="center"/>
    </xf>
    <xf numFmtId="3" fontId="95" fillId="3" borderId="8" xfId="0" applyNumberFormat="1" applyFont="1" applyFill="1" applyBorder="1" applyAlignment="1">
      <alignment horizontal="left" vertical="center" wrapText="1" indent="1"/>
    </xf>
    <xf numFmtId="164" fontId="95" fillId="3" borderId="23" xfId="0" applyNumberFormat="1" applyFont="1" applyFill="1" applyBorder="1" applyAlignment="1">
      <alignment horizontal="left" vertical="center" wrapText="1" indent="1"/>
    </xf>
    <xf numFmtId="49" fontId="94" fillId="0" borderId="27" xfId="0" applyNumberFormat="1" applyFont="1" applyFill="1" applyBorder="1" applyAlignment="1">
      <alignment horizontal="center" vertical="center"/>
    </xf>
    <xf numFmtId="164" fontId="95" fillId="3" borderId="23" xfId="0" applyNumberFormat="1" applyFont="1" applyFill="1" applyBorder="1" applyAlignment="1" applyProtection="1">
      <alignment horizontal="left" vertical="center" wrapText="1" indent="1"/>
    </xf>
    <xf numFmtId="49" fontId="95" fillId="3" borderId="19" xfId="0" applyNumberFormat="1" applyFont="1" applyFill="1" applyBorder="1" applyAlignment="1" applyProtection="1">
      <alignment horizontal="center" vertical="center"/>
    </xf>
    <xf numFmtId="49" fontId="95" fillId="5" borderId="26" xfId="0" applyNumberFormat="1" applyFont="1" applyFill="1" applyBorder="1" applyAlignment="1">
      <alignment horizontal="center" vertical="center"/>
    </xf>
    <xf numFmtId="3" fontId="95" fillId="2" borderId="7" xfId="0" applyNumberFormat="1" applyFont="1" applyFill="1" applyBorder="1" applyAlignment="1">
      <alignment horizontal="left" vertical="center" wrapText="1" indent="1"/>
    </xf>
    <xf numFmtId="49" fontId="95" fillId="2" borderId="24" xfId="0" applyNumberFormat="1" applyFont="1" applyFill="1" applyBorder="1" applyAlignment="1">
      <alignment horizontal="center" vertical="center"/>
    </xf>
    <xf numFmtId="3" fontId="95" fillId="0" borderId="23" xfId="0" applyNumberFormat="1" applyFont="1" applyFill="1" applyBorder="1" applyAlignment="1">
      <alignment horizontal="left" vertical="top" wrapText="1" indent="2"/>
    </xf>
    <xf numFmtId="0" fontId="96" fillId="0" borderId="14" xfId="0" applyFont="1" applyFill="1" applyBorder="1" applyAlignment="1">
      <alignment horizontal="left" vertical="top" wrapText="1" indent="2"/>
    </xf>
    <xf numFmtId="0" fontId="96" fillId="0" borderId="0" xfId="0" applyFont="1" applyFill="1" applyBorder="1" applyAlignment="1"/>
    <xf numFmtId="0" fontId="96" fillId="0" borderId="0" xfId="0" applyFont="1" applyFill="1" applyBorder="1"/>
    <xf numFmtId="0" fontId="90" fillId="0" borderId="0" xfId="0" applyFont="1" applyBorder="1" applyAlignment="1"/>
    <xf numFmtId="0" fontId="90" fillId="0" borderId="0" xfId="0" applyFont="1"/>
    <xf numFmtId="3" fontId="95" fillId="3" borderId="9" xfId="0" applyNumberFormat="1" applyFont="1" applyFill="1" applyBorder="1" applyAlignment="1">
      <alignment horizontal="left" vertical="center" wrapText="1" indent="1"/>
    </xf>
    <xf numFmtId="49" fontId="95" fillId="3" borderId="27" xfId="0" applyNumberFormat="1" applyFont="1" applyFill="1" applyBorder="1" applyAlignment="1">
      <alignment horizontal="center" vertical="center"/>
    </xf>
    <xf numFmtId="49" fontId="95" fillId="3" borderId="18" xfId="0" applyNumberFormat="1" applyFont="1" applyFill="1" applyBorder="1" applyAlignment="1">
      <alignment horizontal="center" vertical="top"/>
    </xf>
    <xf numFmtId="49" fontId="95" fillId="3" borderId="2" xfId="0" applyNumberFormat="1" applyFont="1" applyFill="1" applyBorder="1" applyAlignment="1">
      <alignment horizontal="center" vertical="top"/>
    </xf>
    <xf numFmtId="49" fontId="94" fillId="0" borderId="14" xfId="0" applyNumberFormat="1" applyFont="1" applyFill="1" applyBorder="1" applyAlignment="1">
      <alignment horizontal="center" vertical="top"/>
    </xf>
    <xf numFmtId="0" fontId="96" fillId="0" borderId="0" xfId="0" applyFont="1" applyFill="1"/>
    <xf numFmtId="0" fontId="95" fillId="3" borderId="23" xfId="0" applyFont="1" applyFill="1" applyBorder="1" applyAlignment="1">
      <alignment horizontal="left" vertical="center" wrapText="1" indent="1"/>
    </xf>
    <xf numFmtId="49" fontId="95" fillId="3" borderId="10" xfId="0" applyNumberFormat="1" applyFont="1" applyFill="1" applyBorder="1" applyAlignment="1">
      <alignment horizontal="center" vertical="center"/>
    </xf>
    <xf numFmtId="49" fontId="94" fillId="0" borderId="18" xfId="0" applyNumberFormat="1" applyFont="1" applyBorder="1" applyAlignment="1">
      <alignment horizontal="center" vertical="center"/>
    </xf>
    <xf numFmtId="49" fontId="95" fillId="3" borderId="18" xfId="0" applyNumberFormat="1" applyFont="1" applyFill="1" applyBorder="1" applyAlignment="1">
      <alignment horizontal="center" vertical="center"/>
    </xf>
    <xf numFmtId="3" fontId="95" fillId="2" borderId="27" xfId="0" applyNumberFormat="1" applyFont="1" applyFill="1" applyBorder="1" applyAlignment="1">
      <alignment horizontal="left" vertical="center" wrapText="1" indent="1"/>
    </xf>
    <xf numFmtId="49" fontId="95" fillId="2" borderId="27" xfId="0" applyNumberFormat="1" applyFont="1" applyFill="1" applyBorder="1" applyAlignment="1">
      <alignment horizontal="center" vertical="center"/>
    </xf>
    <xf numFmtId="3" fontId="95" fillId="3" borderId="2" xfId="0" applyNumberFormat="1" applyFont="1" applyFill="1" applyBorder="1" applyAlignment="1">
      <alignment horizontal="left" vertical="center" wrapText="1" indent="1"/>
    </xf>
    <xf numFmtId="49" fontId="95" fillId="3" borderId="10" xfId="0" applyNumberFormat="1" applyFont="1" applyFill="1" applyBorder="1" applyAlignment="1">
      <alignment horizontal="center" vertical="center" wrapText="1"/>
    </xf>
    <xf numFmtId="49" fontId="94" fillId="0" borderId="17" xfId="0" applyNumberFormat="1" applyFont="1" applyBorder="1" applyAlignment="1">
      <alignment horizontal="center" vertical="top"/>
    </xf>
    <xf numFmtId="49" fontId="95" fillId="3" borderId="21" xfId="0" applyNumberFormat="1" applyFont="1" applyFill="1" applyBorder="1" applyAlignment="1">
      <alignment horizontal="center" vertical="center" wrapText="1"/>
    </xf>
    <xf numFmtId="49" fontId="94" fillId="0" borderId="2" xfId="0" applyNumberFormat="1" applyFont="1" applyBorder="1" applyAlignment="1">
      <alignment horizontal="center" vertical="center" wrapText="1"/>
    </xf>
    <xf numFmtId="164" fontId="95" fillId="3" borderId="7" xfId="0" applyNumberFormat="1" applyFont="1" applyFill="1" applyBorder="1" applyAlignment="1">
      <alignment horizontal="left" vertical="center" wrapText="1" indent="1"/>
    </xf>
    <xf numFmtId="0" fontId="94" fillId="0" borderId="2" xfId="0" applyFont="1" applyBorder="1" applyAlignment="1">
      <alignment horizontal="center" vertical="center"/>
    </xf>
    <xf numFmtId="49" fontId="94" fillId="0" borderId="2" xfId="0" applyNumberFormat="1" applyFont="1" applyFill="1" applyBorder="1" applyAlignment="1">
      <alignment horizontal="center" vertical="center"/>
    </xf>
    <xf numFmtId="3" fontId="95" fillId="0" borderId="9" xfId="0" applyNumberFormat="1" applyFont="1" applyFill="1" applyBorder="1" applyAlignment="1">
      <alignment horizontal="left" vertical="top" wrapText="1" indent="1"/>
    </xf>
    <xf numFmtId="0" fontId="96" fillId="0" borderId="6" xfId="0" applyFont="1" applyFill="1" applyBorder="1" applyAlignment="1">
      <alignment horizontal="left" vertical="top" wrapText="1"/>
    </xf>
    <xf numFmtId="0" fontId="95" fillId="2" borderId="8" xfId="0"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top"/>
    </xf>
    <xf numFmtId="164" fontId="95" fillId="3" borderId="23" xfId="0" applyNumberFormat="1" applyFont="1" applyFill="1" applyBorder="1" applyAlignment="1">
      <alignment horizontal="left" vertical="top" wrapText="1" indent="1"/>
    </xf>
    <xf numFmtId="49" fontId="95" fillId="3" borderId="19" xfId="0" applyNumberFormat="1" applyFont="1" applyFill="1" applyBorder="1" applyAlignment="1">
      <alignment horizontal="center" vertical="top"/>
    </xf>
    <xf numFmtId="49" fontId="95" fillId="2" borderId="2" xfId="14" applyNumberFormat="1" applyFont="1" applyFill="1" applyBorder="1" applyAlignment="1">
      <alignment horizontal="left" vertical="center" wrapText="1" indent="1"/>
    </xf>
    <xf numFmtId="0" fontId="95" fillId="2" borderId="2" xfId="15" applyNumberFormat="1" applyFont="1" applyFill="1" applyBorder="1" applyAlignment="1">
      <alignment horizontal="center" vertical="top"/>
    </xf>
    <xf numFmtId="0" fontId="116" fillId="0" borderId="0" xfId="13" applyFont="1"/>
    <xf numFmtId="0" fontId="94" fillId="0" borderId="7" xfId="0" applyFont="1" applyBorder="1" applyAlignment="1">
      <alignment horizontal="left" vertical="center" wrapText="1"/>
    </xf>
    <xf numFmtId="49" fontId="94" fillId="0" borderId="0" xfId="0" applyNumberFormat="1" applyFont="1" applyAlignment="1">
      <alignment horizontal="center" vertical="center"/>
    </xf>
    <xf numFmtId="0" fontId="96" fillId="0" borderId="0" xfId="0" applyFont="1" applyAlignment="1">
      <alignment horizontal="right" vertical="center"/>
    </xf>
    <xf numFmtId="38" fontId="96" fillId="0" borderId="0" xfId="0" applyNumberFormat="1" applyFont="1" applyAlignment="1">
      <alignment horizontal="right" vertical="center"/>
    </xf>
    <xf numFmtId="38" fontId="96" fillId="0" borderId="0" xfId="0" applyNumberFormat="1" applyFont="1" applyFill="1" applyAlignment="1">
      <alignment horizontal="right" vertical="center"/>
    </xf>
    <xf numFmtId="0" fontId="94" fillId="0" borderId="2" xfId="0" applyFont="1" applyBorder="1" applyAlignment="1">
      <alignment horizontal="left" vertical="center" wrapText="1" indent="1"/>
    </xf>
    <xf numFmtId="38" fontId="96" fillId="0" borderId="0" xfId="0" applyNumberFormat="1" applyFont="1"/>
    <xf numFmtId="0" fontId="104" fillId="0" borderId="0" xfId="0" applyFont="1" applyAlignment="1">
      <alignment horizontal="left" indent="2"/>
    </xf>
    <xf numFmtId="0" fontId="104" fillId="0" borderId="0" xfId="0" applyFont="1" applyAlignment="1">
      <alignment horizontal="left"/>
    </xf>
    <xf numFmtId="0" fontId="104" fillId="0" borderId="0" xfId="0" applyFont="1" applyAlignment="1">
      <alignment horizontal="left" vertical="top" indent="2"/>
    </xf>
    <xf numFmtId="0" fontId="104" fillId="0" borderId="0" xfId="0" applyFont="1" applyAlignment="1">
      <alignment horizontal="left" vertical="top"/>
    </xf>
    <xf numFmtId="49" fontId="94" fillId="0" borderId="0" xfId="0" applyNumberFormat="1" applyFont="1" applyFill="1" applyBorder="1" applyAlignment="1" applyProtection="1">
      <alignment horizontal="left" vertical="center"/>
    </xf>
    <xf numFmtId="49" fontId="94" fillId="0" borderId="0" xfId="0" applyNumberFormat="1" applyFont="1" applyAlignment="1" applyProtection="1">
      <alignment horizontal="left" vertical="center"/>
    </xf>
    <xf numFmtId="49" fontId="94" fillId="0" borderId="23" xfId="0" applyNumberFormat="1" applyFont="1" applyBorder="1" applyAlignment="1" applyProtection="1">
      <alignment horizontal="left" vertical="center" indent="1"/>
    </xf>
    <xf numFmtId="49" fontId="94" fillId="0" borderId="14" xfId="0" applyNumberFormat="1" applyFont="1" applyBorder="1" applyAlignment="1" applyProtection="1">
      <alignment horizontal="left" vertical="center"/>
    </xf>
    <xf numFmtId="38" fontId="90" fillId="3" borderId="0" xfId="0" applyNumberFormat="1" applyFont="1" applyFill="1" applyBorder="1" applyAlignment="1" applyProtection="1">
      <alignment horizontal="right" vertical="center"/>
    </xf>
    <xf numFmtId="38" fontId="90" fillId="3" borderId="5" xfId="0" applyNumberFormat="1" applyFont="1" applyFill="1" applyBorder="1" applyAlignment="1" applyProtection="1">
      <alignment horizontal="right" vertical="center"/>
    </xf>
    <xf numFmtId="0" fontId="116" fillId="0" borderId="0" xfId="16" applyFont="1" applyFill="1"/>
    <xf numFmtId="49" fontId="95" fillId="0" borderId="2" xfId="16" applyNumberFormat="1" applyFont="1" applyFill="1" applyBorder="1" applyAlignment="1">
      <alignment horizontal="center" vertical="center" wrapText="1"/>
    </xf>
    <xf numFmtId="0" fontId="96" fillId="0" borderId="0" xfId="16" applyFont="1" applyFill="1"/>
    <xf numFmtId="164" fontId="94" fillId="0" borderId="2" xfId="16" applyNumberFormat="1" applyFont="1" applyFill="1" applyBorder="1" applyAlignment="1" applyProtection="1">
      <alignment horizontal="left" vertical="center"/>
      <protection locked="0"/>
    </xf>
    <xf numFmtId="177" fontId="94" fillId="0" borderId="2" xfId="16" applyNumberFormat="1" applyFont="1" applyFill="1" applyBorder="1" applyAlignment="1" applyProtection="1">
      <alignment horizontal="right"/>
      <protection locked="0"/>
    </xf>
    <xf numFmtId="0" fontId="96" fillId="0" borderId="0" xfId="16" applyFont="1" applyFill="1" applyAlignment="1"/>
    <xf numFmtId="0" fontId="94" fillId="0" borderId="0" xfId="16" applyFont="1" applyFill="1" applyAlignment="1"/>
    <xf numFmtId="0" fontId="116" fillId="0" borderId="0" xfId="16" applyFont="1" applyFill="1" applyAlignment="1">
      <alignment vertical="top"/>
    </xf>
    <xf numFmtId="0" fontId="94" fillId="0" borderId="0" xfId="16" applyFont="1" applyFill="1" applyBorder="1" applyAlignment="1"/>
    <xf numFmtId="0" fontId="116" fillId="0" borderId="0" xfId="16" applyFont="1" applyFill="1" applyAlignment="1"/>
    <xf numFmtId="0" fontId="94" fillId="0" borderId="0" xfId="16" applyFont="1" applyFill="1" applyAlignment="1">
      <alignment vertical="top"/>
    </xf>
    <xf numFmtId="0" fontId="94" fillId="0" borderId="0" xfId="16" applyFont="1" applyFill="1" applyAlignment="1">
      <alignment horizontal="left" indent="1"/>
    </xf>
    <xf numFmtId="49" fontId="94" fillId="0" borderId="0" xfId="16" applyNumberFormat="1" applyFont="1" applyFill="1" applyAlignment="1">
      <alignment horizontal="right" vertical="center"/>
    </xf>
    <xf numFmtId="0" fontId="94" fillId="0" borderId="0" xfId="16" applyFont="1" applyFill="1" applyAlignment="1">
      <alignment horizontal="left" vertical="center" indent="1"/>
    </xf>
    <xf numFmtId="0" fontId="94" fillId="0" borderId="0" xfId="16" applyFont="1" applyFill="1" applyAlignment="1">
      <alignment vertical="center"/>
    </xf>
    <xf numFmtId="0" fontId="94" fillId="0" borderId="0" xfId="16" applyFont="1" applyFill="1" applyAlignment="1">
      <alignment horizontal="left" vertical="top" indent="1"/>
    </xf>
    <xf numFmtId="0" fontId="94" fillId="0" borderId="0" xfId="16" applyFont="1" applyFill="1" applyAlignment="1">
      <alignment horizontal="left"/>
    </xf>
    <xf numFmtId="0" fontId="116" fillId="0" borderId="0" xfId="16" applyFont="1" applyFill="1" applyBorder="1" applyAlignment="1">
      <alignment horizontal="left" vertical="center"/>
    </xf>
    <xf numFmtId="0" fontId="94" fillId="0" borderId="0" xfId="16" applyFont="1" applyFill="1" applyBorder="1" applyAlignment="1">
      <alignment horizontal="left"/>
    </xf>
    <xf numFmtId="49" fontId="94" fillId="0" borderId="0" xfId="16" applyNumberFormat="1" applyFont="1" applyFill="1" applyBorder="1" applyAlignment="1">
      <alignment horizontal="right"/>
    </xf>
    <xf numFmtId="0" fontId="96" fillId="0" borderId="16" xfId="16" applyFont="1" applyFill="1" applyBorder="1" applyAlignment="1" applyProtection="1">
      <protection locked="0"/>
    </xf>
    <xf numFmtId="49" fontId="94" fillId="0" borderId="0" xfId="16" applyNumberFormat="1" applyFont="1" applyFill="1" applyAlignment="1">
      <alignment horizontal="left" vertical="center"/>
    </xf>
    <xf numFmtId="49" fontId="104" fillId="0" borderId="0" xfId="16" applyNumberFormat="1" applyFont="1" applyFill="1" applyAlignment="1">
      <alignment horizontal="left" vertical="center"/>
    </xf>
    <xf numFmtId="0" fontId="95" fillId="0" borderId="28" xfId="0" applyFont="1" applyBorder="1" applyAlignment="1" applyProtection="1">
      <alignment horizontal="center" vertical="center" wrapText="1"/>
    </xf>
    <xf numFmtId="0" fontId="95" fillId="0" borderId="11" xfId="0" applyFont="1" applyFill="1" applyBorder="1" applyAlignment="1" applyProtection="1">
      <alignment horizontal="center" vertical="center"/>
    </xf>
    <xf numFmtId="0" fontId="95" fillId="0" borderId="11" xfId="0" applyFont="1" applyFill="1" applyBorder="1" applyAlignment="1" applyProtection="1">
      <alignment horizontal="center" vertical="center" wrapText="1"/>
    </xf>
    <xf numFmtId="0" fontId="96" fillId="0" borderId="29" xfId="0" applyFont="1" applyBorder="1" applyAlignment="1" applyProtection="1">
      <alignment vertical="center"/>
    </xf>
    <xf numFmtId="38" fontId="90" fillId="0" borderId="11" xfId="0" applyNumberFormat="1" applyFont="1" applyBorder="1" applyAlignment="1" applyProtection="1">
      <alignment vertical="center"/>
      <protection locked="0"/>
    </xf>
    <xf numFmtId="38" fontId="90" fillId="0" borderId="11" xfId="0" applyNumberFormat="1" applyFont="1" applyFill="1" applyBorder="1" applyAlignment="1" applyProtection="1">
      <alignment horizontal="right" vertical="center"/>
      <protection locked="0"/>
    </xf>
    <xf numFmtId="0" fontId="96" fillId="2" borderId="29" xfId="0" applyFont="1" applyFill="1" applyBorder="1" applyAlignment="1" applyProtection="1">
      <alignment vertical="center"/>
    </xf>
    <xf numFmtId="38" fontId="90" fillId="2" borderId="30" xfId="0" applyNumberFormat="1" applyFont="1" applyFill="1" applyBorder="1" applyAlignment="1" applyProtection="1">
      <alignment horizontal="right" vertical="center"/>
    </xf>
    <xf numFmtId="49" fontId="94" fillId="0" borderId="29" xfId="0" applyNumberFormat="1" applyFont="1" applyBorder="1" applyAlignment="1" applyProtection="1">
      <alignment horizontal="center" vertical="center" wrapText="1"/>
    </xf>
    <xf numFmtId="38" fontId="90" fillId="2" borderId="31" xfId="0" applyNumberFormat="1" applyFont="1" applyFill="1" applyBorder="1" applyAlignment="1" applyProtection="1">
      <alignment vertical="center"/>
    </xf>
    <xf numFmtId="38" fontId="90" fillId="2" borderId="31" xfId="0" applyNumberFormat="1" applyFont="1" applyFill="1" applyBorder="1" applyAlignment="1" applyProtection="1">
      <alignment horizontal="right" vertical="center"/>
    </xf>
    <xf numFmtId="0" fontId="94" fillId="0" borderId="32" xfId="0" applyFont="1" applyBorder="1" applyAlignment="1" applyProtection="1">
      <alignment horizontal="left" indent="1"/>
    </xf>
    <xf numFmtId="0" fontId="94" fillId="0" borderId="33" xfId="0" applyFont="1" applyBorder="1" applyAlignment="1" applyProtection="1">
      <alignment horizontal="left" indent="1"/>
    </xf>
    <xf numFmtId="0" fontId="96" fillId="0" borderId="29" xfId="0" applyFont="1" applyBorder="1" applyAlignment="1">
      <alignment horizontal="left" indent="1"/>
    </xf>
    <xf numFmtId="49" fontId="94" fillId="0" borderId="29" xfId="0" applyNumberFormat="1" applyFont="1" applyBorder="1" applyAlignment="1" applyProtection="1">
      <alignment horizontal="center" vertical="center"/>
    </xf>
    <xf numFmtId="0" fontId="94" fillId="0" borderId="32" xfId="0" applyFont="1" applyBorder="1" applyAlignment="1" applyProtection="1">
      <alignment horizontal="left" vertical="center"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38" fontId="90" fillId="2" borderId="11" xfId="0" applyNumberFormat="1" applyFont="1" applyFill="1" applyBorder="1" applyAlignment="1" applyProtection="1">
      <alignment horizontal="right" vertical="center"/>
    </xf>
    <xf numFmtId="49" fontId="94" fillId="0" borderId="33" xfId="0" applyNumberFormat="1" applyFont="1" applyBorder="1" applyAlignment="1" applyProtection="1">
      <alignment horizontal="center" vertical="center"/>
    </xf>
    <xf numFmtId="49" fontId="94" fillId="2" borderId="34" xfId="0" applyNumberFormat="1" applyFont="1" applyFill="1" applyBorder="1" applyAlignment="1" applyProtection="1">
      <alignment horizontal="center" vertical="center"/>
    </xf>
    <xf numFmtId="49" fontId="94" fillId="0" borderId="11" xfId="0" applyNumberFormat="1" applyFont="1" applyBorder="1" applyAlignment="1" applyProtection="1">
      <alignment horizontal="center" vertical="center"/>
    </xf>
    <xf numFmtId="49" fontId="94" fillId="3" borderId="11" xfId="0" applyNumberFormat="1" applyFont="1" applyFill="1" applyBorder="1" applyAlignment="1" applyProtection="1">
      <alignment horizontal="center" vertical="center"/>
    </xf>
    <xf numFmtId="38" fontId="90" fillId="3" borderId="31" xfId="0" applyNumberFormat="1" applyFont="1" applyFill="1" applyBorder="1" applyAlignment="1" applyProtection="1">
      <alignment horizontal="right" vertical="center"/>
    </xf>
    <xf numFmtId="38" fontId="90" fillId="2" borderId="35" xfId="0" applyNumberFormat="1" applyFont="1" applyFill="1" applyBorder="1" applyAlignment="1" applyProtection="1">
      <alignment horizontal="right" vertical="center"/>
    </xf>
    <xf numFmtId="0" fontId="95" fillId="0" borderId="32" xfId="0" applyFont="1" applyFill="1" applyBorder="1" applyAlignment="1">
      <alignment horizontal="left" indent="2"/>
    </xf>
    <xf numFmtId="0" fontId="95" fillId="0" borderId="33" xfId="0" applyFont="1" applyFill="1" applyBorder="1" applyAlignment="1" applyProtection="1">
      <alignment horizontal="left" vertical="center"/>
    </xf>
    <xf numFmtId="0" fontId="96" fillId="0" borderId="29" xfId="0" applyFont="1" applyBorder="1" applyAlignment="1" applyProtection="1"/>
    <xf numFmtId="0" fontId="94" fillId="0" borderId="11" xfId="0" applyFont="1" applyFill="1" applyBorder="1" applyAlignment="1">
      <alignment horizontal="center" wrapText="1"/>
    </xf>
    <xf numFmtId="0" fontId="90" fillId="0" borderId="36" xfId="0" applyFont="1" applyBorder="1" applyAlignment="1" applyProtection="1">
      <alignment vertical="center"/>
    </xf>
    <xf numFmtId="0" fontId="96" fillId="0" borderId="28" xfId="0" applyFont="1" applyBorder="1" applyProtection="1"/>
    <xf numFmtId="0" fontId="96" fillId="0" borderId="37" xfId="0" applyFont="1" applyBorder="1" applyProtection="1"/>
    <xf numFmtId="0" fontId="105" fillId="0" borderId="0" xfId="0" applyFont="1" applyBorder="1" applyAlignment="1" applyProtection="1">
      <alignment horizontal="center"/>
    </xf>
    <xf numFmtId="0" fontId="105" fillId="0" borderId="11" xfId="0" applyFont="1" applyBorder="1" applyAlignment="1" applyProtection="1">
      <alignment horizontal="center"/>
      <protection locked="0"/>
    </xf>
    <xf numFmtId="0" fontId="94" fillId="0" borderId="0" xfId="0" applyFont="1" applyAlignment="1" applyProtection="1">
      <alignment horizontal="left" vertical="center" indent="1"/>
    </xf>
    <xf numFmtId="0" fontId="94" fillId="0" borderId="38" xfId="0" applyFont="1" applyBorder="1" applyAlignment="1" applyProtection="1">
      <alignment vertical="center"/>
    </xf>
    <xf numFmtId="0" fontId="94" fillId="0" borderId="0" xfId="0" applyFont="1" applyAlignment="1" applyProtection="1">
      <alignment horizontal="left" indent="1"/>
    </xf>
    <xf numFmtId="0" fontId="94" fillId="0" borderId="11" xfId="0" applyFont="1" applyBorder="1" applyAlignment="1" applyProtection="1">
      <alignment horizontal="left" vertical="center"/>
    </xf>
    <xf numFmtId="0" fontId="104" fillId="0" borderId="38" xfId="0" applyFont="1" applyBorder="1" applyAlignment="1" applyProtection="1"/>
    <xf numFmtId="0" fontId="90" fillId="0" borderId="37" xfId="0" applyFont="1" applyBorder="1" applyAlignment="1" applyProtection="1">
      <alignment vertical="center"/>
    </xf>
    <xf numFmtId="0" fontId="104" fillId="0" borderId="38" xfId="0" applyFont="1" applyBorder="1" applyAlignment="1" applyProtection="1">
      <alignment vertical="top"/>
    </xf>
    <xf numFmtId="0" fontId="96" fillId="2" borderId="33" xfId="0" applyFont="1" applyFill="1" applyBorder="1" applyProtection="1"/>
    <xf numFmtId="0" fontId="90" fillId="2" borderId="11" xfId="0" applyFont="1" applyFill="1" applyBorder="1" applyAlignment="1" applyProtection="1">
      <alignment vertical="center"/>
    </xf>
    <xf numFmtId="0" fontId="122" fillId="0" borderId="0" xfId="0" applyFont="1" applyAlignment="1" applyProtection="1">
      <alignment horizontal="left" indent="2"/>
    </xf>
    <xf numFmtId="0" fontId="94" fillId="0" borderId="33" xfId="0" applyFont="1" applyBorder="1" applyAlignment="1" applyProtection="1">
      <alignment vertical="center"/>
    </xf>
    <xf numFmtId="0" fontId="94" fillId="0" borderId="29" xfId="0" applyFont="1" applyBorder="1" applyAlignment="1" applyProtection="1">
      <alignment vertical="center"/>
    </xf>
    <xf numFmtId="0" fontId="94" fillId="0" borderId="33" xfId="0" applyFont="1" applyBorder="1" applyAlignment="1" applyProtection="1">
      <alignment horizontal="left" vertical="center" indent="1"/>
    </xf>
    <xf numFmtId="0" fontId="122" fillId="0" borderId="0" xfId="0" applyFont="1" applyAlignment="1" applyProtection="1">
      <alignment horizontal="left" vertical="top"/>
    </xf>
    <xf numFmtId="0" fontId="94" fillId="0" borderId="0" xfId="0" applyFont="1" applyAlignment="1" applyProtection="1">
      <alignment vertical="top"/>
    </xf>
    <xf numFmtId="0" fontId="96" fillId="0" borderId="0" xfId="0" applyFont="1" applyAlignment="1" applyProtection="1">
      <alignment vertical="top"/>
    </xf>
    <xf numFmtId="0" fontId="96" fillId="0" borderId="0" xfId="0" applyFont="1" applyBorder="1" applyAlignment="1" applyProtection="1">
      <alignment vertical="top"/>
    </xf>
    <xf numFmtId="0" fontId="95" fillId="2" borderId="32" xfId="0" applyFont="1" applyFill="1" applyBorder="1" applyAlignment="1" applyProtection="1">
      <alignment vertical="center"/>
    </xf>
    <xf numFmtId="0" fontId="110" fillId="0" borderId="36" xfId="0" applyFont="1" applyFill="1" applyBorder="1" applyAlignment="1" applyProtection="1">
      <alignment horizontal="left" indent="2"/>
    </xf>
    <xf numFmtId="0" fontId="96" fillId="0" borderId="28" xfId="0" applyFont="1" applyBorder="1" applyAlignment="1">
      <alignment horizontal="left" vertical="center"/>
    </xf>
    <xf numFmtId="0" fontId="96" fillId="0" borderId="28" xfId="0" applyFont="1" applyFill="1" applyBorder="1" applyAlignment="1" applyProtection="1">
      <alignment vertical="center"/>
    </xf>
    <xf numFmtId="0" fontId="89" fillId="0" borderId="28" xfId="0" applyFont="1" applyFill="1" applyBorder="1" applyAlignment="1" applyProtection="1">
      <alignment horizontal="left" vertical="center"/>
    </xf>
    <xf numFmtId="0" fontId="96" fillId="0" borderId="28" xfId="0" applyFont="1" applyFill="1" applyBorder="1" applyAlignment="1">
      <alignment horizontal="left" vertical="center"/>
    </xf>
    <xf numFmtId="0" fontId="95" fillId="0" borderId="36" xfId="0" applyFont="1" applyBorder="1" applyAlignment="1" applyProtection="1">
      <alignment horizontal="center" vertical="center" wrapText="1"/>
    </xf>
    <xf numFmtId="0" fontId="95" fillId="0" borderId="31" xfId="0" applyFont="1" applyBorder="1" applyAlignment="1" applyProtection="1">
      <alignment horizontal="center" vertical="center" wrapText="1"/>
    </xf>
    <xf numFmtId="0" fontId="96" fillId="0" borderId="0" xfId="0" applyFont="1" applyAlignment="1" applyProtection="1">
      <alignment horizontal="center" vertical="center" wrapText="1"/>
    </xf>
    <xf numFmtId="38" fontId="90" fillId="0" borderId="35" xfId="0" applyNumberFormat="1" applyFont="1" applyFill="1" applyBorder="1" applyAlignment="1" applyProtection="1">
      <alignment horizontal="right" vertical="center"/>
      <protection locked="0"/>
    </xf>
    <xf numFmtId="0" fontId="95" fillId="2" borderId="35" xfId="0" applyFont="1" applyFill="1" applyBorder="1" applyAlignment="1" applyProtection="1">
      <alignment horizontal="center" vertical="center" wrapText="1"/>
    </xf>
    <xf numFmtId="38" fontId="95" fillId="2" borderId="35" xfId="0" quotePrefix="1" applyNumberFormat="1" applyFont="1" applyFill="1" applyBorder="1" applyAlignment="1" applyProtection="1">
      <alignment horizontal="center" vertical="center"/>
    </xf>
    <xf numFmtId="49" fontId="90" fillId="2" borderId="30" xfId="0" applyNumberFormat="1" applyFont="1" applyFill="1" applyBorder="1" applyAlignment="1" applyProtection="1">
      <alignment horizontal="right" vertical="center"/>
    </xf>
    <xf numFmtId="49" fontId="90" fillId="2" borderId="35" xfId="0" applyNumberFormat="1" applyFont="1" applyFill="1" applyBorder="1" applyAlignment="1" applyProtection="1">
      <alignment horizontal="right" vertical="center"/>
    </xf>
    <xf numFmtId="0" fontId="94" fillId="0" borderId="11" xfId="0" applyFont="1" applyBorder="1" applyAlignment="1" applyProtection="1">
      <alignment horizontal="center" vertical="center"/>
    </xf>
    <xf numFmtId="49" fontId="90" fillId="3" borderId="31" xfId="0" applyNumberFormat="1" applyFont="1" applyFill="1" applyBorder="1" applyAlignment="1" applyProtection="1">
      <alignment horizontal="right" vertical="center"/>
    </xf>
    <xf numFmtId="38" fontId="95" fillId="2" borderId="35" xfId="0" applyNumberFormat="1" applyFont="1" applyFill="1" applyBorder="1" applyAlignment="1" applyProtection="1">
      <alignment horizontal="center" vertical="center"/>
    </xf>
    <xf numFmtId="0" fontId="94" fillId="0" borderId="32" xfId="0" applyFont="1" applyBorder="1" applyAlignment="1" applyProtection="1">
      <alignment horizontal="left" vertical="center" wrapText="1" indent="1"/>
    </xf>
    <xf numFmtId="38" fontId="90" fillId="0" borderId="11" xfId="0" applyNumberFormat="1" applyFont="1" applyFill="1" applyBorder="1" applyAlignment="1" applyProtection="1">
      <alignment horizontal="right"/>
      <protection locked="0"/>
    </xf>
    <xf numFmtId="0" fontId="94" fillId="0" borderId="32" xfId="0" applyFont="1" applyBorder="1" applyAlignment="1" applyProtection="1">
      <alignment horizontal="left" vertical="center" wrapText="1" indent="2"/>
    </xf>
    <xf numFmtId="49" fontId="95" fillId="2" borderId="35" xfId="0" applyNumberFormat="1" applyFont="1" applyFill="1" applyBorder="1" applyAlignment="1" applyProtection="1">
      <alignment horizontal="center" vertical="center"/>
    </xf>
    <xf numFmtId="38" fontId="90" fillId="2" borderId="39" xfId="0" applyNumberFormat="1" applyFont="1" applyFill="1" applyBorder="1" applyAlignment="1" applyProtection="1">
      <alignment horizontal="right" vertical="center"/>
    </xf>
    <xf numFmtId="0" fontId="96" fillId="2" borderId="31" xfId="0" applyFont="1" applyFill="1" applyBorder="1" applyAlignment="1" applyProtection="1">
      <alignment vertical="center"/>
    </xf>
    <xf numFmtId="0" fontId="96" fillId="0" borderId="0" xfId="0" applyFont="1" applyAlignment="1" applyProtection="1">
      <alignment horizontal="right" vertical="center" indent="1"/>
    </xf>
    <xf numFmtId="0" fontId="94" fillId="0" borderId="0" xfId="0" applyFont="1" applyAlignment="1" applyProtection="1">
      <alignment horizontal="right" vertical="center" indent="1"/>
    </xf>
    <xf numFmtId="0" fontId="94" fillId="0" borderId="0" xfId="0" applyFont="1" applyBorder="1" applyAlignment="1" applyProtection="1">
      <alignment horizontal="right" vertical="center" indent="1"/>
    </xf>
    <xf numFmtId="0" fontId="94" fillId="0" borderId="40" xfId="17" applyFont="1" applyFill="1" applyBorder="1" applyAlignment="1">
      <alignment vertical="center"/>
    </xf>
    <xf numFmtId="0" fontId="94" fillId="0" borderId="0" xfId="17" applyFont="1" applyAlignment="1">
      <alignment vertical="center"/>
    </xf>
    <xf numFmtId="0" fontId="94" fillId="0" borderId="40" xfId="17" applyFont="1" applyFill="1" applyBorder="1" applyAlignment="1">
      <alignment horizontal="centerContinuous" vertical="center"/>
    </xf>
    <xf numFmtId="0" fontId="123" fillId="0" borderId="0" xfId="17" applyFont="1" applyBorder="1" applyAlignment="1">
      <alignment vertical="top"/>
    </xf>
    <xf numFmtId="0" fontId="94" fillId="0" borderId="0" xfId="17" applyFont="1" applyBorder="1" applyAlignment="1">
      <alignment vertical="center"/>
    </xf>
    <xf numFmtId="0" fontId="94" fillId="0" borderId="0" xfId="17" applyFont="1" applyBorder="1" applyAlignment="1">
      <alignment horizontal="right" vertical="center"/>
    </xf>
    <xf numFmtId="0" fontId="124" fillId="0" borderId="0" xfId="17" applyFont="1" applyFill="1" applyAlignment="1">
      <alignment horizontal="left" vertical="center" indent="1"/>
    </xf>
    <xf numFmtId="0" fontId="124" fillId="0" borderId="0" xfId="17" applyFont="1" applyAlignment="1">
      <alignment horizontal="center" vertical="center"/>
    </xf>
    <xf numFmtId="0" fontId="94" fillId="0" borderId="0" xfId="17" applyFont="1" applyAlignment="1">
      <alignment horizontal="right" vertical="center"/>
    </xf>
    <xf numFmtId="0" fontId="124" fillId="0" borderId="0" xfId="17" applyFont="1" applyAlignment="1">
      <alignment vertical="center"/>
    </xf>
    <xf numFmtId="0" fontId="94" fillId="0" borderId="0" xfId="17" applyFont="1" applyFill="1" applyAlignment="1">
      <alignment vertical="center"/>
    </xf>
    <xf numFmtId="0" fontId="95" fillId="0" borderId="0" xfId="17" applyFont="1" applyFill="1" applyBorder="1" applyAlignment="1">
      <alignment horizontal="left"/>
    </xf>
    <xf numFmtId="0" fontId="94" fillId="0" borderId="0" xfId="17" applyFont="1" applyFill="1" applyBorder="1" applyAlignment="1">
      <alignment vertical="center"/>
    </xf>
    <xf numFmtId="0" fontId="94" fillId="0" borderId="0" xfId="17" applyFont="1" applyFill="1" applyBorder="1" applyAlignment="1">
      <alignment horizontal="right" vertical="center"/>
    </xf>
    <xf numFmtId="0" fontId="94" fillId="0" borderId="0" xfId="17" applyFont="1" applyFill="1" applyAlignment="1">
      <alignment horizontal="left" vertical="center"/>
    </xf>
    <xf numFmtId="49" fontId="94" fillId="0" borderId="0" xfId="17" applyNumberFormat="1" applyFont="1" applyFill="1" applyAlignment="1">
      <alignment horizontal="left" vertical="center"/>
    </xf>
    <xf numFmtId="0" fontId="94" fillId="0" borderId="0" xfId="17" applyFont="1" applyFill="1" applyAlignment="1">
      <alignment horizontal="right" vertical="center"/>
    </xf>
    <xf numFmtId="3" fontId="94" fillId="0" borderId="0" xfId="17" applyNumberFormat="1" applyFont="1" applyFill="1" applyAlignment="1">
      <alignment vertical="center"/>
    </xf>
    <xf numFmtId="3" fontId="94" fillId="0" borderId="0" xfId="17" applyNumberFormat="1" applyFont="1" applyFill="1" applyBorder="1" applyAlignment="1">
      <alignment vertical="center"/>
    </xf>
    <xf numFmtId="0" fontId="95" fillId="0" borderId="0" xfId="17" applyFont="1" applyFill="1" applyBorder="1" applyAlignment="1">
      <alignment horizontal="left" vertical="center"/>
    </xf>
    <xf numFmtId="0" fontId="94" fillId="0" borderId="0" xfId="17" applyFont="1" applyFill="1" applyAlignment="1">
      <alignment horizontal="center" vertical="center"/>
    </xf>
    <xf numFmtId="0" fontId="94" fillId="0" borderId="0" xfId="17" applyFont="1" applyFill="1" applyAlignment="1">
      <alignment vertical="center" wrapText="1"/>
    </xf>
    <xf numFmtId="0" fontId="94" fillId="0" borderId="0" xfId="17" applyFont="1" applyFill="1" applyAlignment="1">
      <alignment horizontal="center" vertical="top"/>
    </xf>
    <xf numFmtId="0" fontId="94" fillId="0" borderId="0" xfId="17" applyFont="1" applyFill="1" applyAlignment="1">
      <alignment vertical="top" wrapText="1"/>
    </xf>
    <xf numFmtId="0" fontId="94" fillId="0" borderId="0" xfId="17" applyFont="1" applyFill="1" applyBorder="1" applyAlignment="1">
      <alignment horizontal="right" vertical="top"/>
    </xf>
    <xf numFmtId="1" fontId="94" fillId="0" borderId="0" xfId="17" applyNumberFormat="1" applyFont="1" applyFill="1" applyAlignment="1">
      <alignment horizontal="center" vertical="center"/>
    </xf>
    <xf numFmtId="1" fontId="94" fillId="0" borderId="0" xfId="17" applyNumberFormat="1" applyFont="1" applyFill="1" applyAlignment="1">
      <alignment horizontal="left" vertical="center"/>
    </xf>
    <xf numFmtId="0" fontId="94" fillId="0" borderId="0" xfId="17" quotePrefix="1" applyFont="1" applyFill="1" applyAlignment="1">
      <alignment horizontal="left" vertical="center" wrapText="1"/>
    </xf>
    <xf numFmtId="167" fontId="94" fillId="0" borderId="0" xfId="17" applyNumberFormat="1" applyFont="1" applyFill="1" applyBorder="1" applyAlignment="1" applyProtection="1">
      <alignment horizontal="right" vertical="center"/>
    </xf>
    <xf numFmtId="0" fontId="94" fillId="0" borderId="0" xfId="17" applyFont="1" applyFill="1" applyAlignment="1">
      <alignment horizontal="left" vertical="center" wrapText="1"/>
    </xf>
    <xf numFmtId="49" fontId="94" fillId="0" borderId="0" xfId="17" applyNumberFormat="1" applyFont="1" applyFill="1" applyAlignment="1">
      <alignment horizontal="center" vertical="center"/>
    </xf>
    <xf numFmtId="3" fontId="94" fillId="0" borderId="0" xfId="17" quotePrefix="1" applyNumberFormat="1" applyFont="1" applyFill="1" applyAlignment="1">
      <alignment horizontal="left" vertical="center" wrapText="1"/>
    </xf>
    <xf numFmtId="3" fontId="94" fillId="0" borderId="0" xfId="17" applyNumberFormat="1" applyFont="1" applyFill="1" applyAlignment="1">
      <alignment vertical="center" wrapText="1"/>
    </xf>
    <xf numFmtId="0" fontId="94" fillId="0" borderId="0" xfId="17" applyNumberFormat="1" applyFont="1" applyFill="1" applyAlignment="1">
      <alignment horizontal="center" vertical="center"/>
    </xf>
    <xf numFmtId="3" fontId="94" fillId="0" borderId="0" xfId="17" applyNumberFormat="1" applyFont="1" applyFill="1" applyAlignment="1">
      <alignment horizontal="center" vertical="center" wrapText="1"/>
    </xf>
    <xf numFmtId="3" fontId="94" fillId="0" borderId="0" xfId="17" applyNumberFormat="1" applyFont="1" applyAlignment="1">
      <alignment vertical="center"/>
    </xf>
    <xf numFmtId="3" fontId="94" fillId="0" borderId="0" xfId="17" applyNumberFormat="1" applyFont="1" applyFill="1" applyAlignment="1">
      <alignment horizontal="left" vertical="center" wrapText="1"/>
    </xf>
    <xf numFmtId="0" fontId="94" fillId="0" borderId="0" xfId="17" applyFont="1" applyAlignment="1">
      <alignment horizontal="left" vertical="center"/>
    </xf>
    <xf numFmtId="0" fontId="94" fillId="0" borderId="0" xfId="17" applyFont="1" applyAlignment="1">
      <alignment horizontal="center" vertical="center"/>
    </xf>
    <xf numFmtId="0" fontId="94" fillId="0" borderId="0" xfId="17" applyFont="1" applyFill="1" applyAlignment="1">
      <alignment horizontal="left" vertical="top"/>
    </xf>
    <xf numFmtId="49" fontId="94" fillId="0" borderId="0" xfId="17" applyNumberFormat="1" applyFont="1" applyFill="1" applyAlignment="1">
      <alignment horizontal="center" vertical="top"/>
    </xf>
    <xf numFmtId="3" fontId="94" fillId="0" borderId="0" xfId="17" applyNumberFormat="1" applyFont="1" applyFill="1" applyAlignment="1">
      <alignment horizontal="left" vertical="top" wrapText="1"/>
    </xf>
    <xf numFmtId="0" fontId="94" fillId="0" borderId="0" xfId="17" applyFont="1" applyFill="1" applyBorder="1" applyAlignment="1">
      <alignment horizontal="left" vertical="center"/>
    </xf>
    <xf numFmtId="0" fontId="95" fillId="0" borderId="0" xfId="17" quotePrefix="1" applyFont="1" applyFill="1" applyAlignment="1">
      <alignment horizontal="left" vertical="center"/>
    </xf>
    <xf numFmtId="0" fontId="95" fillId="0" borderId="0" xfId="17" applyFont="1" applyFill="1" applyAlignment="1">
      <alignment horizontal="right" vertical="center"/>
    </xf>
    <xf numFmtId="0" fontId="94" fillId="0" borderId="0" xfId="17" applyFont="1" applyFill="1" applyAlignment="1" applyProtection="1">
      <alignment horizontal="left" vertical="center"/>
    </xf>
    <xf numFmtId="0" fontId="95" fillId="0" borderId="0" xfId="18" applyFont="1" applyFill="1" applyBorder="1" applyAlignment="1">
      <alignment vertical="center"/>
    </xf>
    <xf numFmtId="0" fontId="94" fillId="0" borderId="0" xfId="18" applyFont="1" applyFill="1" applyBorder="1" applyAlignment="1">
      <alignment vertical="center"/>
    </xf>
    <xf numFmtId="0" fontId="94" fillId="0" borderId="0" xfId="18" applyFont="1" applyFill="1" applyBorder="1" applyAlignment="1">
      <alignment horizontal="right" vertical="center"/>
    </xf>
    <xf numFmtId="0" fontId="114" fillId="0" borderId="0" xfId="0" quotePrefix="1" applyFont="1" applyFill="1" applyBorder="1" applyAlignment="1">
      <alignment horizontal="left" vertical="center"/>
    </xf>
    <xf numFmtId="0" fontId="94" fillId="0" borderId="0" xfId="18" applyFont="1" applyFill="1" applyAlignment="1">
      <alignment horizontal="left" vertical="center"/>
    </xf>
    <xf numFmtId="49" fontId="94" fillId="0" borderId="0" xfId="18" applyNumberFormat="1" applyFont="1" applyFill="1" applyAlignment="1">
      <alignment horizontal="left" vertical="center"/>
    </xf>
    <xf numFmtId="0" fontId="94" fillId="0" borderId="0" xfId="18" applyFont="1" applyFill="1" applyAlignment="1">
      <alignment horizontal="center" vertical="center"/>
    </xf>
    <xf numFmtId="0" fontId="94" fillId="0" borderId="0" xfId="18" applyFont="1" applyFill="1" applyAlignment="1">
      <alignment vertical="center" wrapText="1"/>
    </xf>
    <xf numFmtId="0" fontId="94" fillId="0" borderId="0" xfId="18" applyFont="1" applyFill="1" applyAlignment="1">
      <alignment vertical="center"/>
    </xf>
    <xf numFmtId="0" fontId="94" fillId="0" borderId="0" xfId="18" applyNumberFormat="1" applyFont="1" applyFill="1" applyAlignment="1">
      <alignment horizontal="center" vertical="center"/>
    </xf>
    <xf numFmtId="3" fontId="94" fillId="0" borderId="0" xfId="18" applyNumberFormat="1" applyFont="1" applyFill="1" applyAlignment="1">
      <alignment vertical="center"/>
    </xf>
    <xf numFmtId="0" fontId="94" fillId="0" borderId="0" xfId="18" applyFont="1" applyFill="1" applyAlignment="1">
      <alignment horizontal="center" vertical="top"/>
    </xf>
    <xf numFmtId="3" fontId="94" fillId="0" borderId="0" xfId="18" applyNumberFormat="1" applyFont="1" applyFill="1" applyBorder="1" applyAlignment="1">
      <alignment vertical="center"/>
    </xf>
    <xf numFmtId="38" fontId="94" fillId="0" borderId="0" xfId="18" applyNumberFormat="1" applyFont="1" applyFill="1" applyAlignment="1">
      <alignment horizontal="left" vertical="center" wrapText="1"/>
    </xf>
    <xf numFmtId="0" fontId="94" fillId="0" borderId="0" xfId="18" applyFont="1" applyFill="1" applyAlignment="1">
      <alignment horizontal="left" vertical="center" wrapText="1"/>
    </xf>
    <xf numFmtId="0" fontId="94" fillId="0" borderId="0" xfId="18" quotePrefix="1" applyFont="1" applyFill="1" applyAlignment="1">
      <alignment horizontal="left" vertical="center" wrapText="1"/>
    </xf>
    <xf numFmtId="1" fontId="94" fillId="0" borderId="0" xfId="18" applyNumberFormat="1" applyFont="1" applyFill="1" applyAlignment="1">
      <alignment horizontal="center" vertical="center"/>
    </xf>
    <xf numFmtId="0" fontId="94" fillId="0" borderId="0" xfId="18" quotePrefix="1" applyFont="1" applyFill="1" applyAlignment="1">
      <alignment horizontal="left" vertical="center"/>
    </xf>
    <xf numFmtId="1" fontId="94" fillId="0" borderId="0" xfId="18" quotePrefix="1" applyNumberFormat="1" applyFont="1" applyFill="1" applyAlignment="1">
      <alignment horizontal="center" vertical="center"/>
    </xf>
    <xf numFmtId="0" fontId="94" fillId="0" borderId="0" xfId="18" applyFont="1" applyFill="1" applyAlignment="1">
      <alignment horizontal="left" vertical="top"/>
    </xf>
    <xf numFmtId="1" fontId="94" fillId="0" borderId="0" xfId="18" applyNumberFormat="1" applyFont="1" applyFill="1" applyAlignment="1">
      <alignment horizontal="center" vertical="top"/>
    </xf>
    <xf numFmtId="0" fontId="94" fillId="0" borderId="0" xfId="18" applyFont="1" applyFill="1" applyAlignment="1">
      <alignment vertical="top" wrapText="1"/>
    </xf>
    <xf numFmtId="0" fontId="94" fillId="0" borderId="0" xfId="18" applyFont="1" applyFill="1" applyBorder="1" applyAlignment="1">
      <alignment horizontal="right" vertical="top"/>
    </xf>
    <xf numFmtId="0" fontId="94" fillId="0" borderId="0" xfId="18" applyFont="1" applyAlignment="1">
      <alignment horizontal="left" vertical="center"/>
    </xf>
    <xf numFmtId="1" fontId="94" fillId="0" borderId="0" xfId="18" applyNumberFormat="1" applyFont="1" applyAlignment="1">
      <alignment horizontal="center" vertical="center"/>
    </xf>
    <xf numFmtId="0" fontId="94" fillId="0" borderId="0" xfId="18" applyFont="1" applyAlignment="1">
      <alignment vertical="center" wrapText="1"/>
    </xf>
    <xf numFmtId="0" fontId="94" fillId="0" borderId="0" xfId="18" applyFont="1" applyAlignment="1">
      <alignment vertical="center"/>
    </xf>
    <xf numFmtId="167" fontId="94" fillId="0" borderId="0" xfId="18" applyNumberFormat="1" applyFont="1" applyFill="1" applyBorder="1" applyAlignment="1" applyProtection="1">
      <alignment horizontal="right" vertical="center"/>
    </xf>
    <xf numFmtId="0" fontId="94" fillId="0" borderId="0" xfId="18" applyFont="1" applyAlignment="1">
      <alignment horizontal="center" vertical="center"/>
    </xf>
    <xf numFmtId="0" fontId="94" fillId="0" borderId="0" xfId="18" applyFont="1" applyAlignment="1">
      <alignment horizontal="left" vertical="center" wrapText="1"/>
    </xf>
    <xf numFmtId="49" fontId="94" fillId="7" borderId="0" xfId="18" applyNumberFormat="1" applyFont="1" applyFill="1" applyBorder="1" applyAlignment="1">
      <alignment horizontal="left" vertical="center"/>
    </xf>
    <xf numFmtId="49" fontId="94" fillId="7" borderId="0" xfId="18" applyNumberFormat="1" applyFont="1" applyFill="1" applyBorder="1" applyAlignment="1">
      <alignment horizontal="center" vertical="center"/>
    </xf>
    <xf numFmtId="0" fontId="94" fillId="7" borderId="0" xfId="18" applyNumberFormat="1" applyFont="1" applyFill="1" applyBorder="1" applyAlignment="1">
      <alignment vertical="center" wrapText="1"/>
    </xf>
    <xf numFmtId="49" fontId="94" fillId="7" borderId="0" xfId="18" applyNumberFormat="1" applyFont="1" applyFill="1" applyBorder="1" applyAlignment="1">
      <alignment horizontal="right" vertical="center"/>
    </xf>
    <xf numFmtId="49" fontId="94" fillId="0" borderId="0" xfId="18" applyNumberFormat="1" applyFont="1" applyFill="1" applyBorder="1" applyAlignment="1">
      <alignment horizontal="left" vertical="center"/>
    </xf>
    <xf numFmtId="49" fontId="94" fillId="0" borderId="0" xfId="18" applyNumberFormat="1" applyFont="1" applyFill="1" applyBorder="1" applyAlignment="1">
      <alignment horizontal="left" vertical="center" wrapText="1"/>
    </xf>
    <xf numFmtId="49" fontId="94" fillId="0" borderId="0" xfId="18" applyNumberFormat="1" applyFont="1" applyFill="1" applyBorder="1" applyAlignment="1">
      <alignment horizontal="center" vertical="center"/>
    </xf>
    <xf numFmtId="0" fontId="94" fillId="0" borderId="0" xfId="18" applyNumberFormat="1" applyFont="1" applyFill="1" applyBorder="1" applyAlignment="1">
      <alignment vertical="center" wrapText="1"/>
    </xf>
    <xf numFmtId="49" fontId="94" fillId="0" borderId="0" xfId="18" applyNumberFormat="1" applyFont="1" applyFill="1" applyBorder="1" applyAlignment="1">
      <alignment horizontal="right" vertical="center"/>
    </xf>
    <xf numFmtId="0" fontId="94" fillId="0" borderId="0" xfId="18" applyFont="1" applyBorder="1" applyAlignment="1">
      <alignment vertical="center"/>
    </xf>
    <xf numFmtId="0" fontId="94" fillId="0" borderId="0" xfId="18" applyFont="1" applyAlignment="1">
      <alignment horizontal="left" vertical="top"/>
    </xf>
    <xf numFmtId="0" fontId="94" fillId="0" borderId="0" xfId="18" applyFont="1" applyAlignment="1">
      <alignment horizontal="center" vertical="top"/>
    </xf>
    <xf numFmtId="0" fontId="94" fillId="0" borderId="0" xfId="18" applyFont="1" applyAlignment="1">
      <alignment horizontal="left" vertical="top" wrapText="1"/>
    </xf>
    <xf numFmtId="0" fontId="94" fillId="0" borderId="0" xfId="18" applyFont="1" applyBorder="1" applyAlignment="1">
      <alignment horizontal="left" vertical="center"/>
    </xf>
    <xf numFmtId="0" fontId="94" fillId="0" borderId="0" xfId="18" quotePrefix="1" applyFont="1" applyAlignment="1">
      <alignment horizontal="left" vertical="top"/>
    </xf>
    <xf numFmtId="0" fontId="94" fillId="0" borderId="0" xfId="18" applyFont="1" applyAlignment="1">
      <alignment horizontal="right" vertical="center"/>
    </xf>
    <xf numFmtId="0" fontId="94" fillId="0" borderId="0" xfId="18" applyFont="1" applyAlignment="1" applyProtection="1">
      <alignment vertical="center"/>
    </xf>
    <xf numFmtId="0" fontId="89" fillId="2" borderId="8" xfId="0" applyFont="1" applyFill="1" applyBorder="1" applyAlignment="1">
      <alignment horizontal="left"/>
    </xf>
    <xf numFmtId="0" fontId="89" fillId="2" borderId="3" xfId="0" applyFont="1" applyFill="1" applyBorder="1"/>
    <xf numFmtId="0" fontId="96" fillId="2" borderId="3" xfId="0" applyFont="1" applyFill="1" applyBorder="1"/>
    <xf numFmtId="0" fontId="96" fillId="2" borderId="4" xfId="0" applyFont="1" applyFill="1" applyBorder="1"/>
    <xf numFmtId="0" fontId="89" fillId="2" borderId="0" xfId="0" applyFont="1" applyFill="1" applyBorder="1" applyAlignment="1"/>
    <xf numFmtId="0" fontId="89" fillId="2" borderId="0" xfId="0" applyFont="1" applyFill="1" applyBorder="1"/>
    <xf numFmtId="0" fontId="96" fillId="2" borderId="0" xfId="0" applyFont="1" applyFill="1" applyBorder="1"/>
    <xf numFmtId="0" fontId="96" fillId="2" borderId="5" xfId="0" applyFont="1" applyFill="1" applyBorder="1"/>
    <xf numFmtId="0" fontId="117" fillId="2" borderId="0" xfId="0" applyFont="1" applyFill="1" applyAlignment="1">
      <alignment horizontal="left"/>
    </xf>
    <xf numFmtId="0" fontId="96" fillId="2" borderId="0" xfId="0" applyFont="1" applyFill="1" applyAlignment="1"/>
    <xf numFmtId="0" fontId="96" fillId="2" borderId="0" xfId="0" applyFont="1" applyFill="1" applyBorder="1" applyAlignment="1">
      <alignment vertical="center"/>
    </xf>
    <xf numFmtId="0" fontId="96" fillId="2" borderId="0" xfId="0" applyFont="1" applyFill="1" applyBorder="1" applyAlignment="1">
      <alignment horizontal="left" vertical="center"/>
    </xf>
    <xf numFmtId="0" fontId="96" fillId="2" borderId="5" xfId="0" applyFont="1" applyFill="1" applyBorder="1" applyAlignment="1">
      <alignment horizontal="left" vertical="center"/>
    </xf>
    <xf numFmtId="0" fontId="89" fillId="2" borderId="8" xfId="0" applyFont="1" applyFill="1" applyBorder="1" applyAlignment="1" applyProtection="1">
      <alignment vertical="center"/>
    </xf>
    <xf numFmtId="0" fontId="95" fillId="2" borderId="3" xfId="0" applyFont="1" applyFill="1" applyBorder="1" applyAlignment="1" applyProtection="1">
      <alignment vertical="center"/>
    </xf>
    <xf numFmtId="0" fontId="96" fillId="2" borderId="3" xfId="0" applyFont="1" applyFill="1" applyBorder="1" applyAlignment="1" applyProtection="1">
      <alignment vertical="center"/>
    </xf>
    <xf numFmtId="0" fontId="96" fillId="0" borderId="7" xfId="0" applyFont="1" applyFill="1" applyBorder="1" applyAlignment="1" applyProtection="1">
      <alignment vertical="center"/>
    </xf>
    <xf numFmtId="0" fontId="96" fillId="0" borderId="5" xfId="0" applyFont="1" applyFill="1" applyBorder="1" applyAlignment="1" applyProtection="1">
      <alignment vertical="center"/>
    </xf>
    <xf numFmtId="0" fontId="94" fillId="0" borderId="23" xfId="0" applyFont="1" applyBorder="1" applyAlignment="1" applyProtection="1">
      <alignment horizontal="left" vertical="center" indent="1"/>
    </xf>
    <xf numFmtId="0" fontId="96" fillId="0" borderId="14" xfId="0" applyFont="1" applyBorder="1" applyAlignment="1" applyProtection="1">
      <alignment vertical="center"/>
    </xf>
    <xf numFmtId="0" fontId="94" fillId="0" borderId="19" xfId="0" applyFont="1" applyBorder="1" applyAlignment="1" applyProtection="1">
      <alignment horizontal="right" vertical="center"/>
    </xf>
    <xf numFmtId="0" fontId="94" fillId="0" borderId="7" xfId="0" applyFont="1" applyFill="1" applyBorder="1" applyAlignment="1" applyProtection="1">
      <alignment horizontal="center" vertical="center"/>
    </xf>
    <xf numFmtId="38" fontId="90" fillId="0" borderId="5" xfId="0" applyNumberFormat="1" applyFont="1" applyFill="1" applyBorder="1" applyAlignment="1" applyProtection="1">
      <alignment vertical="center"/>
    </xf>
    <xf numFmtId="0" fontId="104" fillId="0" borderId="14" xfId="0" applyFont="1" applyBorder="1" applyAlignment="1" applyProtection="1">
      <alignment vertical="center"/>
    </xf>
    <xf numFmtId="38" fontId="90" fillId="0" borderId="5" xfId="0" applyNumberFormat="1" applyFont="1" applyFill="1" applyBorder="1" applyAlignment="1" applyProtection="1"/>
    <xf numFmtId="0" fontId="94" fillId="0" borderId="9" xfId="0" applyFont="1" applyFill="1" applyBorder="1" applyAlignment="1" applyProtection="1">
      <alignment horizontal="center" vertical="center"/>
    </xf>
    <xf numFmtId="38" fontId="90" fillId="0" borderId="10" xfId="0" applyNumberFormat="1" applyFont="1" applyFill="1" applyBorder="1" applyAlignment="1" applyProtection="1">
      <alignment vertical="center"/>
    </xf>
    <xf numFmtId="0" fontId="96" fillId="2" borderId="4" xfId="0" applyFont="1" applyFill="1" applyBorder="1" applyAlignment="1" applyProtection="1">
      <alignment vertical="center"/>
    </xf>
    <xf numFmtId="0" fontId="89" fillId="2" borderId="9" xfId="0" applyFont="1" applyFill="1" applyBorder="1" applyAlignment="1">
      <alignment vertical="center"/>
    </xf>
    <xf numFmtId="0" fontId="105" fillId="2" borderId="6" xfId="0" applyFont="1" applyFill="1" applyBorder="1" applyAlignment="1">
      <alignment horizontal="left" vertical="center" indent="1"/>
    </xf>
    <xf numFmtId="0" fontId="96" fillId="2" borderId="6" xfId="0" applyFont="1" applyFill="1" applyBorder="1" applyAlignment="1">
      <alignment horizontal="left" vertical="center"/>
    </xf>
    <xf numFmtId="0" fontId="96" fillId="0" borderId="7" xfId="0" applyFont="1" applyBorder="1"/>
    <xf numFmtId="0" fontId="90" fillId="0" borderId="0" xfId="0" applyNumberFormat="1" applyFont="1" applyFill="1" applyBorder="1" applyAlignment="1">
      <alignment horizontal="left" vertical="center"/>
    </xf>
    <xf numFmtId="0" fontId="90" fillId="0" borderId="7" xfId="0" applyFont="1" applyBorder="1"/>
    <xf numFmtId="0" fontId="94" fillId="0" borderId="7" xfId="0" applyFont="1" applyBorder="1"/>
    <xf numFmtId="0" fontId="95" fillId="0" borderId="0" xfId="0" applyFont="1" applyBorder="1" applyAlignment="1">
      <alignment horizontal="center"/>
    </xf>
    <xf numFmtId="0" fontId="95" fillId="0" borderId="23" xfId="0" applyFont="1" applyBorder="1" applyAlignment="1">
      <alignment horizontal="left"/>
    </xf>
    <xf numFmtId="0" fontId="95" fillId="0" borderId="19" xfId="0" applyFont="1" applyBorder="1" applyAlignment="1">
      <alignment horizontal="left" indent="1"/>
    </xf>
    <xf numFmtId="49" fontId="94" fillId="0" borderId="2" xfId="0" applyNumberFormat="1" applyFont="1" applyBorder="1" applyAlignment="1">
      <alignment horizontal="center"/>
    </xf>
    <xf numFmtId="0" fontId="94" fillId="0" borderId="2" xfId="0" applyFont="1" applyBorder="1" applyAlignment="1">
      <alignment horizontal="center"/>
    </xf>
    <xf numFmtId="0" fontId="94" fillId="0" borderId="23" xfId="0" applyFont="1" applyBorder="1" applyAlignment="1">
      <alignment horizontal="left" indent="1"/>
    </xf>
    <xf numFmtId="0" fontId="94" fillId="0" borderId="19" xfId="0" applyFont="1" applyBorder="1" applyAlignment="1">
      <alignment horizontal="left" indent="2"/>
    </xf>
    <xf numFmtId="0" fontId="95" fillId="0" borderId="19" xfId="0" applyFont="1" applyBorder="1" applyAlignment="1">
      <alignment horizontal="left" indent="2"/>
    </xf>
    <xf numFmtId="0" fontId="94" fillId="0" borderId="19" xfId="0" applyFont="1" applyBorder="1" applyAlignment="1">
      <alignment horizontal="left" indent="4"/>
    </xf>
    <xf numFmtId="0" fontId="95" fillId="5" borderId="23" xfId="0" applyFont="1" applyFill="1" applyBorder="1" applyAlignment="1">
      <alignment horizontal="left" indent="2"/>
    </xf>
    <xf numFmtId="0" fontId="95" fillId="5" borderId="19" xfId="0" applyFont="1" applyFill="1" applyBorder="1" applyAlignment="1">
      <alignment horizontal="left" indent="2"/>
    </xf>
    <xf numFmtId="0" fontId="94" fillId="5" borderId="2" xfId="0" applyFont="1" applyFill="1" applyBorder="1"/>
    <xf numFmtId="0" fontId="90" fillId="0" borderId="5" xfId="0" applyFont="1" applyBorder="1"/>
    <xf numFmtId="0" fontId="95" fillId="0" borderId="6" xfId="0" applyFont="1" applyBorder="1" applyAlignment="1">
      <alignment horizontal="centerContinuous"/>
    </xf>
    <xf numFmtId="0" fontId="90" fillId="0" borderId="10" xfId="0" applyFont="1" applyBorder="1" applyAlignment="1">
      <alignment horizontal="centerContinuous"/>
    </xf>
    <xf numFmtId="0" fontId="96" fillId="0" borderId="9" xfId="0" applyFont="1" applyBorder="1"/>
    <xf numFmtId="0" fontId="96" fillId="0" borderId="6" xfId="0" applyFont="1" applyBorder="1"/>
    <xf numFmtId="0" fontId="90" fillId="0" borderId="9" xfId="0" applyFont="1" applyBorder="1"/>
    <xf numFmtId="0" fontId="90" fillId="0" borderId="10" xfId="0" applyFont="1" applyBorder="1"/>
    <xf numFmtId="0" fontId="96" fillId="0" borderId="0" xfId="4" applyNumberFormat="1" applyFont="1" applyBorder="1" applyAlignment="1">
      <alignment vertical="center"/>
    </xf>
    <xf numFmtId="0" fontId="96" fillId="0" borderId="7" xfId="4" applyNumberFormat="1" applyFont="1" applyBorder="1" applyAlignment="1">
      <alignment vertical="center"/>
    </xf>
    <xf numFmtId="0" fontId="96" fillId="0" borderId="3" xfId="4" applyNumberFormat="1" applyFont="1" applyBorder="1" applyAlignment="1">
      <alignment vertical="center"/>
    </xf>
    <xf numFmtId="0" fontId="96" fillId="0" borderId="17" xfId="4" applyNumberFormat="1" applyFont="1" applyBorder="1" applyAlignment="1">
      <alignment vertical="center"/>
    </xf>
    <xf numFmtId="0" fontId="96" fillId="0" borderId="19" xfId="4" applyNumberFormat="1" applyFont="1" applyBorder="1" applyAlignment="1">
      <alignment horizontal="left" vertical="center"/>
    </xf>
    <xf numFmtId="171" fontId="96" fillId="0" borderId="0" xfId="4" applyNumberFormat="1" applyFont="1" applyBorder="1" applyAlignment="1" applyProtection="1">
      <alignment horizontal="center"/>
    </xf>
    <xf numFmtId="0" fontId="96" fillId="0" borderId="140" xfId="4" applyNumberFormat="1" applyFont="1" applyBorder="1" applyAlignment="1">
      <alignment vertical="center"/>
    </xf>
    <xf numFmtId="0" fontId="96" fillId="0" borderId="0" xfId="4" applyNumberFormat="1" applyFont="1" applyBorder="1" applyAlignment="1">
      <alignment wrapText="1"/>
    </xf>
    <xf numFmtId="0" fontId="105" fillId="0" borderId="11" xfId="4" applyNumberFormat="1" applyFont="1" applyBorder="1" applyAlignment="1" applyProtection="1">
      <alignment horizontal="center" vertical="center"/>
      <protection locked="0"/>
    </xf>
    <xf numFmtId="164" fontId="94" fillId="0" borderId="0" xfId="0" applyNumberFormat="1" applyFont="1"/>
    <xf numFmtId="164" fontId="96" fillId="0" borderId="0" xfId="0" applyNumberFormat="1" applyFont="1"/>
    <xf numFmtId="166" fontId="94" fillId="0" borderId="0" xfId="0" applyNumberFormat="1" applyFont="1" applyAlignment="1">
      <alignment horizontal="left"/>
    </xf>
    <xf numFmtId="0" fontId="96" fillId="0" borderId="0" xfId="0" applyFont="1" applyAlignment="1">
      <alignment vertical="top"/>
    </xf>
    <xf numFmtId="0" fontId="125" fillId="0" borderId="0" xfId="0" applyFont="1"/>
    <xf numFmtId="0" fontId="90" fillId="0" borderId="0" xfId="0" applyFont="1" applyAlignment="1">
      <alignment vertical="top" wrapText="1"/>
    </xf>
    <xf numFmtId="0" fontId="96" fillId="0" borderId="0" xfId="4" applyFont="1" applyAlignment="1">
      <alignment wrapText="1"/>
    </xf>
    <xf numFmtId="0" fontId="96" fillId="0" borderId="0" xfId="4" applyFont="1" applyAlignment="1">
      <alignment vertical="center"/>
    </xf>
    <xf numFmtId="0" fontId="95" fillId="0" borderId="32" xfId="4" applyFont="1" applyFill="1" applyBorder="1" applyAlignment="1">
      <alignment horizontal="center" vertical="center"/>
    </xf>
    <xf numFmtId="0" fontId="95" fillId="0" borderId="11" xfId="4" applyFont="1" applyBorder="1" applyAlignment="1">
      <alignment horizontal="center" vertical="center" wrapText="1"/>
    </xf>
    <xf numFmtId="0" fontId="89" fillId="0" borderId="11" xfId="4" applyFont="1" applyBorder="1" applyAlignment="1">
      <alignment horizontal="left" vertical="center" wrapText="1" indent="1"/>
    </xf>
    <xf numFmtId="0" fontId="96" fillId="0" borderId="0" xfId="4" applyFont="1" applyAlignment="1">
      <alignment horizontal="left" vertical="center"/>
    </xf>
    <xf numFmtId="0" fontId="95" fillId="0" borderId="30" xfId="4" applyFont="1" applyBorder="1" applyAlignment="1">
      <alignment horizontal="left" vertical="center" wrapText="1" indent="2"/>
    </xf>
    <xf numFmtId="0" fontId="95" fillId="0" borderId="11" xfId="4" applyFont="1" applyBorder="1" applyAlignment="1">
      <alignment horizontal="left" vertical="center" wrapText="1" indent="1"/>
    </xf>
    <xf numFmtId="0" fontId="89" fillId="0" borderId="0" xfId="4" applyFont="1" applyFill="1" applyBorder="1" applyAlignment="1">
      <alignment wrapText="1"/>
    </xf>
    <xf numFmtId="38" fontId="105" fillId="0" borderId="0" xfId="4" applyNumberFormat="1" applyFont="1" applyFill="1" applyBorder="1"/>
    <xf numFmtId="0" fontId="94"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96" fillId="0" borderId="0" xfId="4" applyFont="1" applyAlignment="1">
      <alignment horizontal="left"/>
    </xf>
    <xf numFmtId="0" fontId="96" fillId="0" borderId="0" xfId="4" applyFont="1" applyAlignment="1"/>
    <xf numFmtId="49" fontId="126" fillId="0" borderId="0" xfId="0" applyNumberFormat="1" applyFont="1" applyFill="1" applyBorder="1" applyAlignment="1">
      <alignment horizontal="centerContinuous" vertical="top"/>
    </xf>
    <xf numFmtId="0" fontId="90" fillId="0" borderId="0" xfId="0" applyFont="1" applyAlignment="1">
      <alignment horizontal="centerContinuous" vertical="top"/>
    </xf>
    <xf numFmtId="0" fontId="90" fillId="0" borderId="0" xfId="0" applyFont="1" applyAlignment="1">
      <alignment horizontal="centerContinuous" vertical="top" wrapText="1"/>
    </xf>
    <xf numFmtId="0" fontId="95" fillId="0" borderId="0" xfId="0" applyFont="1" applyBorder="1" applyAlignment="1">
      <alignment horizontal="centerContinuous" vertical="top"/>
    </xf>
    <xf numFmtId="0" fontId="90" fillId="0" borderId="0" xfId="0" applyFont="1" applyAlignment="1"/>
    <xf numFmtId="164" fontId="127" fillId="0" borderId="14" xfId="0" applyNumberFormat="1" applyFont="1" applyBorder="1" applyAlignment="1">
      <alignment vertical="top"/>
    </xf>
    <xf numFmtId="0" fontId="90" fillId="0" borderId="14" xfId="0" applyFont="1" applyBorder="1" applyAlignment="1">
      <alignment vertical="top"/>
    </xf>
    <xf numFmtId="0" fontId="94" fillId="0" borderId="19" xfId="0" applyFont="1" applyBorder="1"/>
    <xf numFmtId="0" fontId="90" fillId="0" borderId="14" xfId="0" applyFont="1" applyBorder="1" applyAlignment="1">
      <alignment vertical="top" wrapText="1"/>
    </xf>
    <xf numFmtId="0" fontId="96" fillId="0" borderId="19" xfId="0" applyFont="1" applyBorder="1" applyAlignment="1">
      <alignment wrapText="1"/>
    </xf>
    <xf numFmtId="0" fontId="90" fillId="0" borderId="7" xfId="0" applyFont="1" applyBorder="1" applyAlignment="1">
      <alignment horizontal="left" vertical="top"/>
    </xf>
    <xf numFmtId="164" fontId="127" fillId="0" borderId="0" xfId="0" applyNumberFormat="1" applyFont="1" applyBorder="1" applyAlignment="1">
      <alignment horizontal="right" vertical="top"/>
    </xf>
    <xf numFmtId="0" fontId="128" fillId="0" borderId="23" xfId="0" applyFont="1" applyBorder="1" applyAlignment="1">
      <alignment horizontal="right" vertical="top"/>
    </xf>
    <xf numFmtId="0" fontId="90" fillId="0" borderId="14" xfId="0" applyFont="1" applyBorder="1" applyAlignment="1">
      <alignment horizontal="left" vertical="top"/>
    </xf>
    <xf numFmtId="0" fontId="90" fillId="0" borderId="14" xfId="0" applyFont="1" applyBorder="1" applyAlignment="1">
      <alignment horizontal="left" vertical="top" indent="1"/>
    </xf>
    <xf numFmtId="0" fontId="114" fillId="0" borderId="2" xfId="0" applyFont="1" applyBorder="1" applyAlignment="1">
      <alignment vertical="top" wrapText="1"/>
    </xf>
    <xf numFmtId="0" fontId="90" fillId="0" borderId="19" xfId="0" applyFont="1" applyBorder="1" applyAlignment="1">
      <alignment horizontal="left" vertical="top" indent="1"/>
    </xf>
    <xf numFmtId="0" fontId="114" fillId="0" borderId="41" xfId="19" applyNumberFormat="1" applyFont="1" applyBorder="1" applyAlignment="1" applyProtection="1">
      <alignment vertical="center"/>
    </xf>
    <xf numFmtId="0" fontId="128" fillId="0" borderId="7" xfId="0" applyFont="1" applyBorder="1" applyAlignment="1">
      <alignment horizontal="right" vertical="top"/>
    </xf>
    <xf numFmtId="0" fontId="114" fillId="0" borderId="4" xfId="19" applyNumberFormat="1" applyFont="1" applyBorder="1" applyAlignment="1" applyProtection="1">
      <alignment vertical="center" wrapText="1"/>
    </xf>
    <xf numFmtId="0" fontId="127" fillId="0" borderId="14" xfId="0" applyNumberFormat="1" applyFont="1" applyBorder="1" applyAlignment="1">
      <alignment horizontal="left" vertical="center"/>
    </xf>
    <xf numFmtId="0" fontId="94" fillId="0" borderId="19" xfId="0" applyFont="1" applyBorder="1" applyAlignment="1">
      <alignment vertical="top" wrapText="1"/>
    </xf>
    <xf numFmtId="0" fontId="128" fillId="0" borderId="14" xfId="0" applyNumberFormat="1" applyFont="1" applyBorder="1" applyAlignment="1">
      <alignment horizontal="left" vertical="center"/>
    </xf>
    <xf numFmtId="0" fontId="114" fillId="0" borderId="2" xfId="0" applyNumberFormat="1" applyFont="1" applyBorder="1" applyAlignment="1" applyProtection="1">
      <alignment horizontal="left" vertical="center" wrapText="1"/>
    </xf>
    <xf numFmtId="0" fontId="90" fillId="0" borderId="19" xfId="0" applyFont="1" applyBorder="1" applyAlignment="1">
      <alignment horizontal="left" vertical="top" wrapText="1"/>
    </xf>
    <xf numFmtId="0" fontId="129" fillId="0" borderId="7" xfId="0" applyFont="1" applyBorder="1" applyAlignment="1"/>
    <xf numFmtId="0" fontId="127" fillId="0" borderId="14" xfId="0" applyFont="1" applyBorder="1" applyAlignment="1">
      <alignment vertical="top"/>
    </xf>
    <xf numFmtId="0" fontId="114" fillId="0" borderId="19" xfId="0" applyFont="1" applyBorder="1" applyAlignment="1">
      <alignment vertical="top" wrapText="1"/>
    </xf>
    <xf numFmtId="0" fontId="129" fillId="0" borderId="0" xfId="0" applyFont="1" applyAlignment="1"/>
    <xf numFmtId="0" fontId="129" fillId="0" borderId="23" xfId="0" applyFont="1" applyBorder="1" applyAlignment="1"/>
    <xf numFmtId="0" fontId="90" fillId="0" borderId="14" xfId="0" applyFont="1" applyBorder="1" applyAlignment="1">
      <alignment horizontal="left" vertical="top" wrapText="1" indent="1"/>
    </xf>
    <xf numFmtId="0" fontId="90" fillId="0" borderId="23" xfId="0" applyFont="1" applyBorder="1" applyAlignment="1">
      <alignment horizontal="left" vertical="top"/>
    </xf>
    <xf numFmtId="164" fontId="127" fillId="0" borderId="14" xfId="0" applyNumberFormat="1" applyFont="1" applyBorder="1" applyAlignment="1">
      <alignment horizontal="right" vertical="top"/>
    </xf>
    <xf numFmtId="164" fontId="128" fillId="0" borderId="14" xfId="0" applyNumberFormat="1" applyFont="1" applyBorder="1" applyAlignment="1">
      <alignment horizontal="right" vertical="center"/>
    </xf>
    <xf numFmtId="0" fontId="90" fillId="0" borderId="14" xfId="0" applyNumberFormat="1" applyFont="1" applyBorder="1" applyAlignment="1">
      <alignment horizontal="left" vertical="center" wrapText="1" indent="1"/>
    </xf>
    <xf numFmtId="0" fontId="114" fillId="0" borderId="2" xfId="0" applyFont="1" applyBorder="1" applyAlignment="1"/>
    <xf numFmtId="0" fontId="114" fillId="0" borderId="2" xfId="0" applyFont="1" applyBorder="1" applyAlignment="1">
      <alignment horizontal="left" vertical="top"/>
    </xf>
    <xf numFmtId="0" fontId="94" fillId="0" borderId="2" xfId="0" applyFont="1" applyBorder="1" applyAlignment="1">
      <alignment horizontal="left" vertical="top" wrapText="1"/>
    </xf>
    <xf numFmtId="0" fontId="114" fillId="0" borderId="2" xfId="0" applyFont="1" applyBorder="1" applyAlignment="1">
      <alignment horizontal="left" vertical="top" wrapText="1"/>
    </xf>
    <xf numFmtId="164" fontId="128" fillId="0" borderId="23" xfId="0" applyNumberFormat="1" applyFont="1" applyBorder="1" applyAlignment="1">
      <alignment horizontal="right" vertical="top"/>
    </xf>
    <xf numFmtId="0" fontId="94" fillId="0" borderId="19" xfId="0" applyFont="1" applyBorder="1" applyAlignment="1">
      <alignment horizontal="left" vertical="top" wrapText="1"/>
    </xf>
    <xf numFmtId="164" fontId="130" fillId="0" borderId="14" xfId="0" applyNumberFormat="1" applyFont="1" applyBorder="1" applyAlignment="1">
      <alignment horizontal="left" vertical="center"/>
    </xf>
    <xf numFmtId="0" fontId="127" fillId="0" borderId="14" xfId="0" applyFont="1" applyBorder="1" applyAlignment="1">
      <alignment horizontal="left" vertical="top"/>
    </xf>
    <xf numFmtId="0" fontId="114" fillId="0" borderId="2" xfId="0" applyFont="1" applyBorder="1" applyAlignment="1">
      <alignment horizontal="left"/>
    </xf>
    <xf numFmtId="0" fontId="114" fillId="0" borderId="2" xfId="0" applyFont="1" applyBorder="1"/>
    <xf numFmtId="0" fontId="90" fillId="0" borderId="0" xfId="0" applyFont="1" applyAlignment="1">
      <alignment horizontal="left" vertical="top"/>
    </xf>
    <xf numFmtId="0" fontId="90" fillId="0" borderId="14" xfId="0" applyFont="1" applyBorder="1" applyAlignment="1"/>
    <xf numFmtId="164" fontId="127" fillId="0" borderId="14" xfId="0" applyNumberFormat="1" applyFont="1" applyBorder="1" applyAlignment="1">
      <alignment vertical="center"/>
    </xf>
    <xf numFmtId="0" fontId="90" fillId="0" borderId="14" xfId="0" applyFont="1" applyBorder="1" applyAlignment="1">
      <alignment vertical="center"/>
    </xf>
    <xf numFmtId="0" fontId="94" fillId="0" borderId="141" xfId="0" applyFont="1" applyBorder="1"/>
    <xf numFmtId="0" fontId="90" fillId="0" borderId="23" xfId="0" applyFont="1" applyBorder="1"/>
    <xf numFmtId="0" fontId="90" fillId="0" borderId="9" xfId="0" applyFont="1" applyBorder="1" applyAlignment="1">
      <alignment horizontal="left" vertical="top"/>
    </xf>
    <xf numFmtId="164" fontId="127" fillId="0" borderId="6" xfId="0" applyNumberFormat="1" applyFont="1" applyBorder="1" applyAlignment="1">
      <alignment horizontal="right" vertical="top"/>
    </xf>
    <xf numFmtId="0" fontId="90" fillId="0" borderId="6" xfId="0" applyNumberFormat="1" applyFont="1" applyBorder="1" applyAlignment="1">
      <alignment horizontal="left" vertical="center" wrapText="1" indent="1"/>
    </xf>
    <xf numFmtId="0" fontId="114" fillId="0" borderId="18" xfId="0" applyFont="1" applyBorder="1" applyAlignment="1">
      <alignment horizontal="left" vertical="center" wrapText="1"/>
    </xf>
    <xf numFmtId="0" fontId="90" fillId="0" borderId="6" xfId="0" applyFont="1" applyBorder="1" applyAlignment="1">
      <alignment horizontal="left" vertical="top"/>
    </xf>
    <xf numFmtId="0" fontId="90" fillId="0" borderId="0" xfId="0" applyFont="1" applyBorder="1" applyAlignment="1">
      <alignment vertical="top"/>
    </xf>
    <xf numFmtId="0" fontId="128" fillId="0" borderId="6" xfId="0" applyNumberFormat="1" applyFont="1" applyBorder="1" applyAlignment="1">
      <alignment horizontal="left" vertical="center"/>
    </xf>
    <xf numFmtId="0" fontId="127" fillId="0" borderId="6" xfId="0" applyFont="1" applyBorder="1" applyAlignment="1">
      <alignment vertical="top"/>
    </xf>
    <xf numFmtId="0" fontId="127" fillId="0" borderId="6" xfId="0" applyFont="1" applyBorder="1" applyAlignment="1">
      <alignment horizontal="left" vertical="top"/>
    </xf>
    <xf numFmtId="0" fontId="90" fillId="0" borderId="9" xfId="0" applyFont="1" applyBorder="1" applyAlignment="1"/>
    <xf numFmtId="164" fontId="127" fillId="0" borderId="6" xfId="0" applyNumberFormat="1" applyFont="1" applyBorder="1" applyAlignment="1"/>
    <xf numFmtId="0" fontId="90" fillId="0" borderId="6" xfId="0" applyFont="1" applyBorder="1" applyAlignment="1"/>
    <xf numFmtId="0" fontId="94" fillId="0" borderId="10" xfId="0" applyFont="1" applyBorder="1" applyAlignment="1"/>
    <xf numFmtId="0" fontId="113" fillId="0" borderId="8" xfId="0" applyFont="1" applyBorder="1" applyAlignment="1">
      <alignment horizontal="left"/>
    </xf>
    <xf numFmtId="0" fontId="100" fillId="0" borderId="3" xfId="0" applyFont="1" applyBorder="1" applyAlignment="1">
      <alignment horizontal="left" vertical="center" indent="1"/>
    </xf>
    <xf numFmtId="0" fontId="93" fillId="0" borderId="3" xfId="0" applyFont="1" applyBorder="1" applyAlignment="1">
      <alignment horizontal="left" vertical="center"/>
    </xf>
    <xf numFmtId="0" fontId="124" fillId="0" borderId="4" xfId="0" applyFont="1" applyBorder="1" applyAlignment="1">
      <alignment horizontal="left" vertical="center"/>
    </xf>
    <xf numFmtId="49" fontId="113" fillId="0" borderId="8" xfId="0" applyNumberFormat="1" applyFont="1" applyFill="1" applyBorder="1" applyAlignment="1">
      <alignment horizontal="left" vertical="center"/>
    </xf>
    <xf numFmtId="49" fontId="90" fillId="0" borderId="3" xfId="0" applyNumberFormat="1" applyFont="1" applyFill="1" applyBorder="1" applyAlignment="1">
      <alignment horizontal="left" vertical="center"/>
    </xf>
    <xf numFmtId="0" fontId="90" fillId="0" borderId="3" xfId="0" applyFont="1" applyFill="1" applyBorder="1" applyAlignment="1" applyProtection="1">
      <alignment horizontal="left" vertical="center"/>
    </xf>
    <xf numFmtId="0" fontId="94" fillId="0" borderId="42" xfId="0" applyFont="1" applyFill="1" applyBorder="1" applyAlignment="1" applyProtection="1">
      <alignment horizontal="left" vertical="center"/>
      <protection locked="0"/>
    </xf>
    <xf numFmtId="49" fontId="113" fillId="0" borderId="7"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0" fontId="94" fillId="0" borderId="43" xfId="0" applyFont="1" applyFill="1" applyBorder="1" applyAlignment="1">
      <alignment horizontal="left" vertical="center"/>
    </xf>
    <xf numFmtId="0" fontId="90" fillId="0" borderId="44" xfId="0" applyFont="1" applyFill="1" applyBorder="1" applyAlignment="1">
      <alignment horizontal="left" vertical="center"/>
    </xf>
    <xf numFmtId="0" fontId="90" fillId="0" borderId="45" xfId="0" applyFont="1" applyFill="1" applyBorder="1" applyAlignment="1">
      <alignment horizontal="left" vertical="center"/>
    </xf>
    <xf numFmtId="0" fontId="90" fillId="0" borderId="45" xfId="0" applyFont="1" applyFill="1" applyBorder="1" applyAlignment="1">
      <alignment horizontal="left" vertical="center" indent="2"/>
    </xf>
    <xf numFmtId="0" fontId="95" fillId="0" borderId="46" xfId="0" applyFont="1" applyFill="1" applyBorder="1" applyAlignment="1">
      <alignment horizontal="left" vertical="center"/>
    </xf>
    <xf numFmtId="0" fontId="89" fillId="0" borderId="9" xfId="0" applyFont="1" applyFill="1" applyBorder="1" applyAlignment="1"/>
    <xf numFmtId="0" fontId="89" fillId="0" borderId="6" xfId="0" applyFont="1" applyFill="1" applyBorder="1" applyAlignment="1">
      <alignment horizontal="left" vertical="top"/>
    </xf>
    <xf numFmtId="0" fontId="89" fillId="0" borderId="10" xfId="0" applyFont="1" applyFill="1" applyBorder="1" applyAlignment="1">
      <alignment horizontal="left"/>
    </xf>
    <xf numFmtId="0" fontId="89" fillId="0" borderId="0" xfId="0" applyFont="1" applyAlignment="1"/>
    <xf numFmtId="0" fontId="90" fillId="0" borderId="0" xfId="0" applyFont="1" applyAlignment="1">
      <alignment horizontal="left"/>
    </xf>
    <xf numFmtId="0" fontId="89" fillId="0" borderId="10" xfId="0" applyFont="1" applyFill="1" applyBorder="1" applyAlignment="1">
      <alignment horizontal="center" vertical="center"/>
    </xf>
    <xf numFmtId="0" fontId="130" fillId="0" borderId="14" xfId="0" applyFont="1" applyBorder="1" applyAlignment="1">
      <alignment horizontal="left" vertical="top" wrapText="1"/>
    </xf>
    <xf numFmtId="0" fontId="96" fillId="0" borderId="0" xfId="4" applyNumberFormat="1" applyFont="1" applyAlignment="1" applyProtection="1">
      <alignment horizontal="centerContinuous"/>
    </xf>
    <xf numFmtId="0" fontId="96" fillId="0" borderId="0" xfId="4" applyNumberFormat="1" applyFont="1" applyBorder="1" applyAlignment="1" applyProtection="1">
      <alignment horizontal="center"/>
    </xf>
    <xf numFmtId="0" fontId="105" fillId="0" borderId="0" xfId="4" applyNumberFormat="1" applyFont="1" applyAlignment="1" applyProtection="1">
      <alignment horizontal="centerContinuous"/>
    </xf>
    <xf numFmtId="0" fontId="95" fillId="0" borderId="0" xfId="4" applyNumberFormat="1" applyFont="1" applyAlignment="1" applyProtection="1">
      <alignment horizontal="right" vertical="center" textRotation="180"/>
    </xf>
    <xf numFmtId="0" fontId="95" fillId="0" borderId="0" xfId="4" applyNumberFormat="1" applyFont="1" applyAlignment="1" applyProtection="1">
      <alignment vertical="center" textRotation="180"/>
    </xf>
    <xf numFmtId="0" fontId="96" fillId="0" borderId="0" xfId="4" applyNumberFormat="1" applyFont="1" applyProtection="1"/>
    <xf numFmtId="0" fontId="96" fillId="0" borderId="28" xfId="4" applyNumberFormat="1" applyFont="1" applyBorder="1" applyProtection="1"/>
    <xf numFmtId="0" fontId="96" fillId="0" borderId="28" xfId="4" applyNumberFormat="1" applyFont="1" applyBorder="1" applyAlignment="1" applyProtection="1">
      <alignment horizontal="center"/>
    </xf>
    <xf numFmtId="0" fontId="94" fillId="0" borderId="0" xfId="4" applyNumberFormat="1" applyFont="1" applyProtection="1"/>
    <xf numFmtId="0" fontId="90" fillId="0" borderId="47" xfId="4" quotePrefix="1" applyNumberFormat="1" applyFont="1" applyBorder="1" applyAlignment="1" applyProtection="1">
      <alignment horizontal="left"/>
    </xf>
    <xf numFmtId="0" fontId="94" fillId="0" borderId="16" xfId="4" applyNumberFormat="1" applyFont="1" applyBorder="1" applyAlignment="1" applyProtection="1">
      <alignment horizontal="center"/>
    </xf>
    <xf numFmtId="0" fontId="94" fillId="0" borderId="16" xfId="4" applyNumberFormat="1" applyFont="1" applyBorder="1" applyProtection="1"/>
    <xf numFmtId="0" fontId="90" fillId="0" borderId="47" xfId="4" applyNumberFormat="1" applyFont="1" applyBorder="1" applyAlignment="1" applyProtection="1"/>
    <xf numFmtId="0" fontId="94" fillId="0" borderId="48" xfId="4" applyNumberFormat="1" applyFont="1" applyBorder="1" applyAlignment="1" applyProtection="1">
      <alignment horizontal="centerContinuous"/>
    </xf>
    <xf numFmtId="0" fontId="90" fillId="0" borderId="47" xfId="4" applyNumberFormat="1" applyFont="1" applyBorder="1" applyAlignment="1" applyProtection="1">
      <alignment horizontal="left"/>
    </xf>
    <xf numFmtId="0" fontId="94" fillId="0" borderId="48" xfId="4" applyNumberFormat="1" applyFont="1" applyBorder="1" applyProtection="1"/>
    <xf numFmtId="0" fontId="94" fillId="0" borderId="16" xfId="4" quotePrefix="1" applyNumberFormat="1" applyFont="1" applyBorder="1" applyAlignment="1" applyProtection="1">
      <alignment horizontal="left"/>
    </xf>
    <xf numFmtId="0" fontId="90" fillId="0" borderId="38" xfId="4" quotePrefix="1" applyNumberFormat="1" applyFont="1" applyBorder="1" applyAlignment="1" applyProtection="1">
      <alignment horizontal="left"/>
    </xf>
    <xf numFmtId="0" fontId="94" fillId="0" borderId="0" xfId="4" applyNumberFormat="1" applyFont="1" applyBorder="1" applyProtection="1"/>
    <xf numFmtId="0" fontId="94" fillId="0" borderId="37" xfId="4" applyNumberFormat="1" applyFont="1" applyBorder="1" applyProtection="1"/>
    <xf numFmtId="0" fontId="90" fillId="0" borderId="38" xfId="4" applyNumberFormat="1" applyFont="1" applyBorder="1" applyProtection="1"/>
    <xf numFmtId="0" fontId="105" fillId="0" borderId="0" xfId="4" applyNumberFormat="1" applyFont="1" applyBorder="1" applyProtection="1"/>
    <xf numFmtId="0" fontId="90" fillId="0" borderId="47" xfId="4" applyNumberFormat="1" applyFont="1" applyBorder="1" applyProtection="1"/>
    <xf numFmtId="0" fontId="96" fillId="0" borderId="0" xfId="4" applyNumberFormat="1" applyFont="1" applyBorder="1" applyProtection="1"/>
    <xf numFmtId="0" fontId="89" fillId="0" borderId="0" xfId="4" applyNumberFormat="1" applyFont="1" applyAlignment="1" applyProtection="1">
      <alignment horizontal="left"/>
    </xf>
    <xf numFmtId="0" fontId="105" fillId="0" borderId="0" xfId="4" applyNumberFormat="1" applyFont="1" applyAlignment="1" applyProtection="1">
      <alignment horizontal="left"/>
    </xf>
    <xf numFmtId="0" fontId="96" fillId="0" borderId="1" xfId="4" applyNumberFormat="1" applyFont="1" applyBorder="1" applyAlignment="1" applyProtection="1">
      <alignment horizontal="center" vertical="center"/>
      <protection locked="0"/>
    </xf>
    <xf numFmtId="0" fontId="90" fillId="0" borderId="0" xfId="4" applyNumberFormat="1" applyFont="1" applyBorder="1" applyAlignment="1" applyProtection="1">
      <alignment vertical="center"/>
    </xf>
    <xf numFmtId="0" fontId="94" fillId="0" borderId="0" xfId="4" applyNumberFormat="1" applyFont="1" applyBorder="1" applyAlignment="1" applyProtection="1">
      <alignment horizontal="center"/>
    </xf>
    <xf numFmtId="0" fontId="101" fillId="0" borderId="0" xfId="4" applyNumberFormat="1" applyFont="1" applyAlignment="1" applyProtection="1">
      <alignment vertical="center"/>
    </xf>
    <xf numFmtId="0" fontId="95" fillId="0" borderId="0" xfId="4" applyNumberFormat="1" applyFont="1" applyBorder="1" applyProtection="1"/>
    <xf numFmtId="0" fontId="90" fillId="0" borderId="0" xfId="4" applyNumberFormat="1" applyFont="1" applyAlignment="1" applyProtection="1">
      <alignment vertical="center"/>
    </xf>
    <xf numFmtId="0" fontId="95" fillId="0" borderId="0" xfId="4" applyNumberFormat="1" applyFont="1" applyProtection="1"/>
    <xf numFmtId="0" fontId="105" fillId="0" borderId="0" xfId="4" applyNumberFormat="1" applyFont="1" applyProtection="1"/>
    <xf numFmtId="0" fontId="90" fillId="0" borderId="0" xfId="4" applyNumberFormat="1" applyFont="1" applyBorder="1" applyProtection="1"/>
    <xf numFmtId="0" fontId="90" fillId="0" borderId="0" xfId="4" applyNumberFormat="1" applyFont="1" applyProtection="1"/>
    <xf numFmtId="0" fontId="94" fillId="0" borderId="0" xfId="4" quotePrefix="1" applyNumberFormat="1" applyFont="1" applyAlignment="1" applyProtection="1">
      <alignment horizontal="left"/>
    </xf>
    <xf numFmtId="0" fontId="90" fillId="0" borderId="0" xfId="4" applyFont="1"/>
    <xf numFmtId="0" fontId="89" fillId="0" borderId="0" xfId="4" applyFont="1" applyAlignment="1">
      <alignment horizontal="center" vertical="center"/>
    </xf>
    <xf numFmtId="0" fontId="96" fillId="0" borderId="0" xfId="4" applyFont="1" applyAlignment="1">
      <alignment horizontal="center" vertical="center"/>
    </xf>
    <xf numFmtId="164" fontId="94" fillId="0" borderId="0" xfId="4" applyNumberFormat="1" applyFont="1"/>
    <xf numFmtId="0" fontId="95" fillId="0" borderId="0" xfId="4" applyFont="1"/>
    <xf numFmtId="164" fontId="95" fillId="0" borderId="0" xfId="4" applyNumberFormat="1" applyFont="1" applyAlignment="1">
      <alignment horizontal="right"/>
    </xf>
    <xf numFmtId="49" fontId="94" fillId="0" borderId="0" xfId="4" applyNumberFormat="1" applyFont="1"/>
    <xf numFmtId="0" fontId="94" fillId="0" borderId="0" xfId="4" applyFont="1"/>
    <xf numFmtId="0" fontId="124" fillId="0" borderId="0" xfId="4" applyFont="1"/>
    <xf numFmtId="164" fontId="124" fillId="0" borderId="0" xfId="4" applyNumberFormat="1" applyFont="1" applyAlignment="1">
      <alignment horizontal="right"/>
    </xf>
    <xf numFmtId="0" fontId="95" fillId="0" borderId="11" xfId="4" applyFont="1" applyBorder="1" applyAlignment="1" applyProtection="1">
      <alignment horizontal="center"/>
      <protection locked="0"/>
    </xf>
    <xf numFmtId="164" fontId="94" fillId="0" borderId="0" xfId="4" applyNumberFormat="1" applyFont="1" applyBorder="1" applyAlignment="1">
      <alignment horizontal="right"/>
    </xf>
    <xf numFmtId="49" fontId="124" fillId="0" borderId="0" xfId="4" applyNumberFormat="1" applyFont="1" applyAlignment="1"/>
    <xf numFmtId="0" fontId="94" fillId="0" borderId="0" xfId="4" applyFont="1" applyAlignment="1"/>
    <xf numFmtId="0" fontId="95" fillId="0" borderId="33" xfId="4" applyFont="1" applyBorder="1" applyAlignment="1" applyProtection="1">
      <alignment horizontal="center"/>
      <protection locked="0"/>
    </xf>
    <xf numFmtId="49" fontId="94" fillId="0" borderId="0" xfId="4" applyNumberFormat="1" applyFont="1" applyAlignment="1"/>
    <xf numFmtId="0" fontId="94" fillId="0" borderId="0" xfId="4" applyFont="1" applyAlignment="1">
      <alignment horizontal="center"/>
    </xf>
    <xf numFmtId="164" fontId="94" fillId="0" borderId="0" xfId="4" applyNumberFormat="1" applyFont="1" applyAlignment="1">
      <alignment horizontal="right"/>
    </xf>
    <xf numFmtId="49" fontId="95" fillId="0" borderId="0" xfId="4" applyNumberFormat="1" applyFont="1" applyAlignment="1"/>
    <xf numFmtId="49" fontId="94" fillId="0" borderId="0" xfId="4" applyNumberFormat="1" applyFont="1" applyFill="1" applyAlignment="1"/>
    <xf numFmtId="49" fontId="94" fillId="0" borderId="0" xfId="4" applyNumberFormat="1" applyFont="1" applyFill="1" applyBorder="1" applyAlignment="1"/>
    <xf numFmtId="49" fontId="131" fillId="0" borderId="0" xfId="3" applyNumberFormat="1" applyFont="1"/>
    <xf numFmtId="49" fontId="94" fillId="0" borderId="0" xfId="4" applyNumberFormat="1" applyFont="1" applyFill="1" applyBorder="1"/>
    <xf numFmtId="0" fontId="94" fillId="0" borderId="0" xfId="4" applyFont="1" applyBorder="1" applyAlignment="1">
      <alignment horizontal="center"/>
    </xf>
    <xf numFmtId="0" fontId="132" fillId="0" borderId="0" xfId="4" applyFont="1" applyAlignment="1">
      <alignment horizontal="center"/>
    </xf>
    <xf numFmtId="164" fontId="132" fillId="0" borderId="0" xfId="4" applyNumberFormat="1" applyFont="1" applyAlignment="1">
      <alignment horizontal="right"/>
    </xf>
    <xf numFmtId="0" fontId="124" fillId="0" borderId="11" xfId="4" applyFont="1" applyBorder="1" applyAlignment="1" applyProtection="1">
      <alignment horizontal="center"/>
      <protection locked="0"/>
    </xf>
    <xf numFmtId="0" fontId="132" fillId="0" borderId="0" xfId="4" applyFont="1" applyBorder="1" applyAlignment="1">
      <alignment horizontal="center"/>
    </xf>
    <xf numFmtId="0" fontId="94" fillId="0" borderId="0" xfId="8" applyFont="1" applyFill="1" applyBorder="1" applyAlignment="1">
      <alignment horizontal="left"/>
    </xf>
    <xf numFmtId="164" fontId="95" fillId="0" borderId="11" xfId="4" applyNumberFormat="1" applyFont="1" applyBorder="1" applyAlignment="1" applyProtection="1">
      <alignment horizontal="center" vertical="center"/>
      <protection locked="0"/>
    </xf>
    <xf numFmtId="49" fontId="91" fillId="0" borderId="0" xfId="2" applyNumberFormat="1" applyFont="1" applyAlignment="1" applyProtection="1">
      <alignment horizontal="left" indent="2"/>
    </xf>
    <xf numFmtId="49" fontId="94" fillId="0" borderId="0" xfId="4" applyNumberFormat="1" applyFont="1" applyFill="1"/>
    <xf numFmtId="49" fontId="95" fillId="0" borderId="0" xfId="4" applyNumberFormat="1" applyFont="1" applyFill="1" applyBorder="1"/>
    <xf numFmtId="49" fontId="95" fillId="0" borderId="0" xfId="4" applyNumberFormat="1" applyFont="1"/>
    <xf numFmtId="49" fontId="124" fillId="0" borderId="0" xfId="4" applyNumberFormat="1" applyFont="1"/>
    <xf numFmtId="0" fontId="94" fillId="0" borderId="0" xfId="4" applyFont="1" applyBorder="1" applyAlignment="1" applyProtection="1">
      <alignment horizontal="center"/>
    </xf>
    <xf numFmtId="49" fontId="124" fillId="0" borderId="0" xfId="4" applyNumberFormat="1" applyFont="1" applyFill="1" applyBorder="1"/>
    <xf numFmtId="49" fontId="133" fillId="0" borderId="0" xfId="4" applyNumberFormat="1" applyFont="1" applyFill="1" applyBorder="1"/>
    <xf numFmtId="49" fontId="124" fillId="0" borderId="0" xfId="4" applyNumberFormat="1" applyFont="1" applyAlignment="1">
      <alignment vertical="top"/>
    </xf>
    <xf numFmtId="0" fontId="94" fillId="0" borderId="16" xfId="4" applyFont="1" applyBorder="1" applyAlignment="1" applyProtection="1">
      <alignment horizontal="center"/>
    </xf>
    <xf numFmtId="49" fontId="94" fillId="0" borderId="0" xfId="4" applyNumberFormat="1" applyFont="1" applyAlignment="1">
      <alignment vertical="top"/>
    </xf>
    <xf numFmtId="0" fontId="95" fillId="0" borderId="28" xfId="4" applyFont="1" applyBorder="1" applyAlignment="1" applyProtection="1">
      <alignment horizontal="center"/>
      <protection locked="0"/>
    </xf>
    <xf numFmtId="0" fontId="94" fillId="0" borderId="0" xfId="4" applyFont="1" applyBorder="1" applyProtection="1"/>
    <xf numFmtId="0" fontId="96" fillId="0" borderId="0" xfId="4" applyFont="1" applyAlignment="1" applyProtection="1">
      <alignment horizontal="center"/>
    </xf>
    <xf numFmtId="42" fontId="96" fillId="0" borderId="0" xfId="4" applyNumberFormat="1" applyFont="1" applyProtection="1"/>
    <xf numFmtId="0" fontId="105" fillId="0" borderId="0" xfId="4" applyFont="1" applyProtection="1"/>
    <xf numFmtId="0" fontId="96" fillId="0" borderId="0" xfId="20" applyFont="1" applyBorder="1" applyProtection="1"/>
    <xf numFmtId="0" fontId="96" fillId="0" borderId="0" xfId="20" applyFont="1" applyBorder="1" applyAlignment="1" applyProtection="1">
      <alignment horizontal="center"/>
    </xf>
    <xf numFmtId="42" fontId="96" fillId="6" borderId="28" xfId="4" applyNumberFormat="1" applyFont="1" applyFill="1" applyBorder="1" applyProtection="1"/>
    <xf numFmtId="41" fontId="96" fillId="6" borderId="28" xfId="4" applyNumberFormat="1" applyFont="1" applyFill="1" applyBorder="1" applyProtection="1"/>
    <xf numFmtId="0" fontId="105" fillId="0" borderId="0" xfId="4" applyFont="1" applyAlignment="1" applyProtection="1">
      <alignment horizontal="left" indent="2"/>
    </xf>
    <xf numFmtId="42" fontId="96" fillId="6" borderId="12" xfId="4" applyNumberFormat="1" applyFont="1" applyFill="1" applyBorder="1" applyProtection="1"/>
    <xf numFmtId="0" fontId="106" fillId="0" borderId="0" xfId="4" applyFont="1" applyProtection="1"/>
    <xf numFmtId="42" fontId="96" fillId="0" borderId="49" xfId="4" applyNumberFormat="1" applyFont="1" applyBorder="1" applyProtection="1">
      <protection locked="0"/>
    </xf>
    <xf numFmtId="42" fontId="96" fillId="0" borderId="0" xfId="4" applyNumberFormat="1" applyFont="1" applyFill="1" applyProtection="1"/>
    <xf numFmtId="42" fontId="96" fillId="0" borderId="28" xfId="4" applyNumberFormat="1" applyFont="1" applyBorder="1" applyProtection="1">
      <protection locked="0"/>
    </xf>
    <xf numFmtId="42" fontId="96" fillId="0" borderId="50" xfId="4" applyNumberFormat="1" applyFont="1" applyBorder="1" applyProtection="1">
      <protection locked="0"/>
    </xf>
    <xf numFmtId="0" fontId="96" fillId="0" borderId="0" xfId="4" applyFont="1" applyAlignment="1" applyProtection="1">
      <alignment horizontal="right"/>
    </xf>
    <xf numFmtId="42" fontId="96" fillId="6" borderId="6" xfId="4" applyNumberFormat="1" applyFont="1" applyFill="1" applyBorder="1" applyProtection="1"/>
    <xf numFmtId="0" fontId="105" fillId="0" borderId="0" xfId="4" applyFont="1" applyAlignment="1" applyProtection="1">
      <alignment horizontal="center" vertical="center"/>
    </xf>
    <xf numFmtId="165" fontId="105" fillId="0" borderId="0" xfId="4" applyNumberFormat="1" applyFont="1" applyAlignment="1" applyProtection="1">
      <alignment vertical="center"/>
    </xf>
    <xf numFmtId="0" fontId="89" fillId="0" borderId="0" xfId="4" applyFont="1" applyProtection="1"/>
    <xf numFmtId="0" fontId="89" fillId="0" borderId="0" xfId="4" applyFont="1" applyFill="1" applyProtection="1"/>
    <xf numFmtId="0" fontId="96" fillId="0" borderId="0" xfId="4" applyFont="1" applyFill="1" applyProtection="1"/>
    <xf numFmtId="169" fontId="90" fillId="0" borderId="0" xfId="4" applyNumberFormat="1" applyFont="1" applyFill="1" applyProtection="1"/>
    <xf numFmtId="0" fontId="90" fillId="0" borderId="0" xfId="4" applyFont="1" applyFill="1" applyProtection="1"/>
    <xf numFmtId="0" fontId="96" fillId="0" borderId="28" xfId="4" applyFont="1" applyFill="1" applyBorder="1" applyAlignment="1" applyProtection="1">
      <alignment horizontal="center" vertical="center"/>
      <protection locked="0"/>
    </xf>
    <xf numFmtId="0" fontId="90" fillId="0" borderId="0" xfId="4" applyFont="1" applyProtection="1"/>
    <xf numFmtId="0" fontId="90" fillId="0" borderId="32" xfId="4" applyFont="1" applyBorder="1" applyProtection="1"/>
    <xf numFmtId="0" fontId="90" fillId="0" borderId="33" xfId="4" applyFont="1" applyBorder="1" applyProtection="1">
      <protection locked="0"/>
    </xf>
    <xf numFmtId="0" fontId="90" fillId="0" borderId="32" xfId="4" applyFont="1" applyBorder="1" applyAlignment="1" applyProtection="1">
      <alignment horizontal="center"/>
      <protection locked="0"/>
    </xf>
    <xf numFmtId="0" fontId="105" fillId="0" borderId="0" xfId="4" applyFont="1" applyAlignment="1" applyProtection="1">
      <alignment horizontal="center"/>
    </xf>
    <xf numFmtId="0" fontId="89" fillId="0" borderId="0" xfId="4" applyFont="1" applyBorder="1" applyProtection="1"/>
    <xf numFmtId="5" fontId="90" fillId="0" borderId="15" xfId="4" applyNumberFormat="1" applyFont="1" applyBorder="1" applyAlignment="1" applyProtection="1">
      <protection locked="0"/>
    </xf>
    <xf numFmtId="5" fontId="90" fillId="0" borderId="51" xfId="4" applyNumberFormat="1" applyFont="1" applyBorder="1" applyAlignment="1" applyProtection="1">
      <protection locked="0"/>
    </xf>
    <xf numFmtId="5" fontId="105" fillId="0" borderId="0" xfId="4" applyNumberFormat="1" applyFont="1" applyAlignment="1" applyProtection="1"/>
    <xf numFmtId="0" fontId="105" fillId="0" borderId="0" xfId="4" applyFont="1" applyAlignment="1" applyProtection="1"/>
    <xf numFmtId="5" fontId="90" fillId="0" borderId="15" xfId="4" applyNumberFormat="1" applyFont="1" applyBorder="1" applyAlignment="1" applyProtection="1">
      <alignment horizontal="center"/>
      <protection locked="0"/>
    </xf>
    <xf numFmtId="5" fontId="90" fillId="0" borderId="51" xfId="4" applyNumberFormat="1" applyFont="1" applyBorder="1" applyAlignment="1" applyProtection="1">
      <alignment horizontal="center"/>
      <protection locked="0"/>
    </xf>
    <xf numFmtId="0" fontId="105" fillId="0" borderId="0" xfId="4" applyFont="1" applyBorder="1" applyProtection="1"/>
    <xf numFmtId="0" fontId="94" fillId="0" borderId="0" xfId="4" applyFont="1" applyAlignment="1" applyProtection="1">
      <alignment vertical="top"/>
    </xf>
    <xf numFmtId="0" fontId="94" fillId="0" borderId="15" xfId="4" applyFont="1" applyBorder="1" applyAlignment="1" applyProtection="1">
      <alignment vertical="top"/>
    </xf>
    <xf numFmtId="0" fontId="96" fillId="0" borderId="15" xfId="4" applyFont="1" applyBorder="1" applyProtection="1"/>
    <xf numFmtId="0" fontId="94" fillId="0" borderId="0" xfId="4" applyFont="1" applyBorder="1" applyAlignment="1" applyProtection="1">
      <alignment vertical="top"/>
    </xf>
    <xf numFmtId="0" fontId="134" fillId="0" borderId="0" xfId="4" applyFont="1" applyAlignment="1" applyProtection="1">
      <alignment vertical="top"/>
    </xf>
    <xf numFmtId="0" fontId="94" fillId="0" borderId="0" xfId="4" applyFont="1" applyProtection="1"/>
    <xf numFmtId="0" fontId="134" fillId="0" borderId="0" xfId="4" applyFont="1" applyAlignment="1" applyProtection="1">
      <alignment horizontal="right" vertical="top"/>
    </xf>
    <xf numFmtId="0" fontId="103" fillId="0" borderId="0" xfId="4" applyFont="1" applyAlignment="1" applyProtection="1">
      <alignment horizontal="center" vertical="center"/>
    </xf>
    <xf numFmtId="0" fontId="96" fillId="0" borderId="30" xfId="4" applyFont="1" applyBorder="1" applyProtection="1"/>
    <xf numFmtId="169" fontId="95" fillId="0" borderId="30" xfId="4" applyNumberFormat="1" applyFont="1" applyBorder="1" applyAlignment="1" applyProtection="1">
      <alignment horizontal="center"/>
    </xf>
    <xf numFmtId="1" fontId="95" fillId="0" borderId="48" xfId="4" applyNumberFormat="1" applyFont="1" applyBorder="1" applyAlignment="1" applyProtection="1">
      <alignment horizontal="center"/>
    </xf>
    <xf numFmtId="0" fontId="95" fillId="0" borderId="16" xfId="4" applyFont="1" applyBorder="1" applyAlignment="1" applyProtection="1">
      <alignment horizontal="centerContinuous"/>
    </xf>
    <xf numFmtId="0" fontId="95" fillId="0" borderId="48" xfId="4" applyFont="1" applyBorder="1" applyAlignment="1" applyProtection="1">
      <alignment horizontal="centerContinuous"/>
    </xf>
    <xf numFmtId="0" fontId="95" fillId="0" borderId="52" xfId="4" applyFont="1" applyBorder="1" applyAlignment="1" applyProtection="1">
      <alignment horizontal="centerContinuous"/>
    </xf>
    <xf numFmtId="0" fontId="95" fillId="0" borderId="30" xfId="4" applyFont="1" applyBorder="1" applyAlignment="1" applyProtection="1">
      <alignment horizontal="center"/>
    </xf>
    <xf numFmtId="0" fontId="95" fillId="8" borderId="30" xfId="4" applyFont="1" applyFill="1" applyBorder="1" applyAlignment="1" applyProtection="1">
      <alignment horizontal="center"/>
    </xf>
    <xf numFmtId="0" fontId="95" fillId="8" borderId="48" xfId="4" applyFont="1" applyFill="1" applyBorder="1" applyAlignment="1" applyProtection="1">
      <alignment horizontal="center"/>
    </xf>
    <xf numFmtId="0" fontId="95" fillId="0" borderId="38" xfId="4" applyFont="1" applyBorder="1" applyAlignment="1" applyProtection="1">
      <alignment horizontal="left"/>
    </xf>
    <xf numFmtId="169" fontId="95" fillId="0" borderId="35" xfId="4" applyNumberFormat="1" applyFont="1" applyBorder="1" applyAlignment="1" applyProtection="1">
      <alignment horizontal="center"/>
    </xf>
    <xf numFmtId="1" fontId="95" fillId="0" borderId="37" xfId="4" applyNumberFormat="1" applyFont="1" applyBorder="1" applyAlignment="1" applyProtection="1">
      <alignment horizontal="center"/>
    </xf>
    <xf numFmtId="0" fontId="95" fillId="0" borderId="0" xfId="4" applyFont="1" applyBorder="1" applyAlignment="1" applyProtection="1">
      <alignment horizontal="centerContinuous"/>
    </xf>
    <xf numFmtId="0" fontId="95" fillId="0" borderId="37" xfId="4" applyFont="1" applyBorder="1" applyAlignment="1" applyProtection="1">
      <alignment horizontal="centerContinuous"/>
    </xf>
    <xf numFmtId="0" fontId="95" fillId="12" borderId="53" xfId="4" applyFont="1" applyFill="1" applyBorder="1" applyAlignment="1" applyProtection="1">
      <alignment horizontal="center"/>
    </xf>
    <xf numFmtId="0" fontId="95" fillId="13" borderId="53" xfId="4" applyFont="1" applyFill="1" applyBorder="1" applyAlignment="1" applyProtection="1">
      <alignment horizontal="center"/>
    </xf>
    <xf numFmtId="0" fontId="95" fillId="0" borderId="53" xfId="4" applyFont="1" applyBorder="1" applyAlignment="1" applyProtection="1">
      <alignment horizontal="center"/>
    </xf>
    <xf numFmtId="0" fontId="95" fillId="8" borderId="53" xfId="4" applyFont="1" applyFill="1" applyBorder="1" applyAlignment="1" applyProtection="1">
      <alignment horizontal="center"/>
    </xf>
    <xf numFmtId="0" fontId="95" fillId="8" borderId="37" xfId="4" applyFont="1" applyFill="1" applyBorder="1" applyAlignment="1" applyProtection="1">
      <alignment horizontal="center"/>
    </xf>
    <xf numFmtId="0" fontId="95" fillId="0" borderId="35" xfId="4" applyFont="1" applyBorder="1" applyAlignment="1" applyProtection="1">
      <alignment horizontal="center"/>
    </xf>
    <xf numFmtId="0" fontId="95" fillId="0" borderId="37" xfId="4" applyFont="1" applyBorder="1" applyAlignment="1" applyProtection="1">
      <alignment horizontal="center"/>
    </xf>
    <xf numFmtId="0" fontId="95" fillId="0" borderId="38" xfId="4" applyFont="1" applyBorder="1" applyAlignment="1" applyProtection="1">
      <alignment horizontal="center"/>
    </xf>
    <xf numFmtId="0" fontId="95" fillId="0" borderId="54" xfId="4" applyFont="1" applyBorder="1" applyAlignment="1" applyProtection="1"/>
    <xf numFmtId="0" fontId="95" fillId="8" borderId="53" xfId="4" quotePrefix="1" applyFont="1" applyFill="1" applyBorder="1" applyAlignment="1" applyProtection="1">
      <alignment horizontal="center"/>
    </xf>
    <xf numFmtId="169" fontId="95" fillId="0" borderId="31" xfId="4" applyNumberFormat="1" applyFont="1" applyBorder="1" applyAlignment="1" applyProtection="1">
      <alignment horizontal="center"/>
    </xf>
    <xf numFmtId="1" fontId="95" fillId="0" borderId="34" xfId="4" applyNumberFormat="1" applyFont="1" applyBorder="1" applyAlignment="1" applyProtection="1">
      <alignment horizontal="center"/>
    </xf>
    <xf numFmtId="0" fontId="95" fillId="0" borderId="31" xfId="4" applyFont="1" applyBorder="1" applyAlignment="1" applyProtection="1">
      <alignment horizontal="center"/>
    </xf>
    <xf numFmtId="0" fontId="95" fillId="0" borderId="34" xfId="4" applyFont="1" applyBorder="1" applyAlignment="1" applyProtection="1">
      <alignment horizontal="center"/>
    </xf>
    <xf numFmtId="0" fontId="95" fillId="0" borderId="36" xfId="4" applyFont="1" applyBorder="1" applyAlignment="1" applyProtection="1">
      <alignment horizontal="center"/>
    </xf>
    <xf numFmtId="0" fontId="95" fillId="12" borderId="55" xfId="4" applyFont="1" applyFill="1" applyBorder="1" applyAlignment="1" applyProtection="1">
      <alignment horizontal="center"/>
    </xf>
    <xf numFmtId="0" fontId="95" fillId="8" borderId="55" xfId="4" applyFont="1" applyFill="1" applyBorder="1" applyAlignment="1" applyProtection="1">
      <alignment horizontal="center"/>
    </xf>
    <xf numFmtId="0" fontId="95" fillId="13" borderId="55" xfId="4" applyFont="1" applyFill="1" applyBorder="1" applyAlignment="1" applyProtection="1">
      <alignment horizontal="center"/>
    </xf>
    <xf numFmtId="0" fontId="95" fillId="0" borderId="55" xfId="4" applyFont="1" applyBorder="1" applyAlignment="1" applyProtection="1">
      <alignment horizontal="center"/>
    </xf>
    <xf numFmtId="0" fontId="95" fillId="8" borderId="34" xfId="4" applyFont="1" applyFill="1" applyBorder="1" applyAlignment="1" applyProtection="1">
      <alignment horizontal="center"/>
    </xf>
    <xf numFmtId="3" fontId="94" fillId="0" borderId="11" xfId="4" applyNumberFormat="1" applyFont="1" applyBorder="1" applyAlignment="1" applyProtection="1">
      <alignment horizontal="left" vertical="center" wrapText="1"/>
      <protection locked="0"/>
    </xf>
    <xf numFmtId="0" fontId="96" fillId="0" borderId="0" xfId="4" applyFont="1" applyAlignment="1" applyProtection="1">
      <alignment textRotation="180" wrapText="1"/>
    </xf>
    <xf numFmtId="3" fontId="94" fillId="0" borderId="0" xfId="4" applyNumberFormat="1" applyFont="1" applyBorder="1" applyAlignment="1" applyProtection="1">
      <alignment horizontal="left" vertical="center" wrapText="1"/>
      <protection locked="0"/>
    </xf>
    <xf numFmtId="169" fontId="94" fillId="0" borderId="0" xfId="4" applyNumberFormat="1" applyFont="1" applyBorder="1" applyAlignment="1" applyProtection="1">
      <alignment horizontal="center"/>
      <protection locked="0"/>
    </xf>
    <xf numFmtId="1" fontId="94" fillId="0" borderId="0" xfId="4" applyNumberFormat="1" applyFont="1" applyBorder="1" applyAlignment="1" applyProtection="1">
      <alignment horizontal="center"/>
      <protection locked="0"/>
    </xf>
    <xf numFmtId="3" fontId="94" fillId="0" borderId="0" xfId="4" applyNumberFormat="1" applyFont="1" applyBorder="1" applyAlignment="1" applyProtection="1">
      <alignment horizontal="center"/>
      <protection locked="0"/>
    </xf>
    <xf numFmtId="169" fontId="94" fillId="0" borderId="0" xfId="4" applyNumberFormat="1" applyFont="1" applyBorder="1" applyProtection="1"/>
    <xf numFmtId="1" fontId="94" fillId="0" borderId="0" xfId="4" applyNumberFormat="1" applyFont="1" applyBorder="1" applyProtection="1"/>
    <xf numFmtId="0" fontId="89" fillId="12" borderId="0" xfId="4" applyFont="1" applyFill="1" applyProtection="1"/>
    <xf numFmtId="169" fontId="96" fillId="12" borderId="0" xfId="4" applyNumberFormat="1" applyFont="1" applyFill="1" applyProtection="1"/>
    <xf numFmtId="1" fontId="96" fillId="12" borderId="0" xfId="4" applyNumberFormat="1" applyFont="1" applyFill="1" applyProtection="1"/>
    <xf numFmtId="0" fontId="96" fillId="12" borderId="0" xfId="4" applyFont="1" applyFill="1" applyProtection="1"/>
    <xf numFmtId="169" fontId="96" fillId="0" borderId="0" xfId="4" applyNumberFormat="1" applyFont="1" applyFill="1" applyProtection="1"/>
    <xf numFmtId="1" fontId="96" fillId="0" borderId="0" xfId="4" applyNumberFormat="1" applyFont="1" applyFill="1" applyProtection="1"/>
    <xf numFmtId="169" fontId="96" fillId="0" borderId="0" xfId="4" applyNumberFormat="1" applyFont="1" applyProtection="1"/>
    <xf numFmtId="1" fontId="96" fillId="0" borderId="0" xfId="4" applyNumberFormat="1" applyFont="1" applyProtection="1"/>
    <xf numFmtId="0" fontId="89" fillId="0" borderId="15" xfId="4" applyFont="1" applyBorder="1" applyProtection="1"/>
    <xf numFmtId="169" fontId="96" fillId="0" borderId="15" xfId="4" applyNumberFormat="1" applyFont="1" applyBorder="1" applyProtection="1"/>
    <xf numFmtId="1" fontId="96" fillId="0" borderId="15" xfId="4" applyNumberFormat="1" applyFont="1" applyBorder="1" applyProtection="1"/>
    <xf numFmtId="0" fontId="96" fillId="0" borderId="15" xfId="4" applyFont="1" applyBorder="1" applyAlignment="1" applyProtection="1">
      <alignment horizontal="center"/>
    </xf>
    <xf numFmtId="0" fontId="134" fillId="0" borderId="0" xfId="4" applyFont="1" applyAlignment="1" applyProtection="1">
      <alignment horizontal="left" wrapText="1"/>
    </xf>
    <xf numFmtId="0" fontId="134" fillId="0" borderId="0" xfId="4" applyFont="1" applyAlignment="1" applyProtection="1"/>
    <xf numFmtId="0" fontId="134" fillId="0" borderId="0" xfId="4" applyFont="1" applyAlignment="1" applyProtection="1">
      <alignment wrapText="1"/>
    </xf>
    <xf numFmtId="0" fontId="94" fillId="0" borderId="0" xfId="4" applyFont="1" applyAlignment="1" applyProtection="1">
      <alignment horizontal="left" wrapText="1"/>
    </xf>
    <xf numFmtId="0" fontId="94" fillId="0" borderId="0" xfId="4" applyFont="1" applyAlignment="1" applyProtection="1">
      <alignment horizontal="left"/>
    </xf>
    <xf numFmtId="169" fontId="94" fillId="0" borderId="0" xfId="4" applyNumberFormat="1" applyFont="1" applyProtection="1"/>
    <xf numFmtId="1" fontId="94" fillId="0" borderId="0" xfId="4" applyNumberFormat="1" applyFont="1" applyProtection="1"/>
    <xf numFmtId="0" fontId="94" fillId="0" borderId="0" xfId="4" applyFont="1" applyAlignment="1" applyProtection="1">
      <alignment horizontal="center"/>
    </xf>
    <xf numFmtId="0" fontId="134" fillId="0" borderId="0" xfId="4" applyFont="1" applyAlignment="1" applyProtection="1">
      <alignment vertical="center"/>
    </xf>
    <xf numFmtId="0" fontId="135" fillId="0" borderId="0" xfId="4" applyFont="1" applyFill="1" applyProtection="1"/>
    <xf numFmtId="0" fontId="105" fillId="0" borderId="0" xfId="4" applyFont="1" applyAlignment="1" applyProtection="1">
      <alignment vertical="center"/>
    </xf>
    <xf numFmtId="49" fontId="105" fillId="0" borderId="0" xfId="4" applyNumberFormat="1" applyFont="1" applyBorder="1" applyAlignment="1" applyProtection="1">
      <alignment horizontal="center" vertical="top"/>
    </xf>
    <xf numFmtId="165" fontId="89"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top"/>
    </xf>
    <xf numFmtId="0" fontId="89" fillId="0" borderId="0" xfId="4" applyFont="1" applyAlignment="1" applyProtection="1">
      <alignment horizontal="center" vertical="center"/>
    </xf>
    <xf numFmtId="0" fontId="105" fillId="0" borderId="16" xfId="4" applyFont="1" applyBorder="1" applyProtection="1"/>
    <xf numFmtId="0" fontId="96" fillId="0" borderId="16" xfId="4" applyFont="1" applyBorder="1" applyProtection="1"/>
    <xf numFmtId="0" fontId="96" fillId="0" borderId="16" xfId="4" applyFont="1" applyBorder="1" applyAlignment="1" applyProtection="1">
      <alignment horizontal="center"/>
    </xf>
    <xf numFmtId="0" fontId="96" fillId="0" borderId="0" xfId="4" applyFont="1" applyFill="1" applyBorder="1" applyProtection="1"/>
    <xf numFmtId="0" fontId="105" fillId="0" borderId="0" xfId="4" applyFont="1" applyFill="1" applyBorder="1" applyAlignment="1" applyProtection="1">
      <alignment horizontal="centerContinuous"/>
    </xf>
    <xf numFmtId="0" fontId="96" fillId="0" borderId="0" xfId="4" applyFont="1" applyBorder="1" applyAlignment="1" applyProtection="1">
      <alignment horizontal="center"/>
    </xf>
    <xf numFmtId="0" fontId="95" fillId="0" borderId="0" xfId="4" applyFont="1" applyBorder="1" applyProtection="1"/>
    <xf numFmtId="178" fontId="105" fillId="0" borderId="28" xfId="4" applyNumberFormat="1" applyFont="1" applyBorder="1" applyAlignment="1" applyProtection="1">
      <alignment horizontal="left"/>
      <protection locked="0"/>
    </xf>
    <xf numFmtId="0" fontId="95" fillId="0" borderId="0" xfId="4" applyFont="1" applyProtection="1"/>
    <xf numFmtId="0" fontId="96" fillId="0" borderId="11" xfId="4" applyFont="1" applyBorder="1" applyAlignment="1" applyProtection="1">
      <alignment horizontal="center" vertical="center"/>
      <protection locked="0"/>
    </xf>
    <xf numFmtId="0" fontId="96" fillId="0" borderId="0" xfId="4" applyFont="1" applyBorder="1" applyAlignment="1" applyProtection="1">
      <alignment horizontal="left" indent="1"/>
    </xf>
    <xf numFmtId="0" fontId="95" fillId="0" borderId="0" xfId="4" applyFont="1" applyBorder="1" applyAlignment="1" applyProtection="1">
      <alignment horizontal="left" indent="1"/>
    </xf>
    <xf numFmtId="0" fontId="95" fillId="0" borderId="0" xfId="4" applyFont="1" applyBorder="1" applyAlignment="1" applyProtection="1">
      <alignment horizontal="left"/>
    </xf>
    <xf numFmtId="0" fontId="96" fillId="0" borderId="28" xfId="4" applyFont="1" applyBorder="1" applyProtection="1">
      <protection locked="0"/>
    </xf>
    <xf numFmtId="0" fontId="95" fillId="0" borderId="16" xfId="4" quotePrefix="1" applyFont="1" applyBorder="1" applyAlignment="1" applyProtection="1">
      <alignment horizontal="left"/>
    </xf>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6" fillId="0" borderId="0" xfId="4" applyFont="1" applyFill="1" applyBorder="1" applyAlignment="1" applyProtection="1"/>
    <xf numFmtId="0" fontId="96" fillId="0" borderId="0" xfId="4" applyFont="1" applyAlignment="1" applyProtection="1">
      <alignment horizontal="left"/>
    </xf>
    <xf numFmtId="0" fontId="96" fillId="0" borderId="0" xfId="4" applyFont="1" applyAlignment="1" applyProtection="1"/>
    <xf numFmtId="8" fontId="96" fillId="0" borderId="0" xfId="4" applyNumberFormat="1" applyFont="1" applyAlignment="1" applyProtection="1">
      <alignment horizontal="left"/>
    </xf>
    <xf numFmtId="0" fontId="95" fillId="0" borderId="16" xfId="4" applyFont="1" applyBorder="1" applyProtection="1"/>
    <xf numFmtId="0" fontId="96" fillId="0" borderId="0" xfId="4" applyFont="1" applyBorder="1" applyAlignment="1" applyProtection="1">
      <alignment horizontal="left"/>
    </xf>
    <xf numFmtId="0" fontId="95" fillId="0" borderId="16" xfId="4" applyFont="1" applyBorder="1" applyAlignment="1" applyProtection="1">
      <alignment horizontal="left"/>
    </xf>
    <xf numFmtId="0" fontId="96" fillId="0" borderId="15" xfId="4" applyFont="1" applyFill="1" applyBorder="1" applyProtection="1"/>
    <xf numFmtId="0" fontId="96" fillId="0" borderId="15" xfId="4" applyFont="1" applyFill="1" applyBorder="1" applyAlignment="1" applyProtection="1">
      <alignment horizontal="center"/>
    </xf>
    <xf numFmtId="0" fontId="134" fillId="0" borderId="0" xfId="4" applyFont="1" applyBorder="1" applyProtection="1"/>
    <xf numFmtId="0" fontId="134" fillId="0" borderId="0" xfId="4" applyFont="1" applyProtection="1"/>
    <xf numFmtId="0" fontId="95" fillId="0" borderId="0" xfId="4" applyFont="1" applyAlignment="1" applyProtection="1">
      <alignment horizontal="center" vertical="top" textRotation="180"/>
    </xf>
    <xf numFmtId="0" fontId="95" fillId="0" borderId="0" xfId="4" applyFont="1" applyAlignment="1" applyProtection="1">
      <alignment horizontal="right" vertical="center" textRotation="180"/>
    </xf>
    <xf numFmtId="0" fontId="105" fillId="0" borderId="0" xfId="4" applyFont="1" applyAlignment="1" applyProtection="1">
      <alignment vertical="center" textRotation="180"/>
    </xf>
    <xf numFmtId="169" fontId="105" fillId="0" borderId="0" xfId="4" applyNumberFormat="1" applyFont="1" applyBorder="1" applyProtection="1"/>
    <xf numFmtId="169" fontId="96" fillId="0" borderId="16" xfId="4" applyNumberFormat="1" applyFont="1" applyBorder="1" applyProtection="1"/>
    <xf numFmtId="169" fontId="96" fillId="0" borderId="28" xfId="4" applyNumberFormat="1" applyFont="1" applyBorder="1" applyProtection="1"/>
    <xf numFmtId="0" fontId="96" fillId="0" borderId="28" xfId="4" applyFont="1" applyBorder="1" applyProtection="1"/>
    <xf numFmtId="0" fontId="96" fillId="0" borderId="28" xfId="4" applyFont="1" applyBorder="1" applyAlignment="1" applyProtection="1">
      <alignment horizontal="center"/>
    </xf>
    <xf numFmtId="169" fontId="96" fillId="0" borderId="0" xfId="4" applyNumberFormat="1" applyFont="1" applyBorder="1" applyProtection="1"/>
    <xf numFmtId="169" fontId="117" fillId="0" borderId="0" xfId="4" applyNumberFormat="1" applyFont="1" applyBorder="1" applyAlignment="1" applyProtection="1">
      <alignment horizontal="left"/>
    </xf>
    <xf numFmtId="0" fontId="110" fillId="0" borderId="0" xfId="4" applyFont="1" applyBorder="1" applyAlignment="1" applyProtection="1">
      <alignment horizontal="left"/>
    </xf>
    <xf numFmtId="0" fontId="96" fillId="0" borderId="0" xfId="4" applyFont="1" applyBorder="1" applyAlignment="1" applyProtection="1"/>
    <xf numFmtId="0" fontId="94" fillId="0" borderId="0" xfId="4" applyFont="1" applyBorder="1" applyAlignment="1" applyProtection="1">
      <alignment horizontal="centerContinuous"/>
    </xf>
    <xf numFmtId="0" fontId="96" fillId="0" borderId="0" xfId="4" applyFont="1" applyBorder="1" applyAlignment="1" applyProtection="1">
      <alignment horizontal="centerContinuous"/>
    </xf>
    <xf numFmtId="169" fontId="95" fillId="0" borderId="0" xfId="4" applyNumberFormat="1" applyFont="1" applyProtection="1"/>
    <xf numFmtId="169" fontId="94" fillId="0" borderId="0" xfId="4" applyNumberFormat="1" applyFont="1" applyAlignment="1" applyProtection="1">
      <alignment horizontal="left"/>
    </xf>
    <xf numFmtId="0" fontId="90" fillId="0" borderId="0" xfId="4" applyFont="1" applyAlignment="1" applyProtection="1">
      <alignment horizontal="left"/>
    </xf>
    <xf numFmtId="0" fontId="96" fillId="0" borderId="28" xfId="4" applyFont="1" applyBorder="1" applyAlignment="1" applyProtection="1">
      <alignment horizontal="center" vertical="center"/>
      <protection locked="0"/>
    </xf>
    <xf numFmtId="0" fontId="96" fillId="0" borderId="0" xfId="4" applyFont="1" applyBorder="1" applyAlignment="1" applyProtection="1">
      <alignment horizontal="center" vertical="center"/>
      <protection locked="0"/>
    </xf>
    <xf numFmtId="0" fontId="136" fillId="0" borderId="0" xfId="4" applyFont="1" applyBorder="1" applyAlignment="1" applyProtection="1">
      <alignment horizontal="left"/>
    </xf>
    <xf numFmtId="169" fontId="124" fillId="0" borderId="0" xfId="4" applyNumberFormat="1" applyFont="1" applyProtection="1"/>
    <xf numFmtId="0" fontId="93" fillId="0" borderId="0" xfId="4" applyFont="1" applyProtection="1"/>
    <xf numFmtId="169" fontId="94" fillId="0" borderId="56" xfId="4" applyNumberFormat="1" applyFont="1" applyBorder="1" applyAlignment="1" applyProtection="1">
      <alignment horizontal="center"/>
    </xf>
    <xf numFmtId="169" fontId="94" fillId="0" borderId="57" xfId="4" applyNumberFormat="1" applyFont="1" applyBorder="1" applyAlignment="1" applyProtection="1">
      <alignment horizontal="center"/>
      <protection locked="0"/>
    </xf>
    <xf numFmtId="169" fontId="137" fillId="0" borderId="0" xfId="4" applyNumberFormat="1" applyFont="1" applyProtection="1"/>
    <xf numFmtId="6" fontId="133" fillId="0" borderId="51" xfId="4" applyNumberFormat="1" applyFont="1" applyBorder="1" applyProtection="1"/>
    <xf numFmtId="6" fontId="133" fillId="0" borderId="0" xfId="4" applyNumberFormat="1" applyFont="1" applyBorder="1" applyProtection="1"/>
    <xf numFmtId="10" fontId="95" fillId="0" borderId="57" xfId="4" applyNumberFormat="1" applyFont="1" applyBorder="1" applyProtection="1"/>
    <xf numFmtId="6" fontId="94" fillId="0" borderId="0" xfId="4" applyNumberFormat="1" applyFont="1" applyProtection="1"/>
    <xf numFmtId="0" fontId="133" fillId="0" borderId="0" xfId="4" applyFont="1" applyProtection="1"/>
    <xf numFmtId="10" fontId="137"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4" fillId="0" borderId="0" xfId="4" applyFont="1" applyAlignment="1" applyProtection="1">
      <alignment horizontal="left" vertical="center"/>
    </xf>
    <xf numFmtId="169" fontId="134" fillId="0" borderId="0" xfId="4" applyNumberFormat="1" applyFont="1" applyBorder="1" applyAlignment="1" applyProtection="1">
      <alignment horizontal="left" vertical="center"/>
    </xf>
    <xf numFmtId="0" fontId="134" fillId="0" borderId="0" xfId="4" applyFont="1" applyBorder="1" applyAlignment="1" applyProtection="1">
      <alignment horizontal="left" vertical="center"/>
    </xf>
    <xf numFmtId="0" fontId="96" fillId="0" borderId="0" xfId="4" applyFont="1" applyAlignment="1" applyProtection="1">
      <alignment horizontal="left" vertical="center"/>
    </xf>
    <xf numFmtId="169" fontId="94" fillId="0" borderId="0" xfId="4" applyNumberFormat="1" applyFont="1" applyAlignment="1" applyProtection="1">
      <alignment horizontal="left" vertical="center"/>
    </xf>
    <xf numFmtId="169" fontId="134" fillId="0" borderId="0" xfId="4" applyNumberFormat="1" applyFont="1" applyAlignment="1" applyProtection="1">
      <alignment horizontal="left" vertical="center"/>
    </xf>
    <xf numFmtId="0" fontId="134" fillId="0" borderId="0" xfId="4" applyFont="1" applyAlignment="1" applyProtection="1">
      <alignment horizontal="left" vertical="center"/>
    </xf>
    <xf numFmtId="49" fontId="105"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center"/>
    </xf>
    <xf numFmtId="178" fontId="105" fillId="0" borderId="58" xfId="4" applyNumberFormat="1" applyFont="1" applyBorder="1" applyAlignment="1" applyProtection="1">
      <alignment horizontal="center"/>
      <protection locked="0"/>
    </xf>
    <xf numFmtId="0" fontId="96" fillId="0" borderId="11" xfId="4" applyFont="1" applyBorder="1" applyAlignment="1" applyProtection="1">
      <alignment horizontal="center"/>
      <protection locked="0"/>
    </xf>
    <xf numFmtId="0" fontId="94" fillId="0" borderId="0" xfId="4" applyFont="1" applyAlignment="1" applyProtection="1">
      <alignment horizontal="left" vertical="center" indent="1"/>
    </xf>
    <xf numFmtId="0" fontId="94" fillId="0" borderId="0" xfId="4" applyFont="1" applyAlignment="1" applyProtection="1">
      <alignment horizontal="left" indent="1"/>
    </xf>
    <xf numFmtId="0" fontId="94" fillId="0" borderId="0" xfId="4" applyFont="1" applyBorder="1" applyAlignment="1" applyProtection="1">
      <alignment horizontal="left"/>
    </xf>
    <xf numFmtId="0" fontId="96" fillId="0" borderId="58" xfId="4" applyFont="1" applyBorder="1" applyProtection="1">
      <protection locked="0"/>
    </xf>
    <xf numFmtId="0" fontId="105" fillId="0" borderId="28" xfId="4" applyFont="1" applyBorder="1" applyProtection="1"/>
    <xf numFmtId="0" fontId="95" fillId="0" borderId="0" xfId="4" applyFont="1" applyAlignment="1" applyProtection="1">
      <alignment horizontal="center"/>
    </xf>
    <xf numFmtId="0" fontId="105" fillId="0" borderId="0" xfId="4" applyFont="1" applyBorder="1" applyAlignment="1" applyProtection="1">
      <alignment horizontal="center"/>
    </xf>
    <xf numFmtId="0" fontId="95" fillId="0" borderId="0" xfId="4" quotePrefix="1" applyFont="1" applyBorder="1" applyAlignment="1" applyProtection="1">
      <alignment horizontal="left"/>
    </xf>
    <xf numFmtId="0" fontId="90" fillId="0" borderId="0" xfId="4" applyFont="1" applyBorder="1" applyAlignment="1" applyProtection="1">
      <alignment horizontal="center"/>
    </xf>
    <xf numFmtId="0" fontId="96" fillId="0" borderId="28" xfId="4" applyFont="1" applyBorder="1" applyAlignment="1" applyProtection="1">
      <alignment horizontal="left"/>
    </xf>
    <xf numFmtId="0" fontId="96" fillId="0" borderId="28" xfId="4" applyFont="1" applyBorder="1" applyAlignment="1" applyProtection="1"/>
    <xf numFmtId="170" fontId="96" fillId="0" borderId="28" xfId="4" applyNumberFormat="1" applyFont="1" applyBorder="1" applyAlignment="1" applyProtection="1">
      <alignment horizontal="centerContinuous"/>
    </xf>
    <xf numFmtId="0" fontId="103" fillId="0" borderId="59" xfId="4" applyFont="1" applyBorder="1" applyAlignment="1" applyProtection="1">
      <alignment horizontal="left"/>
    </xf>
    <xf numFmtId="0" fontId="96" fillId="0" borderId="59" xfId="4" applyFont="1" applyBorder="1" applyProtection="1"/>
    <xf numFmtId="0" fontId="96" fillId="0" borderId="59" xfId="4" applyFont="1" applyBorder="1" applyAlignment="1" applyProtection="1">
      <alignment horizontal="center"/>
    </xf>
    <xf numFmtId="49" fontId="89" fillId="0" borderId="0" xfId="4" applyNumberFormat="1" applyFont="1" applyBorder="1" applyAlignment="1" applyProtection="1">
      <alignment horizontal="center" vertical="center"/>
    </xf>
    <xf numFmtId="166" fontId="89" fillId="0" borderId="0" xfId="4" applyNumberFormat="1" applyFont="1" applyBorder="1" applyAlignment="1" applyProtection="1">
      <alignment horizontal="center" vertical="center"/>
    </xf>
    <xf numFmtId="49" fontId="89" fillId="0" borderId="0" xfId="4" applyNumberFormat="1" applyFont="1" applyAlignment="1" applyProtection="1">
      <alignment horizontal="center" vertical="center"/>
    </xf>
    <xf numFmtId="0" fontId="90" fillId="0" borderId="0" xfId="4" applyFont="1" applyBorder="1" applyAlignment="1" applyProtection="1">
      <alignment vertical="center"/>
    </xf>
    <xf numFmtId="0" fontId="124" fillId="0" borderId="0" xfId="4" applyFont="1" applyBorder="1" applyAlignment="1" applyProtection="1">
      <alignment horizontal="center"/>
    </xf>
    <xf numFmtId="179" fontId="96" fillId="0" borderId="0" xfId="4" applyNumberFormat="1" applyFont="1" applyBorder="1" applyProtection="1">
      <protection locked="0"/>
    </xf>
    <xf numFmtId="179" fontId="96" fillId="0" borderId="0" xfId="4" applyNumberFormat="1" applyFont="1" applyBorder="1" applyAlignment="1" applyProtection="1">
      <alignment horizontal="left"/>
      <protection locked="0"/>
    </xf>
    <xf numFmtId="179" fontId="95" fillId="0" borderId="0" xfId="4" applyNumberFormat="1" applyFont="1" applyProtection="1">
      <protection locked="0"/>
    </xf>
    <xf numFmtId="179" fontId="96" fillId="0" borderId="0" xfId="4" applyNumberFormat="1" applyFont="1" applyProtection="1">
      <protection locked="0"/>
    </xf>
    <xf numFmtId="179" fontId="96" fillId="0" borderId="0" xfId="4" applyNumberFormat="1" applyFont="1" applyAlignment="1" applyProtection="1">
      <alignment horizontal="left"/>
      <protection locked="0"/>
    </xf>
    <xf numFmtId="49" fontId="110" fillId="0" borderId="0" xfId="4" applyNumberFormat="1" applyFont="1" applyBorder="1" applyAlignment="1" applyProtection="1">
      <alignment horizontal="left"/>
      <protection locked="0"/>
    </xf>
    <xf numFmtId="49" fontId="96" fillId="0" borderId="0" xfId="4" applyNumberFormat="1" applyFont="1" applyProtection="1">
      <protection locked="0"/>
    </xf>
    <xf numFmtId="49" fontId="96" fillId="0" borderId="15" xfId="4" applyNumberFormat="1" applyFont="1" applyBorder="1" applyAlignment="1" applyProtection="1">
      <protection locked="0"/>
    </xf>
    <xf numFmtId="0" fontId="96" fillId="0" borderId="15" xfId="4" applyFont="1" applyBorder="1" applyProtection="1">
      <protection locked="0"/>
    </xf>
    <xf numFmtId="0" fontId="134" fillId="0" borderId="0" xfId="4" applyFont="1" applyAlignment="1" applyProtection="1">
      <alignment horizontal="left"/>
    </xf>
    <xf numFmtId="0" fontId="94" fillId="0" borderId="0" xfId="4" applyFont="1" applyAlignment="1" applyProtection="1">
      <alignment horizontal="left" vertical="center" indent="2"/>
    </xf>
    <xf numFmtId="49" fontId="138" fillId="0" borderId="0" xfId="0" applyNumberFormat="1" applyFont="1" applyBorder="1" applyAlignment="1">
      <alignment horizontal="left"/>
    </xf>
    <xf numFmtId="49" fontId="92" fillId="0" borderId="0" xfId="2" applyNumberFormat="1" applyFont="1" applyBorder="1" applyAlignment="1" applyProtection="1">
      <alignment horizontal="left" indent="4"/>
    </xf>
    <xf numFmtId="49" fontId="99" fillId="0" borderId="0" xfId="0" applyNumberFormat="1" applyFont="1" applyBorder="1" applyAlignment="1">
      <alignment horizontal="left" indent="1"/>
    </xf>
    <xf numFmtId="0" fontId="138" fillId="0" borderId="0" xfId="0" applyFont="1" applyBorder="1" applyProtection="1"/>
    <xf numFmtId="164" fontId="94" fillId="0" borderId="9"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indent="1"/>
    </xf>
    <xf numFmtId="0" fontId="94" fillId="0" borderId="0" xfId="0" applyFont="1" applyFill="1" applyAlignment="1" applyProtection="1">
      <alignment horizontal="left" vertical="center" indent="1"/>
    </xf>
    <xf numFmtId="164" fontId="94" fillId="0" borderId="0" xfId="0" applyNumberFormat="1" applyFont="1" applyFill="1" applyBorder="1" applyAlignment="1" applyProtection="1">
      <alignment horizontal="left" vertical="center" wrapText="1" indent="1"/>
    </xf>
    <xf numFmtId="0" fontId="94" fillId="0" borderId="0" xfId="0" applyFont="1" applyFill="1" applyBorder="1" applyAlignment="1" applyProtection="1">
      <alignment horizontal="left" vertical="center" indent="1"/>
    </xf>
    <xf numFmtId="0" fontId="94" fillId="0" borderId="14" xfId="0" applyFont="1" applyBorder="1" applyAlignment="1" applyProtection="1">
      <alignment horizontal="left" vertical="top" indent="1"/>
    </xf>
    <xf numFmtId="0" fontId="94" fillId="0" borderId="0" xfId="0" applyFont="1" applyFill="1" applyBorder="1" applyAlignment="1" applyProtection="1">
      <alignment horizontal="left" vertical="top" indent="1"/>
    </xf>
    <xf numFmtId="0" fontId="94" fillId="0" borderId="6" xfId="0" applyFont="1" applyBorder="1" applyAlignment="1" applyProtection="1">
      <alignment horizontal="left" vertical="center" indent="1"/>
    </xf>
    <xf numFmtId="0" fontId="94" fillId="0" borderId="45" xfId="0" applyFont="1" applyBorder="1" applyAlignment="1" applyProtection="1">
      <alignment horizontal="left" vertical="center" indent="1"/>
    </xf>
    <xf numFmtId="0" fontId="94" fillId="0" borderId="60" xfId="0" applyFont="1" applyBorder="1" applyAlignment="1" applyProtection="1">
      <alignment horizontal="left" vertical="center" indent="1"/>
    </xf>
    <xf numFmtId="0" fontId="94" fillId="0" borderId="14" xfId="0" applyFont="1" applyBorder="1" applyAlignment="1" applyProtection="1">
      <alignment horizontal="left" vertical="center" wrapText="1" indent="1"/>
    </xf>
    <xf numFmtId="0" fontId="94" fillId="0" borderId="142" xfId="0" applyFont="1" applyFill="1" applyBorder="1" applyAlignment="1" applyProtection="1">
      <alignment horizontal="left" vertical="center" indent="1"/>
    </xf>
    <xf numFmtId="0" fontId="94" fillId="0" borderId="131" xfId="0" applyFont="1" applyFill="1" applyBorder="1" applyAlignment="1" applyProtection="1">
      <alignment horizontal="left" vertical="center" indent="1"/>
    </xf>
    <xf numFmtId="3" fontId="94" fillId="0" borderId="2" xfId="0" applyNumberFormat="1" applyFont="1" applyBorder="1" applyAlignment="1">
      <alignment horizontal="left" vertical="center" wrapText="1" indent="1"/>
    </xf>
    <xf numFmtId="3" fontId="94" fillId="0" borderId="8" xfId="0" applyNumberFormat="1" applyFont="1" applyBorder="1" applyAlignment="1">
      <alignment horizontal="left" vertical="center" wrapText="1" indent="1"/>
    </xf>
    <xf numFmtId="3" fontId="94" fillId="0" borderId="8" xfId="0" applyNumberFormat="1" applyFont="1" applyBorder="1" applyAlignment="1">
      <alignment horizontal="left" vertical="center" indent="1"/>
    </xf>
    <xf numFmtId="3" fontId="95" fillId="6" borderId="61"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wrapText="1" indent="1"/>
    </xf>
    <xf numFmtId="3" fontId="94" fillId="0" borderId="18" xfId="0" applyNumberFormat="1" applyFont="1" applyBorder="1" applyAlignment="1">
      <alignment horizontal="left" vertical="center" wrapText="1" indent="1"/>
    </xf>
    <xf numFmtId="3" fontId="94" fillId="0" borderId="9" xfId="0" applyNumberFormat="1" applyFont="1" applyFill="1" applyBorder="1" applyAlignment="1">
      <alignment horizontal="left" vertical="center" wrapText="1" indent="1"/>
    </xf>
    <xf numFmtId="3" fontId="94" fillId="0" borderId="27" xfId="0" applyNumberFormat="1" applyFont="1" applyFill="1" applyBorder="1" applyAlignment="1">
      <alignment horizontal="left" vertical="center" wrapText="1" indent="1"/>
    </xf>
    <xf numFmtId="3" fontId="94" fillId="0" borderId="18" xfId="0" applyNumberFormat="1" applyFont="1" applyFill="1" applyBorder="1" applyAlignment="1">
      <alignment horizontal="left" vertical="center" wrapText="1" indent="1"/>
    </xf>
    <xf numFmtId="3" fontId="94" fillId="0" borderId="2" xfId="0" applyNumberFormat="1" applyFont="1" applyFill="1" applyBorder="1" applyAlignment="1">
      <alignment horizontal="left" vertical="center" wrapText="1" indent="1"/>
    </xf>
    <xf numFmtId="3" fontId="95" fillId="0" borderId="20" xfId="0" applyNumberFormat="1" applyFont="1" applyFill="1" applyBorder="1" applyAlignment="1">
      <alignment horizontal="left" vertical="center" wrapText="1" indent="1"/>
    </xf>
    <xf numFmtId="3" fontId="95" fillId="5" borderId="26" xfId="0" applyNumberFormat="1" applyFont="1" applyFill="1" applyBorder="1" applyAlignment="1">
      <alignment horizontal="left" vertical="center" wrapText="1" indent="1"/>
    </xf>
    <xf numFmtId="3" fontId="94" fillId="0" borderId="2" xfId="0" applyNumberFormat="1" applyFont="1" applyBorder="1" applyAlignment="1">
      <alignment horizontal="left" vertical="center" indent="1"/>
    </xf>
    <xf numFmtId="3" fontId="94" fillId="0" borderId="23" xfId="0" applyNumberFormat="1" applyFont="1" applyBorder="1" applyAlignment="1">
      <alignment horizontal="left" vertical="center" wrapText="1" indent="1"/>
    </xf>
    <xf numFmtId="164" fontId="94" fillId="0" borderId="23" xfId="0" applyNumberFormat="1" applyFont="1" applyFill="1" applyBorder="1" applyAlignment="1">
      <alignment horizontal="left" vertical="center" wrapText="1" indent="1"/>
    </xf>
    <xf numFmtId="0" fontId="94" fillId="0" borderId="2" xfId="0" applyFont="1" applyFill="1" applyBorder="1" applyAlignment="1">
      <alignment horizontal="left" vertical="center" wrapText="1" indent="1"/>
    </xf>
    <xf numFmtId="0" fontId="94" fillId="0" borderId="8" xfId="0" applyFont="1" applyFill="1" applyBorder="1" applyAlignment="1">
      <alignment horizontal="left" vertical="center" wrapText="1" indent="1"/>
    </xf>
    <xf numFmtId="3" fontId="95" fillId="5" borderId="44"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indent="1"/>
    </xf>
    <xf numFmtId="0" fontId="94" fillId="0" borderId="2" xfId="0" applyFont="1" applyFill="1" applyBorder="1" applyAlignment="1">
      <alignment horizontal="left" vertical="center" indent="1"/>
    </xf>
    <xf numFmtId="38" fontId="89" fillId="2" borderId="143" xfId="0" applyNumberFormat="1" applyFont="1" applyFill="1" applyBorder="1" applyAlignment="1">
      <alignment horizontal="center" vertical="center" wrapText="1"/>
    </xf>
    <xf numFmtId="38" fontId="89" fillId="2" borderId="143" xfId="0" applyNumberFormat="1" applyFont="1" applyFill="1" applyBorder="1" applyAlignment="1">
      <alignment horizontal="center" vertical="top" wrapText="1"/>
    </xf>
    <xf numFmtId="38" fontId="95" fillId="2" borderId="143" xfId="0" applyNumberFormat="1" applyFont="1" applyFill="1" applyBorder="1" applyAlignment="1">
      <alignment horizontal="center" vertical="center" wrapText="1"/>
    </xf>
    <xf numFmtId="0" fontId="89" fillId="0" borderId="2" xfId="16" applyFont="1" applyFill="1" applyBorder="1" applyAlignment="1">
      <alignment horizontal="center" vertical="center"/>
    </xf>
    <xf numFmtId="0" fontId="96" fillId="0" borderId="36" xfId="0" applyFont="1" applyBorder="1" applyAlignment="1">
      <alignment horizontal="left" wrapText="1"/>
    </xf>
    <xf numFmtId="0" fontId="122" fillId="0" borderId="0" xfId="0" applyFont="1" applyAlignment="1" applyProtection="1">
      <alignment horizontal="right"/>
    </xf>
    <xf numFmtId="0" fontId="122" fillId="0" borderId="0" xfId="0" applyFont="1" applyAlignment="1" applyProtection="1">
      <alignment horizontal="right" vertical="top"/>
    </xf>
    <xf numFmtId="3" fontId="90" fillId="14" borderId="144" xfId="0" applyNumberFormat="1" applyFont="1" applyFill="1" applyBorder="1" applyAlignment="1">
      <alignment horizontal="center"/>
    </xf>
    <xf numFmtId="3" fontId="90" fillId="14" borderId="144" xfId="0" applyNumberFormat="1" applyFont="1" applyFill="1" applyBorder="1" applyAlignment="1">
      <alignment horizontal="right"/>
    </xf>
    <xf numFmtId="3" fontId="90" fillId="14" borderId="145" xfId="0" applyNumberFormat="1" applyFont="1" applyFill="1" applyBorder="1" applyAlignment="1">
      <alignment horizontal="center"/>
    </xf>
    <xf numFmtId="3" fontId="105" fillId="14" borderId="9" xfId="0" applyNumberFormat="1" applyFont="1" applyFill="1" applyBorder="1" applyAlignment="1">
      <alignment horizontal="center" vertical="center" wrapText="1"/>
    </xf>
    <xf numFmtId="49" fontId="94" fillId="14" borderId="10" xfId="0" applyNumberFormat="1" applyFont="1" applyFill="1" applyBorder="1" applyAlignment="1">
      <alignment horizontal="center" vertical="center"/>
    </xf>
    <xf numFmtId="38" fontId="89" fillId="14" borderId="23" xfId="0" applyNumberFormat="1" applyFont="1" applyFill="1" applyBorder="1" applyAlignment="1" applyProtection="1">
      <alignment horizontal="right"/>
    </xf>
    <xf numFmtId="38" fontId="89" fillId="14" borderId="14" xfId="0" applyNumberFormat="1" applyFont="1" applyFill="1" applyBorder="1" applyAlignment="1" applyProtection="1">
      <alignment horizontal="right"/>
    </xf>
    <xf numFmtId="38" fontId="89" fillId="14" borderId="14" xfId="1" applyNumberFormat="1" applyFont="1" applyFill="1" applyBorder="1" applyAlignment="1" applyProtection="1">
      <alignment horizontal="right"/>
    </xf>
    <xf numFmtId="38" fontId="89" fillId="14" borderId="19" xfId="0" applyNumberFormat="1" applyFont="1" applyFill="1" applyBorder="1" applyAlignment="1" applyProtection="1">
      <alignment horizontal="right"/>
    </xf>
    <xf numFmtId="0" fontId="96" fillId="14" borderId="21" xfId="0" applyFont="1" applyFill="1" applyBorder="1" applyAlignment="1">
      <alignment horizontal="center" vertical="center"/>
    </xf>
    <xf numFmtId="3" fontId="89" fillId="14" borderId="23" xfId="0" applyNumberFormat="1" applyFont="1" applyFill="1" applyBorder="1" applyAlignment="1" applyProtection="1">
      <alignment horizontal="right" vertical="center"/>
    </xf>
    <xf numFmtId="3" fontId="89" fillId="14" borderId="14" xfId="0" applyNumberFormat="1" applyFont="1" applyFill="1" applyBorder="1" applyAlignment="1" applyProtection="1">
      <alignment horizontal="right" vertical="center"/>
    </xf>
    <xf numFmtId="3" fontId="89" fillId="14" borderId="19" xfId="0" applyNumberFormat="1" applyFont="1" applyFill="1" applyBorder="1" applyAlignment="1" applyProtection="1">
      <alignment horizontal="right" vertical="center"/>
    </xf>
    <xf numFmtId="0" fontId="95" fillId="10" borderId="19" xfId="0" applyFont="1" applyFill="1" applyBorder="1" applyAlignment="1" applyProtection="1">
      <alignment horizontal="left" vertical="center"/>
    </xf>
    <xf numFmtId="0" fontId="95" fillId="10" borderId="2" xfId="0" applyFont="1" applyFill="1" applyBorder="1" applyAlignment="1" applyProtection="1">
      <alignment horizontal="center" vertical="top"/>
    </xf>
    <xf numFmtId="0" fontId="95" fillId="10" borderId="2" xfId="0" applyFont="1" applyFill="1" applyBorder="1" applyAlignment="1" applyProtection="1">
      <alignment horizontal="center" vertical="center"/>
    </xf>
    <xf numFmtId="3" fontId="89" fillId="14" borderId="23" xfId="0" applyNumberFormat="1" applyFont="1" applyFill="1" applyBorder="1" applyAlignment="1" applyProtection="1">
      <alignment horizontal="center" vertical="center"/>
    </xf>
    <xf numFmtId="49" fontId="95" fillId="14" borderId="14" xfId="0" applyNumberFormat="1" applyFont="1" applyFill="1" applyBorder="1" applyAlignment="1" applyProtection="1">
      <alignment horizontal="center" vertical="center"/>
    </xf>
    <xf numFmtId="3" fontId="90" fillId="14" borderId="14" xfId="0" applyNumberFormat="1" applyFont="1" applyFill="1" applyBorder="1" applyAlignment="1" applyProtection="1">
      <alignment horizontal="center"/>
    </xf>
    <xf numFmtId="3" fontId="96" fillId="14" borderId="14" xfId="0" applyNumberFormat="1" applyFont="1" applyFill="1" applyBorder="1" applyAlignment="1" applyProtection="1">
      <alignment horizontal="center"/>
    </xf>
    <xf numFmtId="38" fontId="96" fillId="14" borderId="14" xfId="0" applyNumberFormat="1" applyFont="1" applyFill="1" applyBorder="1" applyAlignment="1" applyProtection="1">
      <alignment horizontal="center"/>
    </xf>
    <xf numFmtId="3" fontId="96" fillId="14" borderId="19" xfId="0" applyNumberFormat="1" applyFont="1" applyFill="1" applyBorder="1" applyAlignment="1" applyProtection="1">
      <alignment horizontal="center"/>
    </xf>
    <xf numFmtId="0" fontId="89" fillId="14" borderId="20" xfId="0" applyFont="1" applyFill="1" applyBorder="1" applyAlignment="1" applyProtection="1">
      <alignment horizontal="center" vertical="center" wrapText="1"/>
    </xf>
    <xf numFmtId="0" fontId="90" fillId="14" borderId="62"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wrapText="1"/>
    </xf>
    <xf numFmtId="0" fontId="96" fillId="14" borderId="21"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xf>
    <xf numFmtId="3" fontId="95" fillId="10" borderId="6" xfId="0" applyNumberFormat="1" applyFont="1" applyFill="1" applyBorder="1" applyAlignment="1" applyProtection="1">
      <alignment horizontal="left" vertical="center"/>
    </xf>
    <xf numFmtId="0" fontId="95" fillId="10" borderId="2" xfId="0" applyFont="1" applyFill="1" applyBorder="1" applyAlignment="1">
      <alignment horizontal="center" vertical="center"/>
    </xf>
    <xf numFmtId="164" fontId="95" fillId="10" borderId="6" xfId="0" applyNumberFormat="1" applyFont="1" applyFill="1" applyBorder="1" applyAlignment="1" applyProtection="1">
      <alignment horizontal="left" vertical="center"/>
    </xf>
    <xf numFmtId="0" fontId="95" fillId="10" borderId="27" xfId="0" applyFont="1" applyFill="1" applyBorder="1" applyAlignment="1" applyProtection="1">
      <alignment horizontal="center" vertical="center"/>
    </xf>
    <xf numFmtId="0" fontId="95" fillId="10" borderId="18" xfId="0" applyFont="1" applyFill="1" applyBorder="1" applyAlignment="1" applyProtection="1">
      <alignment horizontal="center" vertical="center"/>
    </xf>
    <xf numFmtId="164" fontId="95" fillId="10" borderId="14" xfId="0" applyNumberFormat="1" applyFont="1" applyFill="1" applyBorder="1" applyAlignment="1" applyProtection="1">
      <alignment horizontal="left" vertical="center"/>
    </xf>
    <xf numFmtId="0" fontId="95" fillId="10" borderId="19" xfId="0" applyFont="1" applyFill="1" applyBorder="1" applyAlignment="1" applyProtection="1">
      <alignment horizontal="center" vertical="center"/>
    </xf>
    <xf numFmtId="0" fontId="95" fillId="10" borderId="21" xfId="0" applyFont="1" applyFill="1" applyBorder="1" applyAlignment="1" applyProtection="1">
      <alignment horizontal="center" vertical="center"/>
    </xf>
    <xf numFmtId="164" fontId="95" fillId="15" borderId="14" xfId="0" applyNumberFormat="1" applyFont="1" applyFill="1" applyBorder="1" applyAlignment="1" applyProtection="1">
      <alignment horizontal="left" vertical="center" indent="1"/>
    </xf>
    <xf numFmtId="0" fontId="94" fillId="15" borderId="19" xfId="0" applyFont="1" applyFill="1" applyBorder="1" applyAlignment="1" applyProtection="1">
      <alignment horizontal="center" vertical="center"/>
    </xf>
    <xf numFmtId="164" fontId="95" fillId="15" borderId="6" xfId="0" applyNumberFormat="1" applyFont="1" applyFill="1" applyBorder="1" applyAlignment="1" applyProtection="1">
      <alignment horizontal="left" vertical="center" indent="1"/>
    </xf>
    <xf numFmtId="1" fontId="94" fillId="15" borderId="10" xfId="0" applyNumberFormat="1" applyFont="1" applyFill="1" applyBorder="1" applyAlignment="1" applyProtection="1">
      <alignment horizontal="center" vertical="center"/>
    </xf>
    <xf numFmtId="1" fontId="94" fillId="15" borderId="18" xfId="0" applyNumberFormat="1" applyFont="1" applyFill="1" applyBorder="1" applyAlignment="1" applyProtection="1">
      <alignment horizontal="center" vertical="center"/>
    </xf>
    <xf numFmtId="0" fontId="95" fillId="15" borderId="14" xfId="0" applyFont="1" applyFill="1" applyBorder="1" applyAlignment="1">
      <alignment horizontal="left" vertical="center" indent="1"/>
    </xf>
    <xf numFmtId="0" fontId="94" fillId="15" borderId="19" xfId="0" applyFont="1" applyFill="1" applyBorder="1" applyAlignment="1">
      <alignment horizontal="left" vertical="center"/>
    </xf>
    <xf numFmtId="0" fontId="94" fillId="15" borderId="10" xfId="0" applyFont="1" applyFill="1" applyBorder="1" applyAlignment="1" applyProtection="1">
      <alignment horizontal="center" vertical="center"/>
    </xf>
    <xf numFmtId="3"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0" fontId="95" fillId="10" borderId="7" xfId="0" applyFont="1" applyFill="1" applyBorder="1" applyAlignment="1">
      <alignment horizontal="left" vertical="center" wrapText="1"/>
    </xf>
    <xf numFmtId="49" fontId="95" fillId="10" borderId="27" xfId="0" applyNumberFormat="1" applyFont="1" applyFill="1" applyBorder="1" applyAlignment="1">
      <alignment horizontal="center" vertical="center"/>
    </xf>
    <xf numFmtId="3" fontId="95" fillId="10" borderId="22" xfId="0" applyNumberFormat="1" applyFont="1" applyFill="1" applyBorder="1" applyAlignment="1">
      <alignment horizontal="left" vertical="center" wrapText="1"/>
    </xf>
    <xf numFmtId="49" fontId="95" fillId="10" borderId="22" xfId="0" applyNumberFormat="1" applyFont="1" applyFill="1" applyBorder="1" applyAlignment="1">
      <alignment horizontal="center" vertical="center"/>
    </xf>
    <xf numFmtId="164"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3" fontId="95" fillId="10" borderId="23" xfId="0" applyNumberFormat="1" applyFont="1" applyFill="1" applyBorder="1" applyAlignment="1">
      <alignment horizontal="left" vertical="center" wrapText="1"/>
    </xf>
    <xf numFmtId="49" fontId="95" fillId="10" borderId="2" xfId="0" applyNumberFormat="1" applyFont="1" applyFill="1" applyBorder="1" applyAlignment="1">
      <alignment horizontal="center" vertical="center"/>
    </xf>
    <xf numFmtId="164" fontId="95" fillId="10" borderId="7" xfId="0" applyNumberFormat="1" applyFont="1" applyFill="1" applyBorder="1" applyAlignment="1">
      <alignment horizontal="left" vertical="center" wrapText="1"/>
    </xf>
    <xf numFmtId="0" fontId="95" fillId="10" borderId="61" xfId="0" applyFont="1" applyFill="1" applyBorder="1" applyAlignment="1">
      <alignment horizontal="left" vertical="center" wrapText="1"/>
    </xf>
    <xf numFmtId="49" fontId="95" fillId="10" borderId="26" xfId="0" applyNumberFormat="1" applyFont="1" applyFill="1" applyBorder="1" applyAlignment="1">
      <alignment horizontal="center" vertical="center"/>
    </xf>
    <xf numFmtId="3" fontId="95" fillId="10" borderId="63" xfId="0" applyNumberFormat="1" applyFont="1" applyFill="1" applyBorder="1" applyAlignment="1">
      <alignment horizontal="left" vertical="center" wrapText="1"/>
    </xf>
    <xf numFmtId="0" fontId="95" fillId="10" borderId="23" xfId="0" applyFont="1" applyFill="1" applyBorder="1" applyAlignment="1">
      <alignment horizontal="left" vertical="center" wrapText="1"/>
    </xf>
    <xf numFmtId="49" fontId="95" fillId="10" borderId="19" xfId="0" applyNumberFormat="1" applyFont="1" applyFill="1" applyBorder="1" applyAlignment="1">
      <alignment horizontal="center" vertical="center"/>
    </xf>
    <xf numFmtId="0" fontId="95" fillId="10" borderId="63" xfId="0" applyFont="1" applyFill="1" applyBorder="1" applyAlignment="1">
      <alignment horizontal="left" vertical="center" wrapText="1"/>
    </xf>
    <xf numFmtId="164" fontId="95" fillId="10" borderId="23" xfId="0" applyNumberFormat="1" applyFont="1" applyFill="1" applyBorder="1" applyAlignment="1">
      <alignment horizontal="left" vertical="center" wrapText="1"/>
    </xf>
    <xf numFmtId="0" fontId="95" fillId="10" borderId="18" xfId="0" applyFont="1" applyFill="1" applyBorder="1" applyAlignment="1">
      <alignment horizontal="left" vertical="center" wrapText="1"/>
    </xf>
    <xf numFmtId="3" fontId="95" fillId="10" borderId="18" xfId="0" applyNumberFormat="1" applyFont="1" applyFill="1" applyBorder="1" applyAlignment="1">
      <alignment horizontal="left" vertical="center" wrapText="1"/>
    </xf>
    <xf numFmtId="0" fontId="95" fillId="10" borderId="36" xfId="0" applyFont="1" applyFill="1" applyBorder="1" applyAlignment="1" applyProtection="1">
      <alignment horizontal="left" vertical="center"/>
    </xf>
    <xf numFmtId="0" fontId="95" fillId="10" borderId="11" xfId="0" applyFont="1" applyFill="1" applyBorder="1" applyAlignment="1" applyProtection="1">
      <alignment horizontal="center" vertical="center"/>
    </xf>
    <xf numFmtId="0" fontId="95" fillId="10" borderId="32" xfId="0" applyFont="1" applyFill="1" applyBorder="1" applyAlignment="1" applyProtection="1">
      <alignment horizontal="left" vertical="center"/>
    </xf>
    <xf numFmtId="0" fontId="95" fillId="10" borderId="32" xfId="0" applyFont="1" applyFill="1" applyBorder="1" applyAlignment="1" applyProtection="1">
      <alignment horizontal="left" vertical="center" wrapText="1"/>
    </xf>
    <xf numFmtId="0" fontId="95" fillId="10" borderId="32" xfId="0" applyFont="1" applyFill="1" applyBorder="1" applyAlignment="1" applyProtection="1">
      <alignment horizontal="left" vertical="center" indent="1"/>
    </xf>
    <xf numFmtId="0" fontId="105" fillId="14" borderId="23" xfId="0" applyFont="1" applyFill="1" applyBorder="1" applyAlignment="1">
      <alignment horizontal="left" vertical="center"/>
    </xf>
    <xf numFmtId="0" fontId="105" fillId="14" borderId="14" xfId="0" applyFont="1" applyFill="1" applyBorder="1" applyAlignment="1">
      <alignment horizontal="left" vertical="center"/>
    </xf>
    <xf numFmtId="0" fontId="105" fillId="14" borderId="19" xfId="0" applyFont="1" applyFill="1" applyBorder="1" applyAlignment="1">
      <alignment horizontal="left" vertical="center"/>
    </xf>
    <xf numFmtId="0" fontId="89" fillId="15" borderId="8" xfId="0" applyFont="1" applyFill="1" applyBorder="1" applyAlignment="1" applyProtection="1">
      <alignment vertical="center"/>
    </xf>
    <xf numFmtId="0" fontId="95" fillId="0" borderId="146" xfId="0" applyFont="1" applyBorder="1" applyAlignment="1">
      <alignment horizontal="centerContinuous" vertical="center"/>
    </xf>
    <xf numFmtId="0" fontId="90" fillId="0" borderId="147" xfId="0" applyFont="1" applyBorder="1" applyAlignment="1">
      <alignment horizontal="centerContinuous" vertical="center"/>
    </xf>
    <xf numFmtId="0" fontId="96" fillId="0" borderId="147" xfId="0" applyFont="1" applyBorder="1" applyAlignment="1">
      <alignment horizontal="centerContinuous" vertical="center"/>
    </xf>
    <xf numFmtId="0" fontId="95" fillId="0" borderId="148" xfId="0" applyFont="1" applyBorder="1" applyAlignment="1">
      <alignment horizontal="center"/>
    </xf>
    <xf numFmtId="0" fontId="96" fillId="14" borderId="3" xfId="4" applyFont="1" applyFill="1" applyBorder="1" applyAlignment="1">
      <alignment horizontal="left" vertical="center"/>
    </xf>
    <xf numFmtId="0" fontId="96" fillId="14" borderId="4" xfId="4" applyFont="1" applyFill="1" applyBorder="1" applyAlignment="1">
      <alignment horizontal="left" vertical="center"/>
    </xf>
    <xf numFmtId="0" fontId="95" fillId="0" borderId="38" xfId="4" applyFont="1" applyFill="1" applyBorder="1" applyAlignment="1" applyProtection="1"/>
    <xf numFmtId="3" fontId="95" fillId="16" borderId="61" xfId="0" applyNumberFormat="1" applyFont="1" applyFill="1" applyBorder="1" applyAlignment="1">
      <alignment horizontal="left" vertical="center" wrapText="1" indent="1"/>
    </xf>
    <xf numFmtId="49" fontId="95" fillId="16" borderId="26" xfId="0" applyNumberFormat="1" applyFont="1" applyFill="1" applyBorder="1" applyAlignment="1">
      <alignment horizontal="center" vertical="center"/>
    </xf>
    <xf numFmtId="49" fontId="95" fillId="16" borderId="61" xfId="0" applyNumberFormat="1" applyFont="1" applyFill="1" applyBorder="1" applyAlignment="1">
      <alignment horizontal="center" vertical="center"/>
    </xf>
    <xf numFmtId="49" fontId="95" fillId="16" borderId="64" xfId="0" applyNumberFormat="1" applyFont="1" applyFill="1" applyBorder="1" applyAlignment="1">
      <alignment horizontal="center" vertical="center"/>
    </xf>
    <xf numFmtId="0" fontId="95" fillId="16" borderId="25" xfId="0" applyNumberFormat="1" applyFont="1" applyFill="1" applyBorder="1" applyAlignment="1">
      <alignment horizontal="center" vertical="center"/>
    </xf>
    <xf numFmtId="0" fontId="95" fillId="16" borderId="26" xfId="0" applyFont="1" applyFill="1" applyBorder="1" applyAlignment="1">
      <alignment horizontal="center" vertical="center"/>
    </xf>
    <xf numFmtId="3" fontId="95" fillId="16" borderId="26" xfId="0" applyNumberFormat="1" applyFont="1" applyFill="1" applyBorder="1" applyAlignment="1">
      <alignment horizontal="left" vertical="center" indent="1"/>
    </xf>
    <xf numFmtId="0" fontId="95" fillId="16" borderId="26" xfId="0" applyFont="1" applyFill="1" applyBorder="1" applyAlignment="1">
      <alignment horizontal="center" vertical="top"/>
    </xf>
    <xf numFmtId="0" fontId="96" fillId="16" borderId="64" xfId="0" applyFont="1" applyFill="1" applyBorder="1" applyAlignment="1">
      <alignment horizontal="left" vertical="center" indent="1"/>
    </xf>
    <xf numFmtId="3" fontId="95" fillId="16" borderId="44" xfId="0" applyNumberFormat="1" applyFont="1" applyFill="1" applyBorder="1" applyAlignment="1">
      <alignment horizontal="left" vertical="center" wrapText="1" indent="1"/>
    </xf>
    <xf numFmtId="49" fontId="95" fillId="16" borderId="25" xfId="0" applyNumberFormat="1" applyFont="1" applyFill="1" applyBorder="1" applyAlignment="1">
      <alignment horizontal="center" vertical="center"/>
    </xf>
    <xf numFmtId="3" fontId="95" fillId="16" borderId="44" xfId="0" applyNumberFormat="1" applyFont="1" applyFill="1" applyBorder="1" applyAlignment="1">
      <alignment horizontal="left" vertical="top" wrapText="1" indent="1"/>
    </xf>
    <xf numFmtId="49" fontId="94" fillId="16" borderId="65" xfId="0" applyNumberFormat="1" applyFont="1" applyFill="1" applyBorder="1" applyAlignment="1">
      <alignment horizontal="center" vertical="top"/>
    </xf>
    <xf numFmtId="3" fontId="95" fillId="16" borderId="26" xfId="0" applyNumberFormat="1" applyFont="1" applyFill="1" applyBorder="1" applyAlignment="1">
      <alignment horizontal="left" vertical="center" wrapText="1" indent="1"/>
    </xf>
    <xf numFmtId="3" fontId="95" fillId="16" borderId="61" xfId="0" applyNumberFormat="1" applyFont="1" applyFill="1" applyBorder="1" applyAlignment="1">
      <alignment horizontal="left" vertical="top" wrapText="1" indent="1"/>
    </xf>
    <xf numFmtId="0" fontId="94" fillId="16" borderId="64" xfId="0" applyFont="1" applyFill="1" applyBorder="1" applyAlignment="1">
      <alignment vertical="top"/>
    </xf>
    <xf numFmtId="3" fontId="95" fillId="16" borderId="61" xfId="0" applyNumberFormat="1" applyFont="1" applyFill="1" applyBorder="1" applyAlignment="1">
      <alignment horizontal="left" vertical="center" indent="1"/>
    </xf>
    <xf numFmtId="0" fontId="95" fillId="16" borderId="64" xfId="0" applyFont="1" applyFill="1" applyBorder="1" applyAlignment="1">
      <alignment horizontal="center" vertical="center"/>
    </xf>
    <xf numFmtId="0" fontId="95" fillId="16" borderId="26" xfId="0" applyFont="1" applyFill="1" applyBorder="1" applyAlignment="1">
      <alignment horizontal="center" vertical="center" wrapText="1"/>
    </xf>
    <xf numFmtId="49" fontId="95" fillId="16" borderId="26" xfId="0" applyNumberFormat="1" applyFont="1" applyFill="1" applyBorder="1" applyAlignment="1">
      <alignment horizontal="center" vertical="top" wrapText="1"/>
    </xf>
    <xf numFmtId="3" fontId="95" fillId="16" borderId="61" xfId="0" applyNumberFormat="1" applyFont="1" applyFill="1" applyBorder="1" applyAlignment="1">
      <alignment horizontal="left" vertical="top" indent="1"/>
    </xf>
    <xf numFmtId="0" fontId="95" fillId="16" borderId="61" xfId="0" applyFont="1" applyFill="1" applyBorder="1" applyAlignment="1">
      <alignment horizontal="left" vertical="center" wrapText="1" indent="1"/>
    </xf>
    <xf numFmtId="49" fontId="94" fillId="16" borderId="65" xfId="0" applyNumberFormat="1" applyFont="1" applyFill="1" applyBorder="1" applyAlignment="1">
      <alignment horizontal="center" vertical="center"/>
    </xf>
    <xf numFmtId="0" fontId="94"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center" wrapText="1" indent="1"/>
    </xf>
    <xf numFmtId="0" fontId="94" fillId="16" borderId="64" xfId="0" applyFont="1" applyFill="1" applyBorder="1" applyAlignment="1" applyProtection="1">
      <alignment horizontal="left" vertical="center"/>
    </xf>
    <xf numFmtId="0" fontId="95" fillId="16" borderId="66" xfId="0" applyFont="1" applyFill="1" applyBorder="1" applyAlignment="1" applyProtection="1">
      <alignment horizontal="left" vertical="center" indent="1"/>
    </xf>
    <xf numFmtId="0" fontId="94" fillId="16" borderId="64" xfId="0" applyFont="1" applyFill="1" applyBorder="1" applyAlignment="1" applyProtection="1">
      <alignment horizontal="center" vertical="center"/>
    </xf>
    <xf numFmtId="0" fontId="94" fillId="16" borderId="64" xfId="0" applyFont="1" applyFill="1" applyBorder="1" applyAlignment="1" applyProtection="1">
      <alignment horizontal="left" vertical="center" indent="2"/>
    </xf>
    <xf numFmtId="0" fontId="95" fillId="16" borderId="60" xfId="0" applyFont="1" applyFill="1" applyBorder="1" applyAlignment="1" applyProtection="1">
      <alignment horizontal="left" vertical="top" wrapText="1" indent="1"/>
    </xf>
    <xf numFmtId="49" fontId="95" fillId="16" borderId="22" xfId="0" applyNumberFormat="1" applyFont="1" applyFill="1" applyBorder="1" applyAlignment="1">
      <alignment horizontal="center" vertical="center"/>
    </xf>
    <xf numFmtId="49" fontId="95" fillId="16" borderId="66" xfId="0" applyNumberFormat="1" applyFont="1" applyFill="1" applyBorder="1" applyAlignment="1" applyProtection="1">
      <alignment horizontal="left" vertical="top" indent="1"/>
    </xf>
    <xf numFmtId="49" fontId="95" fillId="16" borderId="26" xfId="0" applyNumberFormat="1" applyFont="1" applyFill="1" applyBorder="1" applyAlignment="1">
      <alignment horizontal="center" vertical="top"/>
    </xf>
    <xf numFmtId="49" fontId="94" fillId="16" borderId="64" xfId="0" applyNumberFormat="1" applyFont="1" applyFill="1" applyBorder="1" applyAlignment="1" applyProtection="1">
      <alignment horizontal="center" vertical="center"/>
    </xf>
    <xf numFmtId="1" fontId="94" fillId="16" borderId="64" xfId="0" applyNumberFormat="1" applyFont="1" applyFill="1" applyBorder="1" applyAlignment="1" applyProtection="1">
      <alignment horizontal="center" vertical="center"/>
    </xf>
    <xf numFmtId="0" fontId="95" fillId="16" borderId="66" xfId="0" applyFont="1" applyFill="1" applyBorder="1" applyAlignment="1" applyProtection="1">
      <alignment horizontal="left" indent="1"/>
    </xf>
    <xf numFmtId="0" fontId="94" fillId="16" borderId="64" xfId="0" applyFont="1" applyFill="1" applyBorder="1" applyAlignment="1" applyProtection="1">
      <alignment horizontal="center"/>
    </xf>
    <xf numFmtId="0" fontId="95" fillId="16" borderId="61" xfId="0" applyFont="1" applyFill="1" applyBorder="1" applyAlignment="1" applyProtection="1">
      <alignment horizontal="left" vertical="center" indent="1"/>
    </xf>
    <xf numFmtId="0" fontId="94" fillId="16" borderId="26" xfId="0" applyFont="1" applyFill="1" applyBorder="1" applyAlignment="1" applyProtection="1">
      <alignment horizontal="center" vertical="center"/>
    </xf>
    <xf numFmtId="0" fontId="95" fillId="16" borderId="64" xfId="0" applyFont="1" applyFill="1" applyBorder="1" applyAlignment="1">
      <alignment vertical="center"/>
    </xf>
    <xf numFmtId="49" fontId="95" fillId="16" borderId="22" xfId="0" applyNumberFormat="1" applyFont="1" applyFill="1" applyBorder="1" applyAlignment="1" applyProtection="1">
      <alignment horizontal="left" vertical="center" wrapText="1" indent="1"/>
    </xf>
    <xf numFmtId="49" fontId="95" fillId="16" borderId="67" xfId="0" applyNumberFormat="1" applyFont="1" applyFill="1" applyBorder="1" applyAlignment="1">
      <alignment horizontal="center" vertical="center"/>
    </xf>
    <xf numFmtId="0" fontId="95" fillId="16" borderId="60" xfId="0" applyFont="1" applyFill="1" applyBorder="1" applyAlignment="1" applyProtection="1">
      <alignment horizontal="left" wrapText="1" indent="1"/>
    </xf>
    <xf numFmtId="0" fontId="94" fillId="16" borderId="67" xfId="0" applyFont="1" applyFill="1" applyBorder="1" applyAlignment="1" applyProtection="1">
      <alignment horizontal="left" indent="2"/>
    </xf>
    <xf numFmtId="176" fontId="96" fillId="16" borderId="2" xfId="0" applyNumberFormat="1" applyFont="1" applyFill="1" applyBorder="1" applyAlignment="1" applyProtection="1">
      <alignment vertical="center"/>
    </xf>
    <xf numFmtId="37" fontId="96" fillId="16" borderId="23" xfId="12" applyNumberFormat="1" applyFont="1" applyFill="1" applyBorder="1" applyAlignment="1" applyProtection="1">
      <alignment horizontal="right"/>
    </xf>
    <xf numFmtId="0" fontId="95" fillId="16" borderId="66" xfId="0" applyFont="1" applyFill="1" applyBorder="1" applyAlignment="1" applyProtection="1">
      <alignment horizontal="left" vertical="center" indent="2"/>
    </xf>
    <xf numFmtId="0" fontId="95" fillId="16" borderId="6" xfId="0" applyFont="1" applyFill="1" applyBorder="1" applyAlignment="1" applyProtection="1">
      <alignment horizontal="left" vertical="center" indent="2"/>
    </xf>
    <xf numFmtId="0" fontId="95" fillId="16" borderId="19" xfId="0" applyFont="1" applyFill="1" applyBorder="1" applyAlignment="1" applyProtection="1">
      <alignment horizontal="center" vertical="center"/>
    </xf>
    <xf numFmtId="0" fontId="95" fillId="16" borderId="64" xfId="0" applyFont="1" applyFill="1" applyBorder="1" applyAlignment="1" applyProtection="1">
      <alignment horizontal="center" vertical="center"/>
    </xf>
    <xf numFmtId="0" fontId="104" fillId="16" borderId="6" xfId="0" applyFont="1" applyFill="1" applyBorder="1" applyAlignment="1" applyProtection="1">
      <alignment horizontal="left" vertical="center" indent="1"/>
    </xf>
    <xf numFmtId="0" fontId="94" fillId="16" borderId="18" xfId="0" applyFont="1" applyFill="1" applyBorder="1" applyAlignment="1" applyProtection="1">
      <alignment horizontal="center"/>
    </xf>
    <xf numFmtId="0" fontId="95" fillId="16" borderId="26" xfId="0" applyFont="1" applyFill="1" applyBorder="1" applyAlignment="1">
      <alignment horizontal="left" vertical="center" wrapText="1" indent="1"/>
    </xf>
    <xf numFmtId="49" fontId="94" fillId="16" borderId="68" xfId="0" applyNumberFormat="1" applyFont="1" applyFill="1" applyBorder="1" applyAlignment="1" applyProtection="1">
      <alignment horizontal="center" vertical="center"/>
    </xf>
    <xf numFmtId="49" fontId="94" fillId="16" borderId="29" xfId="0" applyNumberFormat="1" applyFont="1" applyFill="1" applyBorder="1" applyAlignment="1" applyProtection="1">
      <alignment horizontal="center" vertical="center"/>
    </xf>
    <xf numFmtId="38" fontId="90" fillId="16" borderId="68" xfId="0" applyNumberFormat="1" applyFont="1" applyFill="1" applyBorder="1" applyAlignment="1" applyProtection="1">
      <alignment horizontal="right" vertical="center"/>
    </xf>
    <xf numFmtId="49" fontId="94" fillId="16" borderId="29" xfId="0" applyNumberFormat="1" applyFont="1" applyFill="1" applyBorder="1" applyAlignment="1" applyProtection="1">
      <alignment horizontal="left" vertical="center" indent="2"/>
    </xf>
    <xf numFmtId="0" fontId="96" fillId="16" borderId="29" xfId="0" applyFont="1" applyFill="1" applyBorder="1" applyAlignment="1">
      <alignment horizontal="left" indent="2"/>
    </xf>
    <xf numFmtId="0" fontId="95" fillId="16" borderId="69" xfId="0" applyFont="1" applyFill="1" applyBorder="1" applyAlignment="1" applyProtection="1">
      <alignment horizontal="left" vertical="center" indent="2"/>
    </xf>
    <xf numFmtId="0" fontId="95" fillId="16" borderId="68" xfId="0" applyFont="1" applyFill="1" applyBorder="1" applyAlignment="1" applyProtection="1">
      <alignment horizontal="center" vertical="center"/>
    </xf>
    <xf numFmtId="0" fontId="95" fillId="16" borderId="68" xfId="0" applyFont="1" applyFill="1" applyBorder="1" applyAlignment="1" applyProtection="1">
      <alignment horizontal="left" vertical="center" indent="1"/>
    </xf>
    <xf numFmtId="0" fontId="96" fillId="16" borderId="68" xfId="0" applyFont="1" applyFill="1" applyBorder="1" applyAlignment="1" applyProtection="1">
      <alignment vertical="center"/>
    </xf>
    <xf numFmtId="38" fontId="90" fillId="16" borderId="11" xfId="0" applyNumberFormat="1" applyFont="1" applyFill="1" applyBorder="1" applyAlignment="1" applyProtection="1">
      <alignment horizontal="right" vertical="center"/>
    </xf>
    <xf numFmtId="0" fontId="94" fillId="16" borderId="0" xfId="17" applyFont="1" applyFill="1" applyAlignment="1">
      <alignment vertical="center"/>
    </xf>
    <xf numFmtId="0" fontId="94" fillId="16" borderId="0" xfId="17" applyFont="1" applyFill="1" applyAlignment="1">
      <alignment horizontal="center" vertical="center"/>
    </xf>
    <xf numFmtId="0" fontId="94" fillId="16" borderId="0" xfId="17" applyFont="1" applyFill="1" applyAlignment="1">
      <alignment horizontal="right" vertical="center"/>
    </xf>
    <xf numFmtId="0" fontId="95" fillId="16" borderId="0" xfId="17" applyFont="1" applyFill="1" applyAlignment="1">
      <alignment horizontal="right" vertical="center" indent="3"/>
    </xf>
    <xf numFmtId="0" fontId="94" fillId="16" borderId="0" xfId="17" applyFont="1" applyFill="1" applyBorder="1" applyAlignment="1">
      <alignment horizontal="right" vertical="center"/>
    </xf>
    <xf numFmtId="0" fontId="94" fillId="16" borderId="0" xfId="17" applyFont="1" applyFill="1" applyAlignment="1">
      <alignment horizontal="left" vertical="center"/>
    </xf>
    <xf numFmtId="0" fontId="95" fillId="16" borderId="0" xfId="17" applyFont="1" applyFill="1" applyAlignment="1">
      <alignment horizontal="right" vertical="center"/>
    </xf>
    <xf numFmtId="0" fontId="94" fillId="16" borderId="0" xfId="17" quotePrefix="1" applyFont="1" applyFill="1" applyAlignment="1">
      <alignment horizontal="left" vertical="center"/>
    </xf>
    <xf numFmtId="0" fontId="94" fillId="16" borderId="0" xfId="18" quotePrefix="1" applyFont="1" applyFill="1" applyAlignment="1">
      <alignment horizontal="left" vertical="center"/>
    </xf>
    <xf numFmtId="0" fontId="95" fillId="16" borderId="0" xfId="17" quotePrefix="1" applyFont="1" applyFill="1" applyAlignment="1">
      <alignment horizontal="left" vertical="center"/>
    </xf>
    <xf numFmtId="0" fontId="94" fillId="16" borderId="0" xfId="18" applyFont="1" applyFill="1" applyAlignment="1">
      <alignment horizontal="left" vertical="center"/>
    </xf>
    <xf numFmtId="0" fontId="94" fillId="16" borderId="0" xfId="18" applyFont="1" applyFill="1" applyAlignment="1">
      <alignment horizontal="right" vertical="center"/>
    </xf>
    <xf numFmtId="0" fontId="95" fillId="16" borderId="0" xfId="18" applyFont="1" applyFill="1" applyAlignment="1">
      <alignment horizontal="right" vertical="center"/>
    </xf>
    <xf numFmtId="0" fontId="94" fillId="16" borderId="0" xfId="18" applyFont="1" applyFill="1" applyBorder="1" applyAlignment="1">
      <alignment horizontal="right" vertical="center"/>
    </xf>
    <xf numFmtId="0" fontId="94" fillId="16" borderId="0" xfId="18" applyFont="1" applyFill="1" applyAlignment="1">
      <alignment vertical="center"/>
    </xf>
    <xf numFmtId="0" fontId="94" fillId="16" borderId="0" xfId="0" applyFont="1" applyFill="1" applyBorder="1" applyAlignment="1">
      <alignment horizontal="right"/>
    </xf>
    <xf numFmtId="0" fontId="90" fillId="16" borderId="23" xfId="0" applyFont="1" applyFill="1" applyBorder="1" applyAlignment="1">
      <alignment horizontal="right"/>
    </xf>
    <xf numFmtId="0" fontId="95" fillId="15" borderId="7" xfId="0" applyFont="1" applyFill="1" applyBorder="1" applyAlignment="1">
      <alignment horizontal="left" vertical="center" wrapText="1"/>
    </xf>
    <xf numFmtId="49" fontId="95" fillId="15" borderId="24" xfId="0" applyNumberFormat="1" applyFont="1" applyFill="1" applyBorder="1" applyAlignment="1">
      <alignment horizontal="center" vertical="center"/>
    </xf>
    <xf numFmtId="0" fontId="95" fillId="0" borderId="23" xfId="0" applyFont="1" applyFill="1" applyBorder="1" applyAlignment="1">
      <alignment horizontal="left" vertical="center" wrapText="1"/>
    </xf>
    <xf numFmtId="49" fontId="95" fillId="0" borderId="2" xfId="0" applyNumberFormat="1" applyFont="1" applyFill="1" applyBorder="1" applyAlignment="1">
      <alignment horizontal="center" vertical="center"/>
    </xf>
    <xf numFmtId="0" fontId="95" fillId="16" borderId="23" xfId="0" applyFont="1" applyFill="1" applyBorder="1" applyAlignment="1">
      <alignment horizontal="left" vertical="center" wrapText="1"/>
    </xf>
    <xf numFmtId="49" fontId="95" fillId="16" borderId="2" xfId="0" applyNumberFormat="1" applyFont="1" applyFill="1" applyBorder="1" applyAlignment="1">
      <alignment horizontal="center" vertical="center"/>
    </xf>
    <xf numFmtId="3" fontId="94" fillId="0" borderId="23" xfId="0" applyNumberFormat="1"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3" xfId="0" applyFont="1" applyFill="1" applyBorder="1" applyAlignment="1">
      <alignment horizontal="left" vertical="center" wrapText="1" indent="1"/>
    </xf>
    <xf numFmtId="3" fontId="94"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6" fillId="0" borderId="0" xfId="0" applyNumberFormat="1" applyFont="1" applyBorder="1" applyAlignment="1" applyProtection="1">
      <alignment vertical="center"/>
      <protection locked="0"/>
    </xf>
    <xf numFmtId="0" fontId="104" fillId="0" borderId="0" xfId="4" applyFont="1" applyBorder="1" applyAlignment="1" applyProtection="1">
      <alignment horizontal="center" vertical="top"/>
    </xf>
    <xf numFmtId="0" fontId="96" fillId="0" borderId="149" xfId="4" applyFont="1" applyBorder="1" applyProtection="1"/>
    <xf numFmtId="49" fontId="94" fillId="0" borderId="19" xfId="0" applyNumberFormat="1" applyFont="1" applyFill="1" applyBorder="1" applyAlignment="1" applyProtection="1">
      <alignment horizontal="center" vertical="center"/>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139" fillId="0" borderId="0" xfId="7" applyFont="1"/>
    <xf numFmtId="0" fontId="140" fillId="14" borderId="0" xfId="7" applyFont="1" applyFill="1" applyAlignment="1">
      <alignment horizontal="centerContinuous" vertical="center"/>
    </xf>
    <xf numFmtId="0" fontId="139" fillId="14" borderId="0" xfId="7" applyFont="1" applyFill="1" applyAlignment="1">
      <alignment horizontal="centerContinuous"/>
    </xf>
    <xf numFmtId="0" fontId="118" fillId="0" borderId="150" xfId="7" applyFont="1" applyFill="1" applyBorder="1" applyAlignment="1">
      <alignment horizontal="center" vertical="top" wrapText="1"/>
    </xf>
    <xf numFmtId="0" fontId="118" fillId="0" borderId="0" xfId="7" applyFont="1" applyFill="1" applyBorder="1" applyAlignment="1">
      <alignment horizontal="center" vertical="top" wrapText="1"/>
    </xf>
    <xf numFmtId="0" fontId="84" fillId="0" borderId="0" xfId="7" applyFont="1" applyAlignment="1">
      <alignment wrapText="1"/>
    </xf>
    <xf numFmtId="0" fontId="141" fillId="0" borderId="70" xfId="7" applyFont="1" applyFill="1" applyBorder="1" applyAlignment="1" applyProtection="1">
      <alignment horizontal="center" vertical="center"/>
      <protection locked="0"/>
    </xf>
    <xf numFmtId="0" fontId="142" fillId="0" borderId="0" xfId="7" applyNumberFormat="1" applyFont="1"/>
    <xf numFmtId="0" fontId="143" fillId="0" borderId="151" xfId="7" applyFont="1" applyBorder="1" applyAlignment="1">
      <alignment horizontal="left" vertical="center" wrapText="1"/>
    </xf>
    <xf numFmtId="0" fontId="143" fillId="0" borderId="152" xfId="7" applyFont="1" applyBorder="1" applyAlignment="1">
      <alignment horizontal="left" vertical="center" wrapText="1"/>
    </xf>
    <xf numFmtId="49" fontId="144" fillId="0" borderId="153" xfId="7" applyNumberFormat="1" applyFont="1" applyBorder="1" applyAlignment="1" applyProtection="1">
      <alignment horizontal="center" vertical="center"/>
      <protection locked="0"/>
    </xf>
    <xf numFmtId="0" fontId="144" fillId="0" borderId="153" xfId="7" applyFont="1" applyFill="1" applyBorder="1" applyAlignment="1" applyProtection="1">
      <alignment horizontal="center" vertical="center" wrapText="1"/>
      <protection locked="0"/>
    </xf>
    <xf numFmtId="0" fontId="139" fillId="0" borderId="153" xfId="7" applyFont="1" applyFill="1" applyBorder="1"/>
    <xf numFmtId="0" fontId="145" fillId="0" borderId="146" xfId="7" applyFont="1" applyBorder="1" applyAlignment="1">
      <alignment horizontal="left" vertical="center" wrapText="1"/>
    </xf>
    <xf numFmtId="0" fontId="145" fillId="0" borderId="147" xfId="7" applyFont="1" applyBorder="1" applyAlignment="1">
      <alignment horizontal="left" vertical="center" wrapText="1"/>
    </xf>
    <xf numFmtId="49" fontId="145" fillId="10" borderId="153" xfId="7" applyNumberFormat="1" applyFont="1" applyFill="1" applyBorder="1" applyAlignment="1">
      <alignment horizontal="center" vertical="center"/>
    </xf>
    <xf numFmtId="0" fontId="143" fillId="0" borderId="151" xfId="7" applyFont="1" applyFill="1" applyBorder="1" applyAlignment="1">
      <alignment horizontal="left" vertical="center" wrapText="1"/>
    </xf>
    <xf numFmtId="0" fontId="143" fillId="0" borderId="145" xfId="7" applyFont="1" applyFill="1" applyBorder="1" applyAlignment="1">
      <alignment horizontal="left" vertical="center" wrapText="1"/>
    </xf>
    <xf numFmtId="49" fontId="146" fillId="0" borderId="148" xfId="7" applyNumberFormat="1" applyFont="1" applyBorder="1" applyAlignment="1" applyProtection="1">
      <alignment horizontal="center" vertical="center"/>
      <protection locked="0"/>
    </xf>
    <xf numFmtId="49" fontId="146" fillId="0" borderId="154" xfId="7" applyNumberFormat="1" applyFont="1" applyFill="1" applyBorder="1" applyAlignment="1" applyProtection="1">
      <alignment horizontal="center" vertical="center"/>
      <protection locked="0"/>
    </xf>
    <xf numFmtId="0" fontId="139" fillId="0" borderId="148" xfId="7" applyFont="1" applyBorder="1" applyProtection="1">
      <protection locked="0"/>
    </xf>
    <xf numFmtId="49" fontId="146" fillId="0" borderId="151" xfId="7" applyNumberFormat="1" applyFont="1" applyFill="1" applyBorder="1" applyAlignment="1" applyProtection="1">
      <alignment horizontal="center" vertical="center"/>
      <protection locked="0"/>
    </xf>
    <xf numFmtId="0" fontId="84" fillId="0" borderId="0" xfId="7" applyFont="1"/>
    <xf numFmtId="0" fontId="147" fillId="0" borderId="71" xfId="7" applyFont="1" applyBorder="1" applyAlignment="1">
      <alignment vertical="top"/>
    </xf>
    <xf numFmtId="0" fontId="147" fillId="0" borderId="72" xfId="7" applyFont="1" applyBorder="1" applyAlignment="1">
      <alignment vertical="top"/>
    </xf>
    <xf numFmtId="0" fontId="109" fillId="15" borderId="51" xfId="7" applyFont="1" applyFill="1" applyBorder="1" applyAlignment="1">
      <alignment vertical="top"/>
    </xf>
    <xf numFmtId="0" fontId="147" fillId="0" borderId="71" xfId="7" applyFont="1" applyBorder="1" applyAlignment="1">
      <alignment vertical="top" wrapText="1"/>
    </xf>
    <xf numFmtId="0" fontId="147" fillId="0" borderId="72"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5" fillId="0" borderId="0" xfId="7" applyFont="1"/>
    <xf numFmtId="0" fontId="105" fillId="17" borderId="32" xfId="0" applyFont="1" applyFill="1" applyBorder="1" applyAlignment="1" applyProtection="1">
      <alignment horizontal="left" vertical="center"/>
    </xf>
    <xf numFmtId="0" fontId="95" fillId="17" borderId="33" xfId="0" applyFont="1" applyFill="1" applyBorder="1" applyAlignment="1" applyProtection="1">
      <alignment horizontal="left" vertical="center"/>
    </xf>
    <xf numFmtId="0" fontId="94" fillId="17" borderId="29" xfId="0" applyFont="1" applyFill="1" applyBorder="1" applyAlignment="1" applyProtection="1">
      <alignment horizontal="left" vertical="center" indent="2"/>
    </xf>
    <xf numFmtId="0" fontId="105" fillId="17" borderId="2" xfId="0" applyFont="1" applyFill="1" applyBorder="1" applyAlignment="1">
      <alignment horizontal="center" vertical="center"/>
    </xf>
    <xf numFmtId="0" fontId="139" fillId="14" borderId="0" xfId="7" applyFont="1" applyFill="1" applyAlignment="1">
      <alignment horizontal="centerContinuous" vertical="center"/>
    </xf>
    <xf numFmtId="0" fontId="145" fillId="14" borderId="155" xfId="7" applyFont="1" applyFill="1" applyBorder="1" applyAlignment="1">
      <alignment horizontal="center" vertical="center" wrapText="1"/>
    </xf>
    <xf numFmtId="0" fontId="145" fillId="14" borderId="156" xfId="7" applyFont="1" applyFill="1" applyBorder="1" applyAlignment="1">
      <alignment horizontal="center" vertical="center" wrapText="1"/>
    </xf>
    <xf numFmtId="0" fontId="145" fillId="10" borderId="157" xfId="7" applyFont="1" applyFill="1" applyBorder="1" applyAlignment="1">
      <alignment horizontal="center" vertical="center" wrapText="1"/>
    </xf>
    <xf numFmtId="49" fontId="145" fillId="10" borderId="151" xfId="7" applyNumberFormat="1" applyFont="1" applyFill="1" applyBorder="1" applyAlignment="1">
      <alignment horizontal="center" vertical="center" wrapText="1"/>
    </xf>
    <xf numFmtId="0" fontId="109" fillId="10" borderId="158" xfId="7" applyFont="1" applyFill="1" applyBorder="1" applyAlignment="1">
      <alignment horizontal="center"/>
    </xf>
    <xf numFmtId="0" fontId="148" fillId="0" borderId="157" xfId="7" applyFont="1" applyFill="1" applyBorder="1" applyAlignment="1" applyProtection="1">
      <alignment horizontal="right"/>
    </xf>
    <xf numFmtId="0" fontId="90" fillId="17" borderId="73" xfId="0" applyFont="1" applyFill="1" applyBorder="1"/>
    <xf numFmtId="0" fontId="90" fillId="17" borderId="74" xfId="0" applyFont="1" applyFill="1" applyBorder="1" applyAlignment="1">
      <alignment horizontal="left" vertical="top"/>
    </xf>
    <xf numFmtId="0" fontId="90" fillId="17" borderId="74" xfId="0" applyFont="1" applyFill="1" applyBorder="1" applyAlignment="1">
      <alignment vertical="top" wrapText="1"/>
    </xf>
    <xf numFmtId="0" fontId="95" fillId="17" borderId="75" xfId="0" applyFont="1" applyFill="1" applyBorder="1" applyAlignment="1">
      <alignment vertical="top"/>
    </xf>
    <xf numFmtId="6" fontId="90" fillId="0" borderId="15" xfId="4" applyNumberFormat="1" applyFont="1" applyBorder="1" applyAlignment="1" applyProtection="1">
      <alignment horizontal="center"/>
      <protection locked="0"/>
    </xf>
    <xf numFmtId="0" fontId="96" fillId="0" borderId="0" xfId="4" applyFont="1" applyFill="1" applyBorder="1" applyAlignment="1" applyProtection="1">
      <alignment horizontal="center" vertical="center"/>
    </xf>
    <xf numFmtId="3" fontId="90" fillId="0" borderId="0" xfId="4" applyNumberFormat="1" applyFont="1" applyBorder="1" applyAlignment="1" applyProtection="1">
      <alignment horizontal="right" indent="1"/>
    </xf>
    <xf numFmtId="5" fontId="90" fillId="0" borderId="0" xfId="4" applyNumberFormat="1" applyFont="1" applyBorder="1" applyAlignment="1" applyProtection="1"/>
    <xf numFmtId="5" fontId="90" fillId="0" borderId="0" xfId="4" applyNumberFormat="1" applyFont="1" applyBorder="1" applyAlignment="1" applyProtection="1">
      <alignment horizontal="center"/>
    </xf>
    <xf numFmtId="0" fontId="95" fillId="0" borderId="0" xfId="18" quotePrefix="1" applyFont="1" applyAlignment="1">
      <alignment horizontal="left" vertical="top"/>
    </xf>
    <xf numFmtId="0" fontId="95" fillId="0" borderId="0" xfId="18" applyFont="1" applyAlignment="1">
      <alignment horizontal="left" vertical="top"/>
    </xf>
    <xf numFmtId="0" fontId="95" fillId="0" borderId="0" xfId="18" applyFont="1" applyAlignment="1">
      <alignment horizontal="center" vertical="top"/>
    </xf>
    <xf numFmtId="0" fontId="95" fillId="0" borderId="0" xfId="18" applyFont="1" applyAlignment="1">
      <alignment horizontal="left" vertical="top" wrapText="1"/>
    </xf>
    <xf numFmtId="0" fontId="95" fillId="0" borderId="0" xfId="17" applyFont="1" applyAlignment="1">
      <alignment vertical="center"/>
    </xf>
    <xf numFmtId="0" fontId="95" fillId="0" borderId="0" xfId="18" applyFont="1" applyAlignment="1">
      <alignment vertical="center"/>
    </xf>
    <xf numFmtId="0" fontId="117" fillId="0" borderId="0" xfId="2" applyFont="1" applyAlignment="1" applyProtection="1">
      <alignment horizontal="right" vertical="center"/>
    </xf>
    <xf numFmtId="0" fontId="25" fillId="0" borderId="0" xfId="2" applyAlignment="1" applyProtection="1">
      <alignment vertical="center"/>
    </xf>
    <xf numFmtId="0" fontId="95" fillId="10" borderId="14" xfId="0" applyFont="1" applyFill="1" applyBorder="1" applyAlignment="1" applyProtection="1">
      <alignment vertical="center"/>
    </xf>
    <xf numFmtId="0" fontId="95" fillId="10" borderId="2" xfId="0" applyFont="1" applyFill="1" applyBorder="1" applyAlignment="1" applyProtection="1">
      <alignment vertical="center"/>
    </xf>
    <xf numFmtId="0" fontId="94" fillId="0" borderId="14" xfId="0" applyFont="1" applyBorder="1" applyAlignment="1" applyProtection="1">
      <alignment horizontal="left" vertical="center" indent="1"/>
    </xf>
    <xf numFmtId="0" fontId="74" fillId="0" borderId="14" xfId="0" applyFont="1" applyBorder="1" applyAlignment="1" applyProtection="1">
      <alignment horizontal="left" vertical="center" indent="1"/>
    </xf>
    <xf numFmtId="0" fontId="96" fillId="0" borderId="57" xfId="4" applyNumberFormat="1" applyFont="1" applyBorder="1" applyAlignment="1" applyProtection="1">
      <alignment horizontal="center"/>
      <protection locked="0"/>
    </xf>
    <xf numFmtId="0" fontId="81" fillId="12" borderId="0" xfId="0" applyFont="1" applyFill="1" applyAlignment="1">
      <alignment horizontal="center"/>
    </xf>
    <xf numFmtId="0" fontId="82" fillId="0" borderId="0" xfId="0" applyFont="1" applyAlignment="1">
      <alignment horizontal="center"/>
    </xf>
    <xf numFmtId="41" fontId="109" fillId="18" borderId="136" xfId="0" applyNumberFormat="1" applyFont="1" applyFill="1" applyBorder="1" applyAlignment="1" applyProtection="1">
      <alignment horizontal="right" shrinkToFit="1"/>
      <protection locked="0"/>
    </xf>
    <xf numFmtId="41" fontId="109" fillId="11" borderId="138" xfId="0" applyNumberFormat="1" applyFont="1" applyFill="1" applyBorder="1" applyAlignment="1">
      <alignment horizontal="right" shrinkToFit="1"/>
    </xf>
    <xf numFmtId="38" fontId="96" fillId="16" borderId="2" xfId="0" applyNumberFormat="1" applyFont="1" applyFill="1" applyBorder="1" applyAlignment="1" applyProtection="1">
      <alignment horizontal="right" vertical="center" shrinkToFit="1"/>
    </xf>
    <xf numFmtId="0" fontId="90" fillId="0" borderId="0" xfId="0" applyFont="1" applyBorder="1" applyAlignment="1" applyProtection="1">
      <alignment horizontal="center" vertical="center" shrinkToFit="1"/>
    </xf>
    <xf numFmtId="0" fontId="90" fillId="0" borderId="0" xfId="0" applyFont="1" applyBorder="1" applyAlignment="1" applyProtection="1">
      <alignment vertical="center" shrinkToFit="1"/>
    </xf>
    <xf numFmtId="38" fontId="96" fillId="16" borderId="2" xfId="0" applyNumberFormat="1" applyFont="1" applyFill="1" applyBorder="1" applyAlignment="1" applyProtection="1">
      <alignment vertical="center" shrinkToFit="1"/>
    </xf>
    <xf numFmtId="41" fontId="96" fillId="0" borderId="2" xfId="0" applyNumberFormat="1" applyFont="1" applyBorder="1" applyAlignment="1" applyProtection="1">
      <alignment vertical="center" shrinkToFit="1"/>
      <protection locked="0"/>
    </xf>
    <xf numFmtId="40" fontId="94" fillId="0" borderId="0" xfId="0" applyNumberFormat="1" applyFont="1" applyBorder="1" applyAlignment="1" applyProtection="1">
      <alignment horizontal="right" shrinkToFit="1"/>
    </xf>
    <xf numFmtId="0" fontId="90" fillId="0" borderId="0" xfId="0" applyFont="1" applyBorder="1" applyAlignment="1" applyProtection="1">
      <alignment horizontal="right" shrinkToFit="1"/>
    </xf>
    <xf numFmtId="0" fontId="89" fillId="0" borderId="0" xfId="0" applyFont="1" applyBorder="1" applyAlignment="1" applyProtection="1">
      <alignment horizontal="center" shrinkToFit="1"/>
    </xf>
    <xf numFmtId="37" fontId="94" fillId="0" borderId="0" xfId="0" applyNumberFormat="1" applyFont="1" applyBorder="1" applyAlignment="1" applyProtection="1">
      <alignment horizontal="right" shrinkToFit="1"/>
    </xf>
    <xf numFmtId="40" fontId="94" fillId="0" borderId="0" xfId="0" applyNumberFormat="1" applyFont="1" applyFill="1" applyBorder="1" applyAlignment="1" applyProtection="1">
      <alignment horizontal="right" shrinkToFit="1"/>
    </xf>
    <xf numFmtId="40" fontId="94" fillId="0" borderId="0" xfId="0" applyNumberFormat="1" applyFont="1" applyBorder="1" applyAlignment="1" applyProtection="1">
      <alignment horizontal="right" vertical="center" shrinkToFit="1"/>
    </xf>
    <xf numFmtId="40" fontId="94" fillId="0" borderId="0" xfId="0" applyNumberFormat="1" applyFont="1" applyFill="1" applyBorder="1" applyAlignment="1" applyProtection="1">
      <alignment horizontal="right" vertical="center" shrinkToFit="1"/>
    </xf>
    <xf numFmtId="0" fontId="94" fillId="0" borderId="0" xfId="0" applyFont="1" applyBorder="1" applyAlignment="1" applyProtection="1">
      <alignment horizontal="right" shrinkToFit="1"/>
    </xf>
    <xf numFmtId="175" fontId="94" fillId="0" borderId="0" xfId="0" applyNumberFormat="1" applyFont="1" applyFill="1" applyBorder="1" applyAlignment="1" applyProtection="1">
      <alignment horizontal="right" shrinkToFit="1"/>
    </xf>
    <xf numFmtId="0" fontId="89" fillId="0" borderId="0" xfId="0" applyFont="1" applyBorder="1" applyAlignment="1" applyProtection="1">
      <alignment horizontal="right" shrinkToFit="1"/>
    </xf>
    <xf numFmtId="0" fontId="96" fillId="0" borderId="0" xfId="12" applyNumberFormat="1" applyFont="1" applyBorder="1" applyAlignment="1" applyProtection="1">
      <alignment horizontal="right" shrinkToFit="1"/>
    </xf>
    <xf numFmtId="0" fontId="94"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shrinkToFit="1"/>
    </xf>
    <xf numFmtId="0" fontId="90" fillId="0" borderId="0" xfId="0" applyFont="1" applyBorder="1" applyAlignment="1" applyProtection="1">
      <alignment shrinkToFit="1"/>
    </xf>
    <xf numFmtId="0" fontId="94" fillId="0" borderId="0" xfId="12" quotePrefix="1" applyNumberFormat="1" applyFont="1" applyBorder="1" applyAlignment="1" applyProtection="1">
      <alignment horizontal="right" shrinkToFit="1"/>
    </xf>
    <xf numFmtId="1" fontId="96"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vertical="center" shrinkToFit="1"/>
    </xf>
    <xf numFmtId="172" fontId="94" fillId="0" borderId="0" xfId="0" applyNumberFormat="1" applyFont="1" applyBorder="1" applyAlignment="1" applyProtection="1">
      <alignment horizontal="right" shrinkToFit="1"/>
    </xf>
    <xf numFmtId="2" fontId="105" fillId="0" borderId="0" xfId="0" applyNumberFormat="1" applyFont="1" applyFill="1" applyBorder="1" applyAlignment="1" applyProtection="1">
      <alignment horizontal="right" shrinkToFit="1"/>
    </xf>
    <xf numFmtId="0" fontId="90" fillId="0" borderId="0" xfId="0" applyFont="1" applyFill="1" applyBorder="1" applyAlignment="1" applyProtection="1">
      <alignment shrinkToFit="1"/>
    </xf>
    <xf numFmtId="0" fontId="102" fillId="0" borderId="0" xfId="12" applyNumberFormat="1" applyFont="1" applyFill="1" applyBorder="1" applyAlignment="1" applyProtection="1">
      <alignment horizontal="right" shrinkToFit="1"/>
    </xf>
    <xf numFmtId="38" fontId="90" fillId="0" borderId="19" xfId="0" applyNumberFormat="1" applyFont="1" applyBorder="1" applyAlignment="1" applyProtection="1">
      <alignment horizontal="right" shrinkToFit="1"/>
      <protection locked="0"/>
    </xf>
    <xf numFmtId="38" fontId="90" fillId="0" borderId="2" xfId="0" applyNumberFormat="1" applyFont="1" applyBorder="1" applyAlignment="1" applyProtection="1">
      <alignment horizontal="right" shrinkToFit="1"/>
      <protection locked="0"/>
    </xf>
    <xf numFmtId="38" fontId="90" fillId="0" borderId="2" xfId="0" applyNumberFormat="1" applyFont="1" applyFill="1" applyBorder="1" applyAlignment="1" applyProtection="1">
      <alignment horizontal="right" shrinkToFit="1"/>
      <protection locked="0"/>
    </xf>
    <xf numFmtId="38" fontId="90" fillId="3" borderId="24" xfId="0" applyNumberFormat="1" applyFont="1" applyFill="1" applyBorder="1" applyAlignment="1" applyProtection="1">
      <alignment horizontal="right" shrinkToFit="1"/>
    </xf>
    <xf numFmtId="38" fontId="90" fillId="3" borderId="5" xfId="0" applyNumberFormat="1" applyFont="1" applyFill="1" applyBorder="1" applyAlignment="1" applyProtection="1">
      <alignment horizontal="right" shrinkToFit="1"/>
    </xf>
    <xf numFmtId="38" fontId="90" fillId="0" borderId="17" xfId="0" applyNumberFormat="1" applyFont="1" applyBorder="1" applyAlignment="1" applyProtection="1">
      <alignment horizontal="right" shrinkToFit="1"/>
      <protection locked="0"/>
    </xf>
    <xf numFmtId="38" fontId="90" fillId="0" borderId="0" xfId="0" applyNumberFormat="1" applyFont="1" applyBorder="1" applyAlignment="1" applyProtection="1">
      <alignment horizontal="right" shrinkToFit="1"/>
      <protection locked="0"/>
    </xf>
    <xf numFmtId="38" fontId="90" fillId="0" borderId="17" xfId="0" applyNumberFormat="1" applyFont="1" applyFill="1" applyBorder="1" applyAlignment="1" applyProtection="1">
      <alignment horizontal="right" shrinkToFit="1"/>
      <protection locked="0"/>
    </xf>
    <xf numFmtId="38" fontId="90" fillId="2" borderId="17" xfId="0" applyNumberFormat="1" applyFont="1" applyFill="1" applyBorder="1" applyAlignment="1" applyProtection="1">
      <alignment horizontal="right" shrinkToFit="1"/>
    </xf>
    <xf numFmtId="38" fontId="90" fillId="0" borderId="19" xfId="0" applyNumberFormat="1" applyFont="1" applyFill="1" applyBorder="1" applyAlignment="1" applyProtection="1">
      <alignment horizontal="right" shrinkToFit="1"/>
      <protection locked="0"/>
    </xf>
    <xf numFmtId="38" fontId="90" fillId="2" borderId="24" xfId="0" applyNumberFormat="1" applyFont="1" applyFill="1" applyBorder="1" applyAlignment="1" applyProtection="1">
      <alignment horizontal="right" shrinkToFit="1"/>
    </xf>
    <xf numFmtId="38" fontId="90" fillId="0" borderId="18" xfId="0" applyNumberFormat="1" applyFont="1" applyFill="1" applyBorder="1" applyAlignment="1" applyProtection="1">
      <alignment horizontal="right" shrinkToFit="1"/>
      <protection locked="0"/>
    </xf>
    <xf numFmtId="38" fontId="90" fillId="0" borderId="24" xfId="0" applyNumberFormat="1" applyFont="1" applyFill="1" applyBorder="1" applyAlignment="1" applyProtection="1">
      <alignment horizontal="right" shrinkToFit="1"/>
      <protection locked="0"/>
    </xf>
    <xf numFmtId="38" fontId="90" fillId="2" borderId="18"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16" borderId="64" xfId="0" applyNumberFormat="1" applyFont="1" applyFill="1" applyBorder="1" applyAlignment="1" applyProtection="1">
      <alignment horizontal="right" shrinkToFit="1"/>
    </xf>
    <xf numFmtId="38" fontId="90" fillId="14" borderId="9" xfId="0" applyNumberFormat="1" applyFont="1" applyFill="1" applyBorder="1" applyAlignment="1" applyProtection="1">
      <alignment horizontal="right" shrinkToFit="1"/>
    </xf>
    <xf numFmtId="38" fontId="90" fillId="14" borderId="6" xfId="0" applyNumberFormat="1" applyFont="1" applyFill="1" applyBorder="1" applyAlignment="1" applyProtection="1">
      <alignment horizontal="right" shrinkToFit="1"/>
    </xf>
    <xf numFmtId="38" fontId="90" fillId="14" borderId="14" xfId="0" applyNumberFormat="1" applyFont="1" applyFill="1" applyBorder="1" applyAlignment="1" applyProtection="1">
      <alignment horizontal="right" shrinkToFit="1"/>
    </xf>
    <xf numFmtId="38" fontId="90" fillId="14" borderId="19" xfId="0" applyNumberFormat="1" applyFont="1" applyFill="1" applyBorder="1" applyAlignment="1" applyProtection="1">
      <alignment horizontal="right" shrinkToFit="1"/>
    </xf>
    <xf numFmtId="38" fontId="90" fillId="2" borderId="5" xfId="0" applyNumberFormat="1" applyFont="1" applyFill="1" applyBorder="1" applyAlignment="1" applyProtection="1">
      <alignment horizontal="right" shrinkToFit="1"/>
    </xf>
    <xf numFmtId="38" fontId="90" fillId="2" borderId="0" xfId="0" applyNumberFormat="1" applyFont="1" applyFill="1" applyBorder="1" applyAlignment="1" applyProtection="1">
      <alignment horizontal="right" shrinkToFit="1"/>
    </xf>
    <xf numFmtId="38" fontId="90" fillId="16" borderId="26" xfId="0" applyNumberFormat="1" applyFont="1" applyFill="1" applyBorder="1" applyAlignment="1" applyProtection="1">
      <alignment horizontal="right" shrinkToFit="1"/>
    </xf>
    <xf numFmtId="38" fontId="90" fillId="14" borderId="23" xfId="0" applyNumberFormat="1" applyFont="1" applyFill="1" applyBorder="1" applyAlignment="1" applyProtection="1">
      <alignment horizontal="right" shrinkToFit="1"/>
    </xf>
    <xf numFmtId="38" fontId="90" fillId="14" borderId="10" xfId="0" applyNumberFormat="1" applyFont="1" applyFill="1" applyBorder="1" applyAlignment="1" applyProtection="1">
      <alignment horizontal="right" shrinkToFit="1"/>
    </xf>
    <xf numFmtId="38" fontId="90" fillId="0" borderId="8" xfId="0" applyNumberFormat="1" applyFont="1" applyFill="1" applyBorder="1" applyAlignment="1" applyProtection="1">
      <alignment horizontal="right" shrinkToFit="1"/>
      <protection locked="0"/>
    </xf>
    <xf numFmtId="38" fontId="90" fillId="0" borderId="23" xfId="0" applyNumberFormat="1" applyFont="1" applyFill="1" applyBorder="1" applyAlignment="1" applyProtection="1">
      <alignment horizontal="right" shrinkToFit="1"/>
      <protection locked="0"/>
    </xf>
    <xf numFmtId="38" fontId="90" fillId="0" borderId="24" xfId="0" applyNumberFormat="1" applyFont="1" applyBorder="1" applyAlignment="1" applyProtection="1">
      <alignment horizontal="right" shrinkToFit="1"/>
      <protection locked="0"/>
    </xf>
    <xf numFmtId="38" fontId="90" fillId="16" borderId="24" xfId="0" applyNumberFormat="1" applyFont="1" applyFill="1" applyBorder="1" applyAlignment="1" applyProtection="1">
      <alignment horizontal="right" shrinkToFit="1"/>
    </xf>
    <xf numFmtId="38" fontId="90" fillId="16" borderId="17" xfId="0" applyNumberFormat="1" applyFont="1" applyFill="1" applyBorder="1" applyAlignment="1" applyProtection="1">
      <alignment horizontal="right" shrinkToFit="1"/>
    </xf>
    <xf numFmtId="38" fontId="90" fillId="14" borderId="20" xfId="0" applyNumberFormat="1" applyFont="1" applyFill="1" applyBorder="1" applyAlignment="1" applyProtection="1">
      <alignment horizontal="right" shrinkToFit="1"/>
    </xf>
    <xf numFmtId="38" fontId="90" fillId="14" borderId="62" xfId="0" applyNumberFormat="1" applyFont="1" applyFill="1" applyBorder="1" applyAlignment="1" applyProtection="1">
      <alignment horizontal="right" shrinkToFit="1"/>
    </xf>
    <xf numFmtId="38" fontId="96" fillId="2" borderId="24" xfId="0" applyNumberFormat="1" applyFont="1" applyFill="1" applyBorder="1" applyAlignment="1">
      <alignment horizontal="right" shrinkToFit="1"/>
    </xf>
    <xf numFmtId="38" fontId="90" fillId="2" borderId="1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16" borderId="2" xfId="0" applyNumberFormat="1" applyFont="1" applyFill="1" applyBorder="1" applyAlignment="1" applyProtection="1">
      <alignment horizontal="right" shrinkToFit="1"/>
    </xf>
    <xf numFmtId="38" fontId="90" fillId="3" borderId="14" xfId="0" applyNumberFormat="1" applyFont="1" applyFill="1" applyBorder="1" applyAlignment="1" applyProtection="1">
      <alignment horizontal="right" shrinkToFit="1"/>
    </xf>
    <xf numFmtId="38" fontId="90" fillId="3" borderId="0" xfId="0" applyNumberFormat="1" applyFont="1" applyFill="1" applyBorder="1" applyAlignment="1" applyProtection="1">
      <alignment horizontal="right" shrinkToFit="1"/>
    </xf>
    <xf numFmtId="38" fontId="90" fillId="3" borderId="17" xfId="0" applyNumberFormat="1" applyFont="1" applyFill="1" applyBorder="1" applyAlignment="1" applyProtection="1">
      <alignment horizontal="right" shrinkToFit="1"/>
    </xf>
    <xf numFmtId="38" fontId="90" fillId="3" borderId="23" xfId="0" applyNumberFormat="1" applyFont="1" applyFill="1" applyBorder="1" applyAlignment="1" applyProtection="1">
      <alignment horizontal="right" shrinkToFit="1"/>
    </xf>
    <xf numFmtId="38" fontId="90" fillId="3" borderId="2" xfId="0" applyNumberFormat="1" applyFont="1" applyFill="1" applyBorder="1" applyAlignment="1" applyProtection="1">
      <alignment horizontal="right" shrinkToFit="1"/>
    </xf>
    <xf numFmtId="38" fontId="90" fillId="0" borderId="9" xfId="0" applyNumberFormat="1" applyFont="1" applyBorder="1" applyAlignment="1" applyProtection="1">
      <alignment horizontal="right" shrinkToFit="1"/>
      <protection locked="0"/>
    </xf>
    <xf numFmtId="38" fontId="90" fillId="0" borderId="10" xfId="0" applyNumberFormat="1" applyFont="1" applyBorder="1" applyAlignment="1" applyProtection="1">
      <alignment horizontal="right" shrinkToFit="1"/>
      <protection locked="0"/>
    </xf>
    <xf numFmtId="38" fontId="90" fillId="14" borderId="21" xfId="0" applyNumberFormat="1" applyFont="1" applyFill="1" applyBorder="1" applyAlignment="1" applyProtection="1">
      <alignment horizontal="right" shrinkToFit="1"/>
    </xf>
    <xf numFmtId="38" fontId="90" fillId="3" borderId="10" xfId="0" applyNumberFormat="1" applyFont="1" applyFill="1" applyBorder="1" applyAlignment="1" applyProtection="1">
      <alignment horizontal="right" shrinkToFit="1"/>
    </xf>
    <xf numFmtId="38" fontId="90" fillId="3" borderId="18" xfId="0" applyNumberFormat="1" applyFont="1" applyFill="1" applyBorder="1" applyAlignment="1" applyProtection="1">
      <alignment horizontal="right" shrinkToFit="1"/>
    </xf>
    <xf numFmtId="38" fontId="90" fillId="16" borderId="5" xfId="0" applyNumberFormat="1" applyFont="1" applyFill="1" applyBorder="1" applyAlignment="1" applyProtection="1">
      <alignment horizontal="right" shrinkToFit="1"/>
    </xf>
    <xf numFmtId="38" fontId="90" fillId="16" borderId="9" xfId="0" applyNumberFormat="1" applyFont="1" applyFill="1" applyBorder="1" applyAlignment="1" applyProtection="1">
      <alignment horizontal="right" shrinkToFit="1"/>
    </xf>
    <xf numFmtId="38" fontId="90" fillId="3" borderId="19" xfId="0" applyNumberFormat="1" applyFont="1" applyFill="1" applyBorder="1" applyAlignment="1" applyProtection="1">
      <alignment horizontal="right" shrinkToFit="1"/>
    </xf>
    <xf numFmtId="38" fontId="90" fillId="16" borderId="0" xfId="0" applyNumberFormat="1" applyFont="1" applyFill="1" applyAlignment="1" applyProtection="1">
      <alignment horizontal="right" shrinkToFit="1"/>
    </xf>
    <xf numFmtId="38" fontId="90" fillId="16" borderId="76" xfId="0" applyNumberFormat="1" applyFont="1" applyFill="1" applyBorder="1" applyAlignment="1" applyProtection="1">
      <alignment horizontal="right" shrinkToFit="1"/>
    </xf>
    <xf numFmtId="38" fontId="90" fillId="2" borderId="2" xfId="0" applyNumberFormat="1" applyFont="1" applyFill="1" applyBorder="1" applyAlignment="1" applyProtection="1">
      <alignment horizontal="right" shrinkToFit="1"/>
    </xf>
    <xf numFmtId="38" fontId="90" fillId="16" borderId="25" xfId="0" applyNumberFormat="1" applyFont="1" applyFill="1" applyBorder="1" applyAlignment="1" applyProtection="1">
      <alignment horizontal="right" shrinkToFit="1"/>
    </xf>
    <xf numFmtId="38" fontId="90" fillId="2" borderId="76" xfId="0" applyNumberFormat="1" applyFont="1" applyFill="1" applyBorder="1" applyAlignment="1" applyProtection="1">
      <alignment horizontal="right" shrinkToFit="1"/>
    </xf>
    <xf numFmtId="38" fontId="90" fillId="0" borderId="26" xfId="0" applyNumberFormat="1" applyFont="1" applyFill="1" applyBorder="1" applyAlignment="1" applyProtection="1">
      <alignment horizontal="right" shrinkToFit="1"/>
      <protection locked="0"/>
    </xf>
    <xf numFmtId="38" fontId="90" fillId="0" borderId="22" xfId="0" applyNumberFormat="1" applyFont="1" applyFill="1" applyBorder="1" applyAlignment="1" applyProtection="1">
      <alignment horizontal="right" shrinkToFit="1"/>
      <protection locked="0"/>
    </xf>
    <xf numFmtId="38" fontId="90" fillId="0" borderId="25" xfId="0" applyNumberFormat="1" applyFont="1" applyFill="1" applyBorder="1" applyAlignment="1" applyProtection="1">
      <alignment horizontal="right" shrinkToFit="1"/>
      <protection locked="0"/>
    </xf>
    <xf numFmtId="38" fontId="90" fillId="16" borderId="22" xfId="0" applyNumberFormat="1" applyFont="1" applyFill="1" applyBorder="1" applyAlignment="1" applyProtection="1">
      <alignment horizontal="right" shrinkToFit="1"/>
    </xf>
    <xf numFmtId="38" fontId="90" fillId="0" borderId="27" xfId="0" applyNumberFormat="1" applyFont="1" applyFill="1" applyBorder="1" applyAlignment="1" applyProtection="1">
      <alignment horizontal="right" shrinkToFit="1"/>
      <protection locked="0"/>
    </xf>
    <xf numFmtId="38" fontId="90" fillId="0" borderId="0" xfId="0" applyNumberFormat="1" applyFont="1" applyAlignment="1" applyProtection="1">
      <alignment horizontal="right" shrinkToFit="1"/>
      <protection locked="0"/>
    </xf>
    <xf numFmtId="38" fontId="90" fillId="0" borderId="23" xfId="0" applyNumberFormat="1" applyFont="1" applyBorder="1" applyAlignment="1" applyProtection="1">
      <alignment horizontal="right" shrinkToFit="1"/>
      <protection locked="0"/>
    </xf>
    <xf numFmtId="38" fontId="90" fillId="16" borderId="61" xfId="0" applyNumberFormat="1" applyFont="1" applyFill="1" applyBorder="1" applyAlignment="1" applyProtection="1">
      <alignment horizontal="right" shrinkToFit="1"/>
    </xf>
    <xf numFmtId="38" fontId="90" fillId="3" borderId="7" xfId="0" applyNumberFormat="1" applyFont="1" applyFill="1" applyBorder="1" applyAlignment="1" applyProtection="1">
      <alignment horizontal="right" shrinkToFit="1"/>
    </xf>
    <xf numFmtId="37" fontId="90" fillId="16" borderId="61" xfId="0" applyNumberFormat="1" applyFont="1" applyFill="1" applyBorder="1" applyAlignment="1" applyProtection="1">
      <alignment horizontal="right" shrinkToFit="1"/>
    </xf>
    <xf numFmtId="37" fontId="90" fillId="16" borderId="26" xfId="0" applyNumberFormat="1" applyFont="1" applyFill="1" applyBorder="1" applyAlignment="1" applyProtection="1">
      <alignment horizontal="right" shrinkToFit="1"/>
    </xf>
    <xf numFmtId="37" fontId="90" fillId="3" borderId="7" xfId="0" applyNumberFormat="1" applyFont="1" applyFill="1" applyBorder="1" applyAlignment="1" applyProtection="1">
      <alignment horizontal="right" shrinkToFit="1"/>
    </xf>
    <xf numFmtId="37" fontId="90" fillId="3" borderId="24" xfId="0" applyNumberFormat="1" applyFont="1" applyFill="1" applyBorder="1" applyAlignment="1" applyProtection="1">
      <alignment horizontal="right" shrinkToFit="1"/>
    </xf>
    <xf numFmtId="38" fontId="90" fillId="0" borderId="9" xfId="0" applyNumberFormat="1" applyFont="1" applyFill="1" applyBorder="1" applyAlignment="1" applyProtection="1">
      <alignment horizontal="right" shrinkToFit="1"/>
      <protection locked="0"/>
    </xf>
    <xf numFmtId="38" fontId="90" fillId="3" borderId="0" xfId="0" applyNumberFormat="1" applyFont="1" applyFill="1" applyAlignment="1" applyProtection="1">
      <alignment horizontal="right" shrinkToFit="1"/>
    </xf>
    <xf numFmtId="38" fontId="90" fillId="16" borderId="63" xfId="0" applyNumberFormat="1" applyFont="1" applyFill="1" applyBorder="1" applyAlignment="1" applyProtection="1">
      <alignment horizontal="right" shrinkToFit="1"/>
    </xf>
    <xf numFmtId="38" fontId="90" fillId="16" borderId="8" xfId="0" applyNumberFormat="1" applyFont="1" applyFill="1" applyBorder="1" applyAlignment="1" applyProtection="1">
      <alignment horizontal="right" shrinkToFit="1"/>
    </xf>
    <xf numFmtId="38" fontId="90" fillId="3" borderId="9" xfId="0" applyNumberFormat="1" applyFont="1" applyFill="1" applyBorder="1" applyAlignment="1" applyProtection="1">
      <alignment horizontal="right" shrinkToFit="1"/>
    </xf>
    <xf numFmtId="38" fontId="90" fillId="3" borderId="77" xfId="0" applyNumberFormat="1" applyFont="1" applyFill="1" applyBorder="1" applyAlignment="1" applyProtection="1">
      <alignment horizontal="right" shrinkToFit="1"/>
    </xf>
    <xf numFmtId="38" fontId="90" fillId="3" borderId="76"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3" borderId="18" xfId="0" applyNumberFormat="1" applyFont="1" applyFill="1" applyBorder="1" applyAlignment="1" applyProtection="1">
      <alignment horizontal="right" shrinkToFit="1"/>
    </xf>
    <xf numFmtId="38" fontId="90" fillId="3" borderId="27" xfId="0" applyNumberFormat="1" applyFont="1" applyFill="1" applyBorder="1" applyAlignment="1" applyProtection="1">
      <alignment horizontal="right" shrinkToFit="1"/>
    </xf>
    <xf numFmtId="38" fontId="90" fillId="0" borderId="25" xfId="0" applyNumberFormat="1" applyFont="1" applyBorder="1" applyAlignment="1" applyProtection="1">
      <alignment horizontal="right" shrinkToFit="1"/>
      <protection locked="0"/>
    </xf>
    <xf numFmtId="38" fontId="90" fillId="0" borderId="63" xfId="0" applyNumberFormat="1" applyFont="1" applyBorder="1" applyAlignment="1" applyProtection="1">
      <alignment horizontal="right" shrinkToFit="1"/>
      <protection locked="0"/>
    </xf>
    <xf numFmtId="38" fontId="90" fillId="0" borderId="22" xfId="0" applyNumberFormat="1" applyFont="1" applyBorder="1" applyAlignment="1" applyProtection="1">
      <alignment horizontal="right" shrinkToFit="1"/>
      <protection locked="0"/>
    </xf>
    <xf numFmtId="38" fontId="90" fillId="0" borderId="61" xfId="0" applyNumberFormat="1" applyFont="1" applyFill="1" applyBorder="1" applyAlignment="1" applyProtection="1">
      <alignment horizontal="right" shrinkToFit="1"/>
      <protection locked="0"/>
    </xf>
    <xf numFmtId="38" fontId="90" fillId="0" borderId="26" xfId="0" applyNumberFormat="1" applyFont="1" applyBorder="1" applyAlignment="1" applyProtection="1">
      <alignment horizontal="right" shrinkToFit="1"/>
      <protection locked="0"/>
    </xf>
    <xf numFmtId="38" fontId="90" fillId="0" borderId="44" xfId="0" applyNumberFormat="1" applyFont="1" applyBorder="1" applyAlignment="1" applyProtection="1">
      <alignment horizontal="right" vertical="center" shrinkToFit="1"/>
      <protection locked="0"/>
    </xf>
    <xf numFmtId="38" fontId="90" fillId="0" borderId="25" xfId="0" applyNumberFormat="1" applyFont="1" applyBorder="1" applyAlignment="1" applyProtection="1">
      <alignment horizontal="right" vertical="center" shrinkToFit="1"/>
      <protection locked="0"/>
    </xf>
    <xf numFmtId="38" fontId="90" fillId="0" borderId="26" xfId="0" applyNumberFormat="1" applyFont="1" applyFill="1" applyBorder="1" applyAlignment="1" applyProtection="1">
      <alignment horizontal="right" vertical="center" shrinkToFit="1"/>
      <protection locked="0"/>
    </xf>
    <xf numFmtId="38" fontId="90" fillId="0" borderId="25" xfId="0" applyNumberFormat="1" applyFont="1" applyFill="1" applyBorder="1" applyAlignment="1" applyProtection="1">
      <alignment horizontal="right" vertical="center" shrinkToFit="1"/>
      <protection locked="0"/>
    </xf>
    <xf numFmtId="38" fontId="90" fillId="16" borderId="44" xfId="0" applyNumberFormat="1" applyFont="1" applyFill="1" applyBorder="1" applyAlignment="1" applyProtection="1">
      <alignment horizontal="right" shrinkToFit="1"/>
    </xf>
    <xf numFmtId="38" fontId="90" fillId="3" borderId="21" xfId="0" applyNumberFormat="1" applyFont="1" applyFill="1" applyBorder="1" applyAlignment="1" applyProtection="1">
      <alignment horizontal="right" vertical="center" shrinkToFit="1"/>
    </xf>
    <xf numFmtId="38" fontId="90" fillId="3" borderId="76" xfId="0" applyNumberFormat="1" applyFont="1" applyFill="1" applyBorder="1" applyAlignment="1" applyProtection="1">
      <alignment horizontal="right" vertical="center" shrinkToFit="1"/>
    </xf>
    <xf numFmtId="38" fontId="90" fillId="3" borderId="0" xfId="0" applyNumberFormat="1" applyFont="1" applyFill="1" applyAlignment="1" applyProtection="1">
      <alignment horizontal="right" vertical="center" shrinkToFit="1"/>
    </xf>
    <xf numFmtId="38" fontId="90" fillId="3" borderId="24" xfId="0" applyNumberFormat="1" applyFont="1" applyFill="1" applyBorder="1" applyAlignment="1" applyProtection="1">
      <alignment horizontal="right" vertical="center" shrinkToFit="1"/>
    </xf>
    <xf numFmtId="38" fontId="90" fillId="3" borderId="73" xfId="0" applyNumberFormat="1" applyFont="1" applyFill="1" applyBorder="1" applyAlignment="1" applyProtection="1">
      <alignment horizontal="right" shrinkToFit="1"/>
    </xf>
    <xf numFmtId="38" fontId="90" fillId="0" borderId="2" xfId="0" applyNumberFormat="1" applyFont="1" applyFill="1" applyBorder="1" applyAlignment="1" applyProtection="1">
      <alignment horizontal="right" vertical="center" shrinkToFit="1"/>
      <protection locked="0"/>
    </xf>
    <xf numFmtId="38" fontId="90" fillId="2" borderId="2" xfId="0" applyNumberFormat="1" applyFont="1" applyFill="1" applyBorder="1" applyAlignment="1" applyProtection="1">
      <alignment horizontal="right" vertical="center" shrinkToFit="1"/>
    </xf>
    <xf numFmtId="38" fontId="90" fillId="0" borderId="159" xfId="0" applyNumberFormat="1" applyFont="1" applyFill="1" applyBorder="1" applyAlignment="1" applyProtection="1">
      <alignment horizontal="right" shrinkToFit="1"/>
      <protection locked="0"/>
    </xf>
    <xf numFmtId="38" fontId="90" fillId="0" borderId="160" xfId="0" applyNumberFormat="1" applyFont="1" applyFill="1" applyBorder="1" applyAlignment="1" applyProtection="1">
      <alignment horizontal="right" shrinkToFit="1"/>
      <protection locked="0"/>
    </xf>
    <xf numFmtId="38" fontId="90" fillId="0" borderId="161" xfId="0" applyNumberFormat="1" applyFont="1" applyFill="1" applyBorder="1" applyAlignment="1" applyProtection="1">
      <alignment horizontal="right" shrinkToFit="1"/>
      <protection locked="0"/>
    </xf>
    <xf numFmtId="3" fontId="90" fillId="3" borderId="18" xfId="0" applyNumberFormat="1" applyFont="1" applyFill="1" applyBorder="1" applyAlignment="1">
      <alignment horizontal="center" shrinkToFit="1"/>
    </xf>
    <xf numFmtId="3" fontId="90" fillId="3" borderId="24" xfId="0" applyNumberFormat="1" applyFont="1" applyFill="1" applyBorder="1" applyAlignment="1">
      <alignment horizontal="center" shrinkToFit="1"/>
    </xf>
    <xf numFmtId="3" fontId="90" fillId="3" borderId="18" xfId="0" applyNumberFormat="1" applyFont="1" applyFill="1" applyBorder="1" applyAlignment="1">
      <alignment horizontal="right" shrinkToFit="1"/>
    </xf>
    <xf numFmtId="38" fontId="90" fillId="16" borderId="2" xfId="0" applyNumberFormat="1" applyFont="1" applyFill="1" applyBorder="1" applyAlignment="1">
      <alignment horizontal="right" shrinkToFit="1"/>
    </xf>
    <xf numFmtId="38" fontId="90" fillId="3" borderId="24" xfId="0" applyNumberFormat="1" applyFont="1" applyFill="1" applyBorder="1" applyAlignment="1">
      <alignment horizontal="right" shrinkToFit="1"/>
    </xf>
    <xf numFmtId="38" fontId="90" fillId="16" borderId="26" xfId="0" applyNumberFormat="1" applyFont="1" applyFill="1" applyBorder="1" applyAlignment="1">
      <alignment horizontal="right" shrinkToFit="1"/>
    </xf>
    <xf numFmtId="38" fontId="90" fillId="3" borderId="76"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27" xfId="0" applyNumberFormat="1" applyFont="1" applyFill="1" applyBorder="1" applyAlignment="1">
      <alignment horizontal="right" shrinkToFit="1"/>
    </xf>
    <xf numFmtId="38" fontId="90" fillId="16" borderId="18" xfId="0" applyNumberFormat="1" applyFont="1" applyFill="1" applyBorder="1" applyAlignment="1">
      <alignment horizontal="right" shrinkToFit="1"/>
    </xf>
    <xf numFmtId="38" fontId="90" fillId="16" borderId="64" xfId="0" applyNumberFormat="1" applyFont="1" applyFill="1" applyBorder="1" applyAlignment="1">
      <alignment horizontal="right" shrinkToFit="1"/>
    </xf>
    <xf numFmtId="38" fontId="90" fillId="3" borderId="21" xfId="0" applyNumberFormat="1" applyFont="1" applyFill="1" applyBorder="1" applyAlignment="1">
      <alignment horizontal="right" shrinkToFit="1"/>
    </xf>
    <xf numFmtId="38" fontId="90" fillId="16" borderId="25" xfId="0" applyNumberFormat="1" applyFont="1" applyFill="1" applyBorder="1" applyAlignment="1">
      <alignment horizontal="right" shrinkToFit="1"/>
    </xf>
    <xf numFmtId="38" fontId="90" fillId="8" borderId="18" xfId="0" applyNumberFormat="1" applyFont="1" applyFill="1" applyBorder="1" applyAlignment="1" applyProtection="1">
      <alignment horizontal="right" shrinkToFit="1"/>
      <protection locked="0"/>
    </xf>
    <xf numFmtId="38" fontId="90" fillId="2" borderId="76" xfId="0" applyNumberFormat="1" applyFont="1" applyFill="1" applyBorder="1" applyAlignment="1">
      <alignment horizontal="right" shrinkToFit="1"/>
    </xf>
    <xf numFmtId="38" fontId="90" fillId="2" borderId="24" xfId="0" applyNumberFormat="1" applyFont="1" applyFill="1" applyBorder="1" applyAlignment="1">
      <alignment horizontal="right" shrinkToFit="1"/>
    </xf>
    <xf numFmtId="38" fontId="90" fillId="0" borderId="18" xfId="0" applyNumberFormat="1" applyFont="1" applyFill="1" applyBorder="1" applyAlignment="1" applyProtection="1">
      <alignment horizontal="right" shrinkToFit="1"/>
      <protection locked="0"/>
    </xf>
    <xf numFmtId="38" fontId="90" fillId="2" borderId="18" xfId="0" applyNumberFormat="1" applyFont="1" applyFill="1" applyBorder="1" applyAlignment="1">
      <alignment horizontal="right" shrinkToFit="1"/>
    </xf>
    <xf numFmtId="38" fontId="90" fillId="16" borderId="22" xfId="0" applyNumberFormat="1" applyFont="1" applyFill="1" applyBorder="1" applyAlignment="1">
      <alignment horizontal="right" shrinkToFit="1"/>
    </xf>
    <xf numFmtId="38" fontId="90" fillId="16" borderId="24" xfId="0" applyNumberFormat="1" applyFont="1" applyFill="1" applyBorder="1" applyAlignment="1">
      <alignment horizontal="right" shrinkToFit="1"/>
    </xf>
    <xf numFmtId="38" fontId="90" fillId="16" borderId="76" xfId="0" applyNumberFormat="1" applyFont="1" applyFill="1" applyBorder="1" applyAlignment="1">
      <alignment horizontal="right" shrinkToFit="1"/>
    </xf>
    <xf numFmtId="38" fontId="90" fillId="0" borderId="14" xfId="0" applyNumberFormat="1" applyFont="1" applyFill="1" applyBorder="1" applyAlignment="1">
      <alignment horizontal="right" shrinkToFit="1"/>
    </xf>
    <xf numFmtId="38" fontId="90" fillId="19" borderId="9" xfId="0" applyNumberFormat="1" applyFont="1" applyFill="1" applyBorder="1" applyAlignment="1">
      <alignment horizontal="right" shrinkToFit="1"/>
    </xf>
    <xf numFmtId="38" fontId="90" fillId="19" borderId="6" xfId="0" applyNumberFormat="1" applyFont="1" applyFill="1" applyBorder="1" applyAlignment="1">
      <alignment horizontal="right" shrinkToFit="1"/>
    </xf>
    <xf numFmtId="38" fontId="90" fillId="19" borderId="10" xfId="0" applyNumberFormat="1" applyFont="1" applyFill="1" applyBorder="1" applyAlignment="1">
      <alignment horizontal="right" shrinkToFit="1"/>
    </xf>
    <xf numFmtId="38" fontId="90" fillId="3" borderId="2" xfId="0" applyNumberFormat="1" applyFont="1" applyFill="1" applyBorder="1" applyAlignment="1">
      <alignment horizontal="right" shrinkToFit="1"/>
    </xf>
    <xf numFmtId="38" fontId="90" fillId="0" borderId="27" xfId="0" applyNumberFormat="1" applyFont="1" applyBorder="1" applyAlignment="1" applyProtection="1">
      <alignment horizontal="right" shrinkToFit="1"/>
      <protection locked="0"/>
    </xf>
    <xf numFmtId="38" fontId="90" fillId="16" borderId="2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2" borderId="27" xfId="0" applyNumberFormat="1" applyFont="1" applyFill="1" applyBorder="1" applyAlignment="1">
      <alignment horizontal="right" shrinkToFit="1"/>
    </xf>
    <xf numFmtId="38" fontId="90" fillId="15" borderId="17" xfId="0" applyNumberFormat="1" applyFont="1" applyFill="1" applyBorder="1" applyAlignment="1" applyProtection="1">
      <alignment horizontal="right" shrinkToFit="1"/>
    </xf>
    <xf numFmtId="38" fontId="90" fillId="15" borderId="17" xfId="0" applyNumberFormat="1" applyFont="1" applyFill="1" applyBorder="1" applyAlignment="1">
      <alignment horizontal="right" shrinkToFit="1"/>
    </xf>
    <xf numFmtId="38" fontId="90" fillId="15" borderId="24" xfId="0" applyNumberFormat="1" applyFont="1" applyFill="1" applyBorder="1" applyAlignment="1" applyProtection="1">
      <alignment horizontal="right" shrinkToFit="1"/>
    </xf>
    <xf numFmtId="38" fontId="90" fillId="15" borderId="24" xfId="0" applyNumberFormat="1" applyFont="1" applyFill="1" applyBorder="1" applyAlignment="1">
      <alignment horizontal="right" shrinkToFit="1"/>
    </xf>
    <xf numFmtId="38" fontId="90" fillId="14" borderId="9" xfId="0" applyNumberFormat="1" applyFont="1" applyFill="1" applyBorder="1" applyAlignment="1">
      <alignment horizontal="right" shrinkToFit="1"/>
    </xf>
    <xf numFmtId="38" fontId="90" fillId="14" borderId="6" xfId="0" applyNumberFormat="1" applyFont="1" applyFill="1" applyBorder="1" applyAlignment="1">
      <alignment horizontal="right" shrinkToFit="1"/>
    </xf>
    <xf numFmtId="38" fontId="90" fillId="14" borderId="10"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17" xfId="0" applyNumberFormat="1" applyFont="1" applyFill="1" applyBorder="1" applyAlignment="1">
      <alignment horizontal="right" shrinkToFit="1"/>
    </xf>
    <xf numFmtId="38" fontId="90" fillId="0" borderId="6" xfId="0" applyNumberFormat="1" applyFont="1" applyFill="1" applyBorder="1" applyAlignment="1">
      <alignment horizontal="right" shrinkToFit="1"/>
    </xf>
    <xf numFmtId="38" fontId="90" fillId="14" borderId="23" xfId="0" applyNumberFormat="1" applyFont="1" applyFill="1" applyBorder="1" applyAlignment="1">
      <alignment horizontal="right" shrinkToFit="1"/>
    </xf>
    <xf numFmtId="38" fontId="90" fillId="14" borderId="14" xfId="0" applyNumberFormat="1" applyFont="1" applyFill="1" applyBorder="1" applyAlignment="1">
      <alignment horizontal="right" shrinkToFit="1"/>
    </xf>
    <xf numFmtId="38" fontId="90" fillId="14" borderId="19" xfId="0" applyNumberFormat="1" applyFont="1" applyFill="1" applyBorder="1" applyAlignment="1">
      <alignment horizontal="right" shrinkToFit="1"/>
    </xf>
    <xf numFmtId="38" fontId="90" fillId="0" borderId="0" xfId="0" applyNumberFormat="1" applyFont="1" applyFill="1" applyBorder="1" applyAlignment="1">
      <alignment horizontal="right" shrinkToFit="1"/>
    </xf>
    <xf numFmtId="38" fontId="90" fillId="16" borderId="17" xfId="0" applyNumberFormat="1" applyFont="1" applyFill="1" applyBorder="1" applyAlignment="1">
      <alignment horizontal="right" shrinkToFit="1"/>
    </xf>
    <xf numFmtId="38" fontId="90" fillId="20" borderId="24" xfId="0" applyNumberFormat="1" applyFont="1" applyFill="1" applyBorder="1" applyAlignment="1">
      <alignment horizontal="right" shrinkToFit="1"/>
    </xf>
    <xf numFmtId="38" fontId="90" fillId="6" borderId="2" xfId="0" applyNumberFormat="1" applyFont="1" applyFill="1" applyBorder="1" applyAlignment="1">
      <alignment horizontal="right" shrinkToFit="1"/>
    </xf>
    <xf numFmtId="0" fontId="96" fillId="2" borderId="0" xfId="0" applyFont="1" applyFill="1" applyAlignment="1">
      <alignment vertical="center" shrinkToFit="1"/>
    </xf>
    <xf numFmtId="38" fontId="90" fillId="2" borderId="0" xfId="15" applyNumberFormat="1" applyFont="1" applyFill="1" applyBorder="1" applyAlignment="1" applyProtection="1">
      <alignment horizontal="right" shrinkToFit="1"/>
    </xf>
    <xf numFmtId="38" fontId="90" fillId="2" borderId="24" xfId="15" applyNumberFormat="1" applyFont="1" applyFill="1" applyBorder="1" applyAlignment="1" applyProtection="1">
      <alignment horizontal="right" shrinkToFit="1"/>
    </xf>
    <xf numFmtId="38" fontId="90" fillId="0" borderId="2" xfId="15" applyNumberFormat="1" applyFont="1" applyFill="1" applyBorder="1" applyAlignment="1" applyProtection="1">
      <alignment horizontal="right" shrinkToFit="1"/>
      <protection locked="0"/>
    </xf>
    <xf numFmtId="38" fontId="90" fillId="0" borderId="2" xfId="13" applyNumberFormat="1" applyFont="1" applyBorder="1" applyAlignment="1" applyProtection="1">
      <alignment shrinkToFit="1"/>
      <protection locked="0"/>
    </xf>
    <xf numFmtId="38" fontId="90" fillId="16" borderId="18" xfId="0" applyNumberFormat="1" applyFont="1" applyFill="1" applyBorder="1" applyAlignment="1" applyProtection="1">
      <alignment horizontal="right" vertical="center" shrinkToFit="1"/>
      <protection locked="0"/>
    </xf>
    <xf numFmtId="38" fontId="90" fillId="0" borderId="18" xfId="0" applyNumberFormat="1" applyFont="1" applyFill="1" applyBorder="1" applyAlignment="1" applyProtection="1">
      <alignment horizontal="right" vertical="center" shrinkToFit="1"/>
      <protection locked="0"/>
    </xf>
    <xf numFmtId="38" fontId="90" fillId="16" borderId="18" xfId="0" applyNumberFormat="1" applyFont="1" applyFill="1" applyBorder="1" applyAlignment="1" applyProtection="1">
      <alignment horizontal="right" vertical="center" shrinkToFit="1"/>
    </xf>
    <xf numFmtId="38" fontId="90" fillId="16" borderId="2" xfId="0" applyNumberFormat="1" applyFont="1" applyFill="1" applyBorder="1" applyAlignment="1" applyProtection="1">
      <alignment horizontal="right" vertical="center" shrinkToFit="1"/>
      <protection locked="0"/>
    </xf>
    <xf numFmtId="38" fontId="90" fillId="16" borderId="2" xfId="0" applyNumberFormat="1" applyFont="1" applyFill="1" applyBorder="1" applyAlignment="1" applyProtection="1">
      <alignment horizontal="right" vertical="center" shrinkToFit="1"/>
    </xf>
    <xf numFmtId="38" fontId="90" fillId="16" borderId="26" xfId="0" applyNumberFormat="1" applyFont="1" applyFill="1" applyBorder="1" applyAlignment="1" applyProtection="1">
      <alignment horizontal="right" vertical="center" shrinkToFit="1"/>
      <protection locked="0"/>
    </xf>
    <xf numFmtId="42" fontId="109" fillId="18" borderId="137" xfId="0" applyNumberFormat="1" applyFont="1" applyFill="1" applyBorder="1" applyAlignment="1" applyProtection="1">
      <alignment horizontal="right" shrinkToFit="1"/>
      <protection locked="0"/>
    </xf>
    <xf numFmtId="42" fontId="109" fillId="11" borderId="137" xfId="0" applyNumberFormat="1" applyFont="1" applyFill="1" applyBorder="1" applyAlignment="1">
      <alignment horizontal="right"/>
    </xf>
    <xf numFmtId="42" fontId="109" fillId="11" borderId="0" xfId="0" applyNumberFormat="1" applyFont="1" applyFill="1" applyBorder="1" applyAlignment="1" applyProtection="1">
      <alignment horizontal="right" shrinkToFit="1"/>
      <protection locked="0"/>
    </xf>
    <xf numFmtId="38" fontId="95" fillId="2" borderId="4" xfId="0" applyNumberFormat="1" applyFont="1" applyFill="1" applyBorder="1" applyAlignment="1" applyProtection="1">
      <alignment horizontal="center" vertical="center" wrapText="1"/>
      <protection hidden="1"/>
    </xf>
    <xf numFmtId="38" fontId="95" fillId="2" borderId="17" xfId="0" applyNumberFormat="1" applyFont="1" applyFill="1" applyBorder="1" applyAlignment="1" applyProtection="1">
      <alignment horizontal="center" vertical="center" wrapText="1"/>
      <protection hidden="1"/>
    </xf>
    <xf numFmtId="38" fontId="90" fillId="16" borderId="26" xfId="0" applyNumberFormat="1" applyFont="1" applyFill="1" applyBorder="1" applyAlignment="1" applyProtection="1">
      <alignment horizontal="right" vertical="center" shrinkToFit="1"/>
    </xf>
    <xf numFmtId="38" fontId="90" fillId="0" borderId="2" xfId="0" applyNumberFormat="1" applyFont="1" applyBorder="1" applyAlignment="1" applyProtection="1">
      <alignment horizontal="right" vertical="center" shrinkToFit="1"/>
      <protection locked="0"/>
    </xf>
    <xf numFmtId="38" fontId="90" fillId="0" borderId="2" xfId="16" applyNumberFormat="1" applyFont="1" applyFill="1" applyBorder="1" applyAlignment="1" applyProtection="1">
      <alignment horizontal="right" shrinkToFit="1"/>
      <protection locked="0"/>
    </xf>
    <xf numFmtId="3" fontId="90" fillId="0" borderId="2" xfId="16" applyNumberFormat="1" applyFont="1" applyFill="1" applyBorder="1" applyAlignment="1" applyProtection="1">
      <alignment horizontal="right" vertical="center" shrinkToFit="1"/>
      <protection locked="0"/>
    </xf>
    <xf numFmtId="38" fontId="90" fillId="16" borderId="2" xfId="16" applyNumberFormat="1" applyFont="1" applyFill="1" applyBorder="1" applyAlignment="1" applyProtection="1">
      <alignment horizontal="right" shrinkToFit="1"/>
    </xf>
    <xf numFmtId="38" fontId="90" fillId="0" borderId="2" xfId="16" applyNumberFormat="1" applyFont="1" applyFill="1" applyBorder="1" applyAlignment="1" applyProtection="1">
      <alignment horizontal="right" vertical="center" shrinkToFit="1"/>
      <protection locked="0"/>
    </xf>
    <xf numFmtId="0" fontId="90" fillId="0" borderId="2" xfId="0" applyFont="1" applyFill="1" applyBorder="1" applyAlignment="1" applyProtection="1">
      <alignment horizontal="right" shrinkToFit="1"/>
      <protection locked="0"/>
    </xf>
    <xf numFmtId="0" fontId="90" fillId="0" borderId="2" xfId="16" applyFont="1" applyFill="1" applyBorder="1" applyAlignment="1" applyProtection="1">
      <alignment horizontal="right" vertical="top" shrinkToFit="1"/>
      <protection locked="0"/>
    </xf>
    <xf numFmtId="38" fontId="90" fillId="0" borderId="2" xfId="16" applyNumberFormat="1" applyFont="1" applyFill="1" applyBorder="1" applyAlignment="1" applyProtection="1">
      <alignment horizontal="right" vertical="top" shrinkToFit="1"/>
      <protection locked="0"/>
    </xf>
    <xf numFmtId="38" fontId="90" fillId="0" borderId="2" xfId="16" quotePrefix="1" applyNumberFormat="1" applyFont="1" applyFill="1" applyBorder="1" applyAlignment="1" applyProtection="1">
      <alignment horizontal="right" shrinkToFit="1"/>
      <protection locked="0"/>
    </xf>
    <xf numFmtId="38" fontId="90" fillId="2" borderId="2" xfId="16" applyNumberFormat="1" applyFont="1" applyFill="1" applyBorder="1" applyAlignment="1" applyProtection="1">
      <alignment horizontal="right" shrinkToFit="1"/>
    </xf>
    <xf numFmtId="49" fontId="95" fillId="8" borderId="2" xfId="16" applyNumberFormat="1" applyFont="1" applyFill="1" applyBorder="1" applyAlignment="1" applyProtection="1">
      <alignment horizontal="center" vertical="center" wrapText="1"/>
    </xf>
    <xf numFmtId="38" fontId="90" fillId="0" borderId="11" xfId="0" applyNumberFormat="1" applyFont="1" applyBorder="1" applyAlignment="1" applyProtection="1">
      <alignment vertical="center" shrinkToFit="1"/>
      <protection locked="0"/>
    </xf>
    <xf numFmtId="38" fontId="90" fillId="0" borderId="11" xfId="0" applyNumberFormat="1" applyFont="1" applyFill="1" applyBorder="1" applyAlignment="1" applyProtection="1">
      <alignment horizontal="right" vertical="center" shrinkToFit="1"/>
      <protection locked="0"/>
    </xf>
    <xf numFmtId="38" fontId="90" fillId="2" borderId="30" xfId="0" applyNumberFormat="1" applyFont="1" applyFill="1" applyBorder="1" applyAlignment="1" applyProtection="1">
      <alignment vertical="center" shrinkToFit="1"/>
    </xf>
    <xf numFmtId="38" fontId="90" fillId="2" borderId="11" xfId="0" applyNumberFormat="1" applyFont="1" applyFill="1" applyBorder="1" applyAlignment="1" applyProtection="1">
      <alignment vertical="center" shrinkToFit="1"/>
    </xf>
    <xf numFmtId="38" fontId="90" fillId="2" borderId="30" xfId="0" applyNumberFormat="1" applyFont="1" applyFill="1" applyBorder="1" applyAlignment="1" applyProtection="1">
      <alignment horizontal="right" vertical="center" shrinkToFit="1"/>
    </xf>
    <xf numFmtId="38" fontId="90" fillId="2" borderId="31" xfId="0" applyNumberFormat="1" applyFont="1" applyFill="1" applyBorder="1" applyAlignment="1" applyProtection="1">
      <alignment vertical="center" shrinkToFit="1"/>
    </xf>
    <xf numFmtId="38" fontId="90" fillId="0" borderId="11" xfId="0" applyNumberFormat="1" applyFont="1" applyFill="1" applyBorder="1" applyAlignment="1" applyProtection="1">
      <alignment vertical="center" shrinkToFit="1"/>
      <protection locked="0"/>
    </xf>
    <xf numFmtId="38" fontId="90" fillId="2" borderId="31" xfId="0" applyNumberFormat="1" applyFont="1" applyFill="1" applyBorder="1" applyAlignment="1" applyProtection="1">
      <alignment horizontal="right" vertical="center" shrinkToFit="1"/>
    </xf>
    <xf numFmtId="38" fontId="90" fillId="2" borderId="11"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vertical="center" shrinkToFit="1"/>
    </xf>
    <xf numFmtId="38" fontId="90" fillId="0" borderId="29" xfId="0" applyNumberFormat="1" applyFont="1" applyBorder="1" applyAlignment="1" applyProtection="1">
      <alignment vertical="center" shrinkToFit="1"/>
      <protection locked="0"/>
    </xf>
    <xf numFmtId="38" fontId="90" fillId="16" borderId="68" xfId="0" applyNumberFormat="1" applyFont="1" applyFill="1" applyBorder="1" applyAlignment="1" applyProtection="1">
      <alignment vertical="center" shrinkToFit="1"/>
    </xf>
    <xf numFmtId="0" fontId="90" fillId="2" borderId="78" xfId="0" applyFont="1" applyFill="1" applyBorder="1" applyAlignment="1" applyProtection="1">
      <alignment horizontal="right" vertical="center" shrinkToFit="1"/>
    </xf>
    <xf numFmtId="0" fontId="90" fillId="2" borderId="39" xfId="0" applyFont="1" applyFill="1" applyBorder="1" applyAlignment="1" applyProtection="1">
      <alignment horizontal="right" vertical="center" shrinkToFit="1"/>
    </xf>
    <xf numFmtId="0" fontId="90" fillId="2" borderId="37" xfId="0" applyFont="1" applyFill="1" applyBorder="1" applyAlignment="1" applyProtection="1">
      <alignment horizontal="right" vertical="center" shrinkToFit="1"/>
    </xf>
    <xf numFmtId="38" fontId="90" fillId="3" borderId="30" xfId="0" applyNumberFormat="1" applyFont="1" applyFill="1" applyBorder="1" applyAlignment="1" applyProtection="1">
      <alignment vertical="center" shrinkToFit="1"/>
    </xf>
    <xf numFmtId="38" fontId="90" fillId="3" borderId="35" xfId="0" applyNumberFormat="1" applyFont="1" applyFill="1" applyBorder="1" applyAlignment="1" applyProtection="1">
      <alignment vertical="center" shrinkToFit="1"/>
    </xf>
    <xf numFmtId="38" fontId="90" fillId="3" borderId="31" xfId="0" applyNumberFormat="1" applyFont="1" applyFill="1" applyBorder="1" applyAlignment="1" applyProtection="1">
      <alignment horizontal="right" vertical="center" shrinkToFit="1"/>
    </xf>
    <xf numFmtId="38" fontId="90" fillId="3" borderId="35"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horizontal="right" vertical="center" shrinkToFit="1"/>
    </xf>
    <xf numFmtId="38" fontId="90" fillId="3" borderId="31" xfId="0" applyNumberFormat="1" applyFont="1" applyFill="1" applyBorder="1" applyAlignment="1" applyProtection="1">
      <alignment vertical="center" shrinkToFit="1"/>
    </xf>
    <xf numFmtId="38" fontId="90" fillId="16" borderId="68" xfId="0" applyNumberFormat="1" applyFont="1" applyFill="1" applyBorder="1" applyAlignment="1" applyProtection="1">
      <alignment horizontal="right" vertical="center" shrinkToFit="1"/>
    </xf>
    <xf numFmtId="38" fontId="90" fillId="0" borderId="31" xfId="0" applyNumberFormat="1" applyFont="1" applyFill="1" applyBorder="1" applyAlignment="1" applyProtection="1">
      <alignment horizontal="right" vertical="center" shrinkToFit="1"/>
      <protection locked="0"/>
    </xf>
    <xf numFmtId="38" fontId="90" fillId="16" borderId="79" xfId="0" applyNumberFormat="1" applyFont="1" applyFill="1" applyBorder="1" applyAlignment="1" applyProtection="1">
      <alignment shrinkToFit="1"/>
    </xf>
    <xf numFmtId="38" fontId="90" fillId="0" borderId="31" xfId="0" applyNumberFormat="1" applyFont="1" applyFill="1" applyBorder="1" applyAlignment="1" applyProtection="1">
      <alignment vertical="center" shrinkToFit="1"/>
      <protection locked="0"/>
    </xf>
    <xf numFmtId="38" fontId="90" fillId="0" borderId="35" xfId="0" applyNumberFormat="1" applyFont="1" applyFill="1" applyBorder="1" applyAlignment="1" applyProtection="1">
      <alignment horizontal="right" vertical="center" shrinkToFit="1"/>
      <protection locked="0"/>
    </xf>
    <xf numFmtId="38" fontId="90" fillId="0" borderId="3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shrinkToFit="1"/>
      <protection locked="0"/>
    </xf>
    <xf numFmtId="38" fontId="90" fillId="16" borderId="68" xfId="0" applyNumberFormat="1" applyFont="1" applyFill="1" applyBorder="1" applyAlignment="1" applyProtection="1">
      <alignment horizontal="right" shrinkToFit="1"/>
    </xf>
    <xf numFmtId="3" fontId="94" fillId="16" borderId="28" xfId="17" applyNumberFormat="1" applyFont="1" applyFill="1" applyBorder="1" applyAlignment="1" applyProtection="1">
      <alignment vertical="center" shrinkToFit="1"/>
    </xf>
    <xf numFmtId="3" fontId="94" fillId="16" borderId="33" xfId="17" applyNumberFormat="1" applyFont="1" applyFill="1" applyBorder="1" applyAlignment="1" applyProtection="1">
      <alignment vertical="center" shrinkToFit="1"/>
    </xf>
    <xf numFmtId="3" fontId="95" fillId="16" borderId="80" xfId="17" applyNumberFormat="1" applyFont="1" applyFill="1" applyBorder="1" applyAlignment="1" applyProtection="1">
      <alignment vertical="center" shrinkToFit="1"/>
    </xf>
    <xf numFmtId="0" fontId="94" fillId="0" borderId="0" xfId="17" applyFont="1" applyFill="1" applyAlignment="1">
      <alignment vertical="center" shrinkToFit="1"/>
    </xf>
    <xf numFmtId="0" fontId="94" fillId="0" borderId="0" xfId="17" applyFont="1" applyFill="1" applyBorder="1" applyAlignment="1">
      <alignment vertical="center" shrinkToFit="1"/>
    </xf>
    <xf numFmtId="38" fontId="94" fillId="16" borderId="28" xfId="17" applyNumberFormat="1" applyFont="1" applyFill="1" applyBorder="1" applyAlignment="1" applyProtection="1">
      <alignment horizontal="right" vertical="center" shrinkToFit="1"/>
    </xf>
    <xf numFmtId="38" fontId="94" fillId="16" borderId="0" xfId="17" applyNumberFormat="1" applyFont="1" applyFill="1" applyAlignment="1">
      <alignment vertical="top" shrinkToFit="1"/>
    </xf>
    <xf numFmtId="38" fontId="94" fillId="16" borderId="33" xfId="17" applyNumberFormat="1" applyFont="1" applyFill="1" applyBorder="1" applyAlignment="1" applyProtection="1">
      <alignment horizontal="right" vertical="center" shrinkToFit="1"/>
    </xf>
    <xf numFmtId="38" fontId="94" fillId="16" borderId="33" xfId="17" applyNumberFormat="1" applyFont="1" applyFill="1" applyBorder="1" applyAlignment="1" applyProtection="1">
      <alignment horizontal="right" shrinkToFit="1"/>
    </xf>
    <xf numFmtId="38" fontId="94" fillId="16"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38" fontId="94" fillId="16" borderId="33" xfId="17" applyNumberFormat="1" applyFont="1" applyFill="1" applyBorder="1" applyAlignment="1">
      <alignment horizontal="right" shrinkToFit="1"/>
    </xf>
    <xf numFmtId="38" fontId="94" fillId="16" borderId="33" xfId="17" applyNumberFormat="1" applyFont="1" applyFill="1" applyBorder="1" applyAlignment="1" applyProtection="1">
      <alignment horizontal="right" shrinkToFit="1"/>
    </xf>
    <xf numFmtId="38" fontId="95" fillId="16" borderId="12" xfId="17" applyNumberFormat="1" applyFont="1" applyFill="1" applyBorder="1" applyAlignment="1">
      <alignment horizontal="right" shrinkToFit="1"/>
    </xf>
    <xf numFmtId="38" fontId="94" fillId="16" borderId="81" xfId="17" applyNumberFormat="1" applyFont="1" applyFill="1" applyBorder="1" applyAlignment="1" applyProtection="1">
      <alignment horizontal="right" shrinkToFit="1"/>
    </xf>
    <xf numFmtId="40" fontId="94" fillId="0" borderId="28" xfId="17" applyNumberFormat="1" applyFont="1" applyFill="1" applyBorder="1" applyAlignment="1" applyProtection="1">
      <alignment horizontal="right" shrinkToFit="1"/>
      <protection locked="0"/>
    </xf>
    <xf numFmtId="40" fontId="95" fillId="16" borderId="12" xfId="17" applyNumberFormat="1" applyFont="1" applyFill="1" applyBorder="1" applyAlignment="1" applyProtection="1">
      <alignment horizontal="right" shrinkToFit="1"/>
    </xf>
    <xf numFmtId="4" fontId="95" fillId="0" borderId="0" xfId="17" applyNumberFormat="1" applyFont="1" applyFill="1" applyBorder="1" applyAlignment="1" applyProtection="1">
      <alignment vertical="center" shrinkToFit="1"/>
    </xf>
    <xf numFmtId="38" fontId="94" fillId="16" borderId="28" xfId="18" applyNumberFormat="1" applyFont="1" applyFill="1" applyBorder="1" applyAlignment="1" applyProtection="1">
      <alignment horizontal="right" shrinkToFit="1"/>
    </xf>
    <xf numFmtId="38" fontId="94" fillId="16" borderId="33" xfId="18" applyNumberFormat="1" applyFont="1" applyFill="1" applyBorder="1" applyAlignment="1" applyProtection="1">
      <alignment horizontal="right" shrinkToFit="1"/>
    </xf>
    <xf numFmtId="38" fontId="94" fillId="0" borderId="33" xfId="18" applyNumberFormat="1" applyFont="1" applyFill="1" applyBorder="1" applyAlignment="1" applyProtection="1">
      <alignment horizontal="right" shrinkToFit="1"/>
      <protection locked="0"/>
    </xf>
    <xf numFmtId="38" fontId="94" fillId="0" borderId="0" xfId="18" applyNumberFormat="1" applyFont="1" applyFill="1" applyAlignment="1">
      <alignment horizontal="right" shrinkToFit="1"/>
    </xf>
    <xf numFmtId="38" fontId="95" fillId="16" borderId="28" xfId="18" applyNumberFormat="1" applyFont="1" applyFill="1" applyBorder="1" applyAlignment="1" applyProtection="1">
      <alignment horizontal="right" shrinkToFit="1"/>
    </xf>
    <xf numFmtId="40" fontId="94" fillId="16" borderId="28" xfId="18" applyNumberFormat="1" applyFont="1" applyFill="1" applyBorder="1" applyAlignment="1" applyProtection="1">
      <alignment horizontal="right" shrinkToFit="1"/>
    </xf>
    <xf numFmtId="40" fontId="95" fillId="16" borderId="80" xfId="18" applyNumberFormat="1" applyFont="1" applyFill="1" applyBorder="1" applyAlignment="1" applyProtection="1">
      <alignment horizontal="right" shrinkToFit="1"/>
    </xf>
    <xf numFmtId="0" fontId="95" fillId="16" borderId="0" xfId="17" applyFont="1" applyFill="1" applyAlignment="1" applyProtection="1">
      <alignment horizontal="right" vertical="center"/>
      <protection hidden="1"/>
    </xf>
    <xf numFmtId="38" fontId="90" fillId="0" borderId="23" xfId="0" applyNumberFormat="1" applyFont="1" applyBorder="1" applyAlignment="1" applyProtection="1">
      <alignment vertical="center" shrinkToFit="1"/>
      <protection locked="0"/>
    </xf>
    <xf numFmtId="38" fontId="90" fillId="21" borderId="23" xfId="0" applyNumberFormat="1" applyFont="1" applyFill="1" applyBorder="1" applyAlignment="1" applyProtection="1">
      <alignment shrinkToFit="1"/>
      <protection locked="0"/>
    </xf>
    <xf numFmtId="0" fontId="90" fillId="16" borderId="10" xfId="0" applyFont="1" applyFill="1" applyBorder="1" applyAlignment="1">
      <alignment shrinkToFit="1"/>
    </xf>
    <xf numFmtId="37" fontId="90" fillId="16" borderId="10" xfId="0" applyNumberFormat="1" applyFont="1" applyFill="1" applyBorder="1" applyAlignment="1">
      <alignment shrinkToFit="1"/>
    </xf>
    <xf numFmtId="37" fontId="90" fillId="16" borderId="6" xfId="0" applyNumberFormat="1" applyFont="1" applyFill="1" applyBorder="1" applyAlignment="1">
      <alignment shrinkToFit="1"/>
    </xf>
    <xf numFmtId="0" fontId="90" fillId="16" borderId="19" xfId="0" applyFont="1" applyFill="1" applyBorder="1" applyAlignment="1">
      <alignment shrinkToFit="1"/>
    </xf>
    <xf numFmtId="0" fontId="90" fillId="16" borderId="14" xfId="0" applyFont="1" applyFill="1" applyBorder="1" applyAlignment="1">
      <alignment shrinkToFit="1"/>
    </xf>
    <xf numFmtId="37" fontId="90" fillId="16" borderId="19" xfId="0" applyNumberFormat="1" applyFont="1" applyFill="1" applyBorder="1" applyAlignment="1">
      <alignment shrinkToFit="1"/>
    </xf>
    <xf numFmtId="37" fontId="90" fillId="16" borderId="14" xfId="0" applyNumberFormat="1" applyFont="1" applyFill="1" applyBorder="1" applyAlignment="1">
      <alignment shrinkToFit="1"/>
    </xf>
    <xf numFmtId="38" fontId="90" fillId="16" borderId="19" xfId="0" applyNumberFormat="1" applyFont="1" applyFill="1" applyBorder="1" applyAlignment="1">
      <alignment shrinkToFit="1"/>
    </xf>
    <xf numFmtId="38" fontId="90" fillId="16" borderId="5" xfId="0" applyNumberFormat="1" applyFont="1" applyFill="1" applyBorder="1" applyAlignment="1">
      <alignment shrinkToFit="1"/>
    </xf>
    <xf numFmtId="10" fontId="89" fillId="16" borderId="19" xfId="0" applyNumberFormat="1" applyFont="1" applyFill="1" applyBorder="1" applyAlignment="1">
      <alignment horizontal="left" shrinkToFit="1"/>
    </xf>
    <xf numFmtId="0" fontId="139" fillId="14" borderId="0" xfId="7" applyFont="1" applyFill="1" applyAlignment="1" applyProtection="1">
      <alignment horizontal="centerContinuous" vertical="center"/>
      <protection hidden="1"/>
    </xf>
    <xf numFmtId="38" fontId="90" fillId="16" borderId="11" xfId="4" applyNumberFormat="1" applyFont="1" applyFill="1" applyBorder="1" applyAlignment="1">
      <alignment horizontal="right" vertical="center" shrinkToFit="1"/>
    </xf>
    <xf numFmtId="38" fontId="90" fillId="16" borderId="68" xfId="4" applyNumberFormat="1" applyFont="1" applyFill="1" applyBorder="1" applyAlignment="1">
      <alignment horizontal="right" vertical="center" shrinkToFit="1"/>
    </xf>
    <xf numFmtId="38" fontId="90" fillId="16" borderId="82"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90" fillId="16" borderId="79"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0" fontId="95" fillId="12" borderId="35" xfId="4" applyFont="1" applyFill="1" applyBorder="1" applyAlignment="1" applyProtection="1">
      <alignment horizontal="center"/>
      <protection hidden="1"/>
    </xf>
    <xf numFmtId="0" fontId="95" fillId="13" borderId="35" xfId="4" applyFont="1" applyFill="1" applyBorder="1" applyAlignment="1" applyProtection="1">
      <alignment horizontal="center"/>
      <protection hidden="1"/>
    </xf>
    <xf numFmtId="169" fontId="94" fillId="0" borderId="31" xfId="4" applyNumberFormat="1" applyFont="1" applyBorder="1" applyAlignment="1" applyProtection="1">
      <alignment horizontal="center" shrinkToFit="1"/>
      <protection locked="0"/>
    </xf>
    <xf numFmtId="1" fontId="94" fillId="0" borderId="31" xfId="4" applyNumberFormat="1" applyFont="1" applyBorder="1" applyAlignment="1" applyProtection="1">
      <alignment horizontal="center" shrinkToFit="1"/>
      <protection locked="0"/>
    </xf>
    <xf numFmtId="3" fontId="94" fillId="0" borderId="31" xfId="4" applyNumberFormat="1" applyFont="1" applyBorder="1" applyAlignment="1" applyProtection="1">
      <alignment horizontal="center" shrinkToFit="1"/>
      <protection locked="0"/>
    </xf>
    <xf numFmtId="169" fontId="94" fillId="0" borderId="11" xfId="4" applyNumberFormat="1" applyFont="1" applyBorder="1" applyAlignment="1" applyProtection="1">
      <alignment horizontal="center" shrinkToFit="1"/>
      <protection locked="0"/>
    </xf>
    <xf numFmtId="1" fontId="94" fillId="0" borderId="11" xfId="4" applyNumberFormat="1" applyFont="1" applyBorder="1" applyAlignment="1" applyProtection="1">
      <alignment horizontal="center" shrinkToFit="1"/>
      <protection locked="0"/>
    </xf>
    <xf numFmtId="3" fontId="94"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94" fillId="0" borderId="0" xfId="0" applyFont="1" applyFill="1" applyAlignment="1" applyProtection="1">
      <alignment horizontal="left" vertical="center"/>
      <protection hidden="1"/>
    </xf>
    <xf numFmtId="0" fontId="96" fillId="0" borderId="0" xfId="0" applyFont="1" applyFill="1" applyBorder="1" applyAlignment="1" applyProtection="1">
      <alignment vertical="center"/>
    </xf>
    <xf numFmtId="0" fontId="90" fillId="0" borderId="0" xfId="0" applyFont="1" applyFill="1" applyBorder="1" applyAlignment="1" applyProtection="1">
      <alignment horizontal="left" vertical="top"/>
    </xf>
    <xf numFmtId="0" fontId="96" fillId="0" borderId="0" xfId="0" applyFont="1" applyFill="1" applyBorder="1" applyAlignment="1">
      <alignment horizontal="left" vertical="top"/>
    </xf>
    <xf numFmtId="0" fontId="100" fillId="0" borderId="0" xfId="0" applyFont="1" applyFill="1" applyBorder="1" applyAlignment="1" applyProtection="1">
      <alignment vertical="center"/>
    </xf>
    <xf numFmtId="0" fontId="105" fillId="0" borderId="0" xfId="0" applyFont="1" applyFill="1" applyBorder="1" applyAlignment="1" applyProtection="1">
      <alignment horizontal="right"/>
      <protection hidden="1"/>
    </xf>
    <xf numFmtId="0" fontId="94" fillId="0" borderId="0" xfId="0" applyFont="1" applyFill="1" applyAlignment="1" applyProtection="1">
      <alignment vertical="center"/>
    </xf>
    <xf numFmtId="0" fontId="95" fillId="0" borderId="6" xfId="0" applyFont="1" applyFill="1" applyBorder="1" applyAlignment="1" applyProtection="1">
      <alignment horizontal="left" vertical="center" indent="2"/>
    </xf>
    <xf numFmtId="0" fontId="95" fillId="0" borderId="2" xfId="0" applyNumberFormat="1" applyFont="1" applyFill="1" applyBorder="1" applyAlignment="1" applyProtection="1">
      <alignment horizontal="center" vertical="center" wrapText="1"/>
      <protection hidden="1"/>
    </xf>
    <xf numFmtId="0" fontId="96" fillId="0" borderId="0" xfId="0" applyFont="1" applyFill="1" applyProtection="1"/>
    <xf numFmtId="0" fontId="89" fillId="0" borderId="31" xfId="0" applyFont="1" applyFill="1" applyBorder="1" applyAlignment="1" applyProtection="1">
      <alignment horizontal="center" vertical="center" wrapText="1"/>
      <protection hidden="1"/>
    </xf>
    <xf numFmtId="0" fontId="95" fillId="0" borderId="0" xfId="17" applyFont="1" applyFill="1" applyAlignment="1" applyProtection="1">
      <alignment vertical="center"/>
      <protection hidden="1"/>
    </xf>
    <xf numFmtId="0" fontId="95" fillId="0" borderId="0" xfId="18" applyFont="1" applyFill="1" applyAlignment="1">
      <alignment vertical="center"/>
    </xf>
    <xf numFmtId="0" fontId="95" fillId="0" borderId="0" xfId="18" applyFont="1" applyFill="1" applyAlignment="1">
      <alignment horizontal="right" vertical="center"/>
    </xf>
    <xf numFmtId="0" fontId="95" fillId="0" borderId="0" xfId="0" applyFont="1" applyFill="1" applyBorder="1" applyAlignment="1" applyProtection="1">
      <alignment horizontal="left" vertical="center"/>
      <protection hidden="1"/>
    </xf>
    <xf numFmtId="0" fontId="95" fillId="0" borderId="0" xfId="17" applyFont="1" applyFill="1" applyAlignment="1">
      <alignment vertical="center"/>
    </xf>
    <xf numFmtId="0" fontId="90" fillId="0" borderId="0" xfId="0" applyFont="1" applyFill="1"/>
    <xf numFmtId="0" fontId="142" fillId="0" borderId="0" xfId="7" applyFont="1" applyFill="1"/>
    <xf numFmtId="0" fontId="149" fillId="0" borderId="0" xfId="7" applyFont="1"/>
    <xf numFmtId="0" fontId="142" fillId="0" borderId="0" xfId="7" applyFont="1" applyProtection="1"/>
    <xf numFmtId="0" fontId="96" fillId="0" borderId="3" xfId="4" applyNumberFormat="1" applyFont="1" applyFill="1" applyBorder="1" applyAlignment="1" applyProtection="1">
      <alignment horizontal="centerContinuous" vertical="center"/>
      <protection hidden="1"/>
    </xf>
    <xf numFmtId="0" fontId="96" fillId="0" borderId="4" xfId="4" applyNumberFormat="1" applyFont="1" applyFill="1" applyBorder="1" applyAlignment="1" applyProtection="1">
      <alignment horizontal="centerContinuous" vertical="center"/>
      <protection hidden="1"/>
    </xf>
    <xf numFmtId="0" fontId="84" fillId="0" borderId="0" xfId="10" applyFont="1" applyAlignment="1">
      <alignment vertical="center"/>
    </xf>
    <xf numFmtId="182" fontId="84" fillId="0" borderId="0" xfId="10" applyNumberFormat="1" applyAlignment="1">
      <alignment vertical="center"/>
    </xf>
    <xf numFmtId="0" fontId="84" fillId="0" borderId="0" xfId="10" applyAlignment="1">
      <alignment vertical="center"/>
    </xf>
    <xf numFmtId="0" fontId="84" fillId="0" borderId="0" xfId="10"/>
    <xf numFmtId="0" fontId="84" fillId="0" borderId="0" xfId="10" applyAlignment="1">
      <alignment horizontal="center" vertical="center" wrapText="1"/>
    </xf>
    <xf numFmtId="182" fontId="84" fillId="0" borderId="0" xfId="10" applyNumberFormat="1" applyAlignment="1">
      <alignment horizontal="center" vertical="center" wrapText="1"/>
    </xf>
    <xf numFmtId="0" fontId="84" fillId="0" borderId="0" xfId="10" applyAlignment="1">
      <alignment horizontal="center" vertical="top" wrapText="1"/>
    </xf>
    <xf numFmtId="182" fontId="84" fillId="0" borderId="0" xfId="10" applyNumberFormat="1" applyAlignment="1">
      <alignment horizontal="center" vertical="top" wrapText="1"/>
    </xf>
    <xf numFmtId="0" fontId="150" fillId="0" borderId="71" xfId="10" applyFont="1" applyBorder="1" applyAlignment="1">
      <alignment horizontal="left" vertical="top"/>
    </xf>
    <xf numFmtId="182" fontId="144" fillId="0" borderId="72" xfId="10" applyNumberFormat="1" applyFont="1" applyBorder="1" applyAlignment="1">
      <alignment horizontal="center" vertical="top"/>
    </xf>
    <xf numFmtId="0" fontId="144" fillId="0" borderId="72" xfId="10" applyFont="1" applyBorder="1" applyAlignment="1">
      <alignment horizontal="center" vertical="top"/>
    </xf>
    <xf numFmtId="0" fontId="144" fillId="0" borderId="83" xfId="10" applyFont="1" applyBorder="1" applyAlignment="1">
      <alignment horizontal="center" vertical="top"/>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182" fontId="151" fillId="0" borderId="0" xfId="10" applyNumberFormat="1"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87" fillId="14" borderId="86" xfId="10" applyFont="1" applyFill="1" applyBorder="1" applyAlignment="1">
      <alignment horizontal="center" vertical="center" wrapText="1"/>
    </xf>
    <xf numFmtId="182" fontId="87" fillId="14" borderId="86" xfId="10" applyNumberFormat="1" applyFont="1" applyFill="1" applyBorder="1" applyAlignment="1">
      <alignment horizontal="center" vertical="center" wrapText="1"/>
    </xf>
    <xf numFmtId="38" fontId="87" fillId="14" borderId="86" xfId="10" applyNumberFormat="1" applyFont="1" applyFill="1" applyBorder="1" applyAlignment="1">
      <alignment horizontal="center" vertical="center" wrapText="1"/>
    </xf>
    <xf numFmtId="0" fontId="151" fillId="12" borderId="162" xfId="10" applyFont="1" applyFill="1" applyBorder="1" applyAlignment="1" applyProtection="1">
      <alignment horizontal="left" vertical="top" wrapText="1"/>
    </xf>
    <xf numFmtId="0" fontId="151" fillId="12" borderId="162" xfId="10" applyFont="1" applyFill="1" applyBorder="1" applyAlignment="1" applyProtection="1">
      <alignment vertical="top"/>
    </xf>
    <xf numFmtId="38" fontId="151" fillId="12" borderId="162" xfId="10" applyNumberFormat="1" applyFont="1" applyFill="1" applyBorder="1" applyAlignment="1" applyProtection="1">
      <alignment horizontal="right" vertical="top"/>
    </xf>
    <xf numFmtId="38" fontId="151" fillId="12" borderId="162" xfId="10" applyNumberFormat="1" applyFont="1" applyFill="1" applyBorder="1" applyAlignment="1" applyProtection="1">
      <alignment vertical="top"/>
    </xf>
    <xf numFmtId="0" fontId="84" fillId="0" borderId="162" xfId="10" applyFont="1" applyBorder="1" applyAlignment="1" applyProtection="1">
      <alignment vertical="top"/>
      <protection locked="0"/>
    </xf>
    <xf numFmtId="38" fontId="84" fillId="0" borderId="162" xfId="10" applyNumberFormat="1" applyBorder="1" applyAlignment="1" applyProtection="1">
      <alignment horizontal="right" vertical="top"/>
      <protection locked="0"/>
    </xf>
    <xf numFmtId="0" fontId="84" fillId="0" borderId="0" xfId="10" quotePrefix="1" applyNumberFormat="1" applyFont="1"/>
    <xf numFmtId="0" fontId="84" fillId="0" borderId="162" xfId="10" applyBorder="1" applyAlignment="1" applyProtection="1">
      <alignment horizontal="left" vertical="top" wrapText="1"/>
      <protection locked="0"/>
    </xf>
    <xf numFmtId="0" fontId="84" fillId="0" borderId="162" xfId="10" applyBorder="1" applyAlignment="1" applyProtection="1">
      <alignment vertical="top"/>
      <protection locked="0"/>
    </xf>
    <xf numFmtId="0" fontId="84" fillId="16" borderId="87" xfId="10" applyFill="1" applyBorder="1" applyAlignment="1" applyProtection="1">
      <alignment horizontal="left" vertical="top" wrapText="1"/>
    </xf>
    <xf numFmtId="0" fontId="84" fillId="16" borderId="87" xfId="10" applyFill="1" applyBorder="1" applyAlignment="1" applyProtection="1">
      <alignment vertical="top"/>
    </xf>
    <xf numFmtId="38" fontId="84" fillId="16" borderId="87" xfId="10" applyNumberFormat="1" applyFill="1" applyBorder="1" applyAlignment="1" applyProtection="1">
      <alignment horizontal="right" vertical="top"/>
    </xf>
    <xf numFmtId="38" fontId="84" fillId="16" borderId="87" xfId="10" applyNumberFormat="1" applyFont="1" applyFill="1" applyBorder="1" applyAlignment="1" applyProtection="1">
      <alignment horizontal="right" vertical="top"/>
    </xf>
    <xf numFmtId="38" fontId="84" fillId="16" borderId="87" xfId="10" applyNumberFormat="1" applyFill="1" applyBorder="1" applyAlignment="1" applyProtection="1">
      <alignment vertical="top"/>
    </xf>
    <xf numFmtId="0" fontId="84" fillId="0" borderId="0" xfId="10" applyAlignment="1">
      <alignment horizontal="left" vertical="top" wrapText="1"/>
    </xf>
    <xf numFmtId="182" fontId="84" fillId="0" borderId="0" xfId="10" applyNumberFormat="1" applyAlignment="1">
      <alignment vertical="top"/>
    </xf>
    <xf numFmtId="0" fontId="84" fillId="0" borderId="0" xfId="10" applyAlignment="1">
      <alignment vertical="top"/>
    </xf>
    <xf numFmtId="38" fontId="84" fillId="0" borderId="0" xfId="10" applyNumberFormat="1" applyAlignment="1">
      <alignment horizontal="right" vertical="top"/>
    </xf>
    <xf numFmtId="183" fontId="84" fillId="0" borderId="0" xfId="10" applyNumberFormat="1"/>
    <xf numFmtId="0" fontId="82" fillId="0" borderId="0" xfId="0" applyFont="1"/>
    <xf numFmtId="0" fontId="114" fillId="0" borderId="2" xfId="0" applyFont="1" applyBorder="1" applyAlignment="1">
      <alignment horizontal="left" wrapText="1"/>
    </xf>
    <xf numFmtId="0" fontId="152" fillId="0" borderId="85" xfId="10" applyFont="1" applyBorder="1" applyAlignment="1">
      <alignment vertical="top"/>
    </xf>
    <xf numFmtId="0" fontId="152" fillId="0" borderId="0" xfId="10" applyFont="1" applyBorder="1" applyAlignment="1">
      <alignment vertical="top"/>
    </xf>
    <xf numFmtId="41" fontId="109" fillId="18" borderId="137" xfId="0" applyNumberFormat="1" applyFont="1" applyFill="1" applyBorder="1" applyAlignment="1" applyProtection="1">
      <alignment horizontal="right" shrinkToFit="1"/>
      <protection locked="0"/>
    </xf>
    <xf numFmtId="41" fontId="109" fillId="11" borderId="0" xfId="0" applyNumberFormat="1" applyFont="1" applyFill="1" applyBorder="1" applyAlignment="1">
      <alignment horizontal="right" shrinkToFit="1"/>
    </xf>
    <xf numFmtId="38" fontId="84" fillId="16" borderId="162" xfId="10" applyNumberFormat="1" applyFill="1" applyBorder="1" applyAlignment="1" applyProtection="1">
      <alignment horizontal="right" vertical="top"/>
    </xf>
    <xf numFmtId="184" fontId="151" fillId="12" borderId="162" xfId="10" applyNumberFormat="1" applyFont="1" applyFill="1" applyBorder="1" applyAlignment="1" applyProtection="1">
      <alignment horizontal="center" vertical="top"/>
    </xf>
    <xf numFmtId="184" fontId="84" fillId="0" borderId="162" xfId="10" applyNumberFormat="1" applyFont="1" applyBorder="1" applyAlignment="1" applyProtection="1">
      <alignment horizontal="center" vertical="top"/>
      <protection locked="0"/>
    </xf>
    <xf numFmtId="184" fontId="84" fillId="0" borderId="162" xfId="10" applyNumberFormat="1" applyFont="1" applyBorder="1" applyAlignment="1" applyProtection="1">
      <alignment horizontal="center" vertical="center"/>
      <protection locked="0"/>
    </xf>
    <xf numFmtId="184" fontId="84" fillId="0" borderId="162" xfId="10" applyNumberFormat="1" applyBorder="1" applyAlignment="1" applyProtection="1">
      <alignment horizontal="center" vertical="center"/>
      <protection locked="0"/>
    </xf>
    <xf numFmtId="184" fontId="84" fillId="16" borderId="87" xfId="10" applyNumberFormat="1" applyFill="1" applyBorder="1" applyAlignment="1" applyProtection="1">
      <alignment vertical="top"/>
    </xf>
    <xf numFmtId="0" fontId="96" fillId="0" borderId="6" xfId="4" applyNumberFormat="1" applyFont="1" applyBorder="1" applyAlignment="1">
      <alignment vertical="center"/>
    </xf>
    <xf numFmtId="0" fontId="84" fillId="0" borderId="0" xfId="10" applyFont="1" applyAlignment="1">
      <alignment horizontal="left" vertical="center"/>
    </xf>
    <xf numFmtId="0" fontId="84" fillId="0" borderId="162" xfId="10" applyFont="1" applyBorder="1" applyAlignment="1" applyProtection="1">
      <alignment vertical="top"/>
      <protection locked="0"/>
    </xf>
    <xf numFmtId="0" fontId="95" fillId="0" borderId="35" xfId="4" applyFont="1" applyFill="1" applyBorder="1" applyAlignment="1" applyProtection="1">
      <alignment horizontal="center"/>
      <protection hidden="1"/>
    </xf>
    <xf numFmtId="0" fontId="96" fillId="0" borderId="0" xfId="4" applyFont="1" applyFill="1" applyAlignment="1" applyProtection="1">
      <alignment horizontal="center"/>
    </xf>
    <xf numFmtId="0" fontId="95" fillId="0" borderId="16" xfId="4" applyFont="1" applyFill="1" applyBorder="1" applyAlignment="1" applyProtection="1">
      <alignment horizontal="centerContinuous"/>
    </xf>
    <xf numFmtId="169" fontId="95" fillId="0" borderId="0" xfId="4" applyNumberFormat="1" applyFont="1" applyFill="1" applyProtection="1">
      <protection hidden="1"/>
    </xf>
    <xf numFmtId="0" fontId="96" fillId="0" borderId="0" xfId="4" applyFont="1" applyFill="1" applyProtection="1">
      <protection hidden="1"/>
    </xf>
    <xf numFmtId="0" fontId="105" fillId="0" borderId="0" xfId="4" applyFont="1" applyFill="1" applyBorder="1" applyAlignment="1" applyProtection="1">
      <alignment horizontal="right"/>
      <protection hidden="1"/>
    </xf>
    <xf numFmtId="164" fontId="3" fillId="0" borderId="2" xfId="16" applyNumberFormat="1" applyFont="1" applyFill="1" applyBorder="1" applyAlignment="1" applyProtection="1">
      <alignment horizontal="left" vertical="center"/>
      <protection locked="0"/>
    </xf>
    <xf numFmtId="177" fontId="3" fillId="0" borderId="2" xfId="16" applyNumberFormat="1" applyFont="1" applyFill="1" applyBorder="1" applyAlignment="1" applyProtection="1">
      <alignment horizontal="right"/>
      <protection locked="0"/>
    </xf>
    <xf numFmtId="38" fontId="8" fillId="0" borderId="2" xfId="0" applyNumberFormat="1" applyFont="1" applyFill="1" applyBorder="1" applyAlignment="1" applyProtection="1">
      <alignment horizontal="right"/>
      <protection locked="0"/>
    </xf>
    <xf numFmtId="0" fontId="8" fillId="0" borderId="2" xfId="0" applyFont="1" applyFill="1" applyBorder="1" applyAlignment="1" applyProtection="1">
      <alignment horizontal="right"/>
      <protection locked="0"/>
    </xf>
    <xf numFmtId="38" fontId="8" fillId="0" borderId="2" xfId="16" applyNumberFormat="1" applyFont="1" applyFill="1" applyBorder="1" applyAlignment="1" applyProtection="1">
      <alignment horizontal="right"/>
      <protection locked="0"/>
    </xf>
    <xf numFmtId="0" fontId="8" fillId="0" borderId="2" xfId="16" applyFont="1" applyFill="1" applyBorder="1" applyAlignment="1" applyProtection="1">
      <alignment horizontal="right" vertical="top"/>
      <protection locked="0"/>
    </xf>
    <xf numFmtId="38" fontId="90" fillId="0" borderId="2" xfId="16" applyNumberFormat="1" applyFont="1" applyFill="1" applyBorder="1" applyAlignment="1" applyProtection="1">
      <alignment horizontal="right"/>
      <protection locked="0"/>
    </xf>
    <xf numFmtId="3" fontId="90" fillId="0" borderId="2" xfId="16" applyNumberFormat="1" applyFont="1" applyFill="1" applyBorder="1" applyAlignment="1" applyProtection="1">
      <alignment horizontal="right" vertical="center"/>
      <protection locked="0"/>
    </xf>
    <xf numFmtId="38" fontId="90" fillId="0" borderId="2" xfId="16" applyNumberFormat="1" applyFont="1" applyFill="1" applyBorder="1" applyAlignment="1" applyProtection="1">
      <alignment horizontal="right" vertical="center"/>
      <protection locked="0"/>
    </xf>
    <xf numFmtId="0" fontId="84" fillId="0" borderId="162" xfId="10" applyFont="1" applyBorder="1" applyAlignment="1" applyProtection="1">
      <alignment horizontal="left" vertical="top" wrapText="1"/>
      <protection locked="0"/>
    </xf>
    <xf numFmtId="0" fontId="96" fillId="0" borderId="88" xfId="4" applyNumberFormat="1" applyFont="1" applyBorder="1" applyAlignment="1">
      <alignment vertical="center"/>
    </xf>
    <xf numFmtId="0" fontId="96" fillId="0" borderId="89" xfId="4" applyNumberFormat="1" applyFont="1" applyBorder="1" applyAlignment="1">
      <alignment vertical="center"/>
    </xf>
    <xf numFmtId="0" fontId="105" fillId="0" borderId="89" xfId="4" applyNumberFormat="1" applyFont="1" applyBorder="1" applyAlignment="1">
      <alignment horizontal="center" vertical="center"/>
    </xf>
    <xf numFmtId="0" fontId="105" fillId="0" borderId="89" xfId="4" applyNumberFormat="1" applyFont="1" applyBorder="1" applyAlignment="1">
      <alignment horizontal="left" vertical="center"/>
    </xf>
    <xf numFmtId="0" fontId="96" fillId="0" borderId="90" xfId="4" applyNumberFormat="1" applyFont="1" applyBorder="1" applyAlignment="1">
      <alignment vertical="center"/>
    </xf>
    <xf numFmtId="0" fontId="96" fillId="0" borderId="91" xfId="4" applyNumberFormat="1" applyFont="1" applyBorder="1" applyAlignment="1">
      <alignment vertical="center"/>
    </xf>
    <xf numFmtId="0" fontId="96" fillId="0" borderId="0" xfId="4" applyNumberFormat="1" applyFont="1" applyBorder="1" applyAlignment="1">
      <alignment horizontal="center" vertical="center"/>
    </xf>
    <xf numFmtId="0" fontId="105" fillId="0" borderId="0" xfId="4" applyNumberFormat="1" applyFont="1" applyBorder="1" applyAlignment="1">
      <alignment horizontal="left" vertical="center"/>
    </xf>
    <xf numFmtId="0" fontId="96" fillId="0" borderId="92" xfId="4" applyNumberFormat="1" applyFont="1" applyBorder="1" applyAlignment="1">
      <alignment vertical="center"/>
    </xf>
    <xf numFmtId="0" fontId="105" fillId="14" borderId="93" xfId="4" applyNumberFormat="1" applyFont="1" applyFill="1" applyBorder="1" applyAlignment="1">
      <alignment horizontal="left"/>
    </xf>
    <xf numFmtId="0" fontId="96" fillId="0" borderId="7" xfId="4" applyNumberFormat="1" applyFont="1" applyBorder="1" applyAlignment="1">
      <alignment horizontal="center" vertical="center"/>
    </xf>
    <xf numFmtId="0" fontId="96" fillId="0" borderId="0" xfId="4" applyNumberFormat="1" applyFont="1" applyBorder="1" applyAlignment="1">
      <alignment horizontal="right" vertical="center" indent="1"/>
    </xf>
    <xf numFmtId="0" fontId="96" fillId="14" borderId="94" xfId="4" applyNumberFormat="1" applyFont="1" applyFill="1" applyBorder="1" applyAlignment="1">
      <alignment vertical="center"/>
    </xf>
    <xf numFmtId="0" fontId="96" fillId="14" borderId="6" xfId="4" applyNumberFormat="1" applyFont="1" applyFill="1" applyBorder="1" applyAlignment="1">
      <alignment vertical="center"/>
    </xf>
    <xf numFmtId="0" fontId="96" fillId="14" borderId="10" xfId="4" applyNumberFormat="1" applyFont="1" applyFill="1" applyBorder="1" applyAlignment="1">
      <alignment vertical="center"/>
    </xf>
    <xf numFmtId="0" fontId="96" fillId="0" borderId="9" xfId="4" applyNumberFormat="1" applyFont="1" applyBorder="1" applyAlignment="1">
      <alignment vertical="center"/>
    </xf>
    <xf numFmtId="0" fontId="96" fillId="0" borderId="93" xfId="4" applyNumberFormat="1" applyFont="1" applyBorder="1" applyAlignment="1">
      <alignment vertical="center"/>
    </xf>
    <xf numFmtId="0" fontId="105" fillId="0" borderId="8" xfId="4" applyNumberFormat="1" applyFont="1" applyFill="1" applyBorder="1" applyAlignment="1" applyProtection="1">
      <alignment horizontal="centerContinuous" vertical="center"/>
      <protection hidden="1"/>
    </xf>
    <xf numFmtId="0" fontId="105" fillId="0" borderId="17" xfId="4" applyNumberFormat="1" applyFont="1" applyFill="1" applyBorder="1" applyAlignment="1" applyProtection="1">
      <alignment horizontal="centerContinuous" vertical="center"/>
      <protection hidden="1"/>
    </xf>
    <xf numFmtId="0" fontId="96" fillId="0" borderId="91" xfId="4" applyNumberFormat="1" applyFont="1" applyFill="1" applyBorder="1" applyAlignment="1">
      <alignment vertical="center"/>
    </xf>
    <xf numFmtId="0" fontId="96" fillId="0" borderId="0" xfId="4" applyNumberFormat="1" applyFont="1" applyFill="1" applyBorder="1" applyAlignment="1">
      <alignment vertical="center"/>
    </xf>
    <xf numFmtId="0" fontId="96" fillId="0" borderId="0" xfId="4" applyNumberFormat="1" applyFont="1" applyFill="1" applyBorder="1" applyAlignment="1">
      <alignment horizontal="center" vertical="center"/>
    </xf>
    <xf numFmtId="0" fontId="96" fillId="0" borderId="24" xfId="4" applyNumberFormat="1" applyFont="1" applyFill="1" applyBorder="1" applyAlignment="1">
      <alignment vertical="center"/>
    </xf>
    <xf numFmtId="0" fontId="105" fillId="0" borderId="4" xfId="4" applyNumberFormat="1" applyFont="1" applyBorder="1" applyAlignment="1">
      <alignment horizontal="center" vertical="center"/>
    </xf>
    <xf numFmtId="0" fontId="105" fillId="0" borderId="17" xfId="4" applyNumberFormat="1" applyFont="1" applyBorder="1" applyAlignment="1">
      <alignment horizontal="center" vertical="center"/>
    </xf>
    <xf numFmtId="0" fontId="105" fillId="0" borderId="17" xfId="11" quotePrefix="1" applyNumberFormat="1" applyFont="1" applyBorder="1" applyAlignment="1">
      <alignment horizontal="center" vertical="center"/>
    </xf>
    <xf numFmtId="0" fontId="96" fillId="0" borderId="17" xfId="4" applyNumberFormat="1" applyFont="1" applyBorder="1" applyAlignment="1">
      <alignment horizontal="center" vertical="center"/>
    </xf>
    <xf numFmtId="0" fontId="105" fillId="0" borderId="18" xfId="4" applyNumberFormat="1" applyFont="1" applyBorder="1" applyAlignment="1">
      <alignment horizontal="center" vertical="center" wrapText="1"/>
    </xf>
    <xf numFmtId="0" fontId="105" fillId="0" borderId="18" xfId="11" applyNumberFormat="1" applyFont="1" applyBorder="1" applyAlignment="1">
      <alignment horizontal="center" vertical="center" wrapText="1"/>
    </xf>
    <xf numFmtId="0" fontId="105" fillId="0" borderId="18" xfId="4" applyNumberFormat="1" applyFont="1" applyBorder="1" applyAlignment="1">
      <alignment horizontal="center" vertical="center"/>
    </xf>
    <xf numFmtId="164" fontId="105" fillId="0" borderId="95" xfId="4" applyNumberFormat="1" applyFont="1" applyBorder="1" applyAlignment="1">
      <alignment horizontal="right" vertical="center"/>
    </xf>
    <xf numFmtId="0" fontId="96" fillId="0" borderId="14" xfId="4" applyNumberFormat="1" applyFont="1" applyBorder="1" applyAlignment="1">
      <alignment horizontal="left" vertical="center"/>
    </xf>
    <xf numFmtId="0" fontId="96" fillId="0" borderId="2" xfId="4" applyNumberFormat="1" applyFont="1" applyBorder="1" applyAlignment="1">
      <alignment horizontal="left" vertical="center" indent="1"/>
    </xf>
    <xf numFmtId="38" fontId="96" fillId="22" borderId="2" xfId="4" applyNumberFormat="1" applyFont="1" applyFill="1" applyBorder="1" applyAlignment="1" applyProtection="1">
      <alignment vertical="center" shrinkToFit="1"/>
      <protection locked="0"/>
    </xf>
    <xf numFmtId="0" fontId="96" fillId="15" borderId="2" xfId="4" applyNumberFormat="1" applyFont="1" applyFill="1" applyBorder="1" applyAlignment="1">
      <alignment vertical="center" shrinkToFit="1"/>
    </xf>
    <xf numFmtId="38" fontId="96" fillId="16"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lignment vertical="center" shrinkToFit="1"/>
    </xf>
    <xf numFmtId="38" fontId="96" fillId="0" borderId="2" xfId="4" applyNumberFormat="1" applyFont="1" applyBorder="1" applyAlignment="1" applyProtection="1">
      <alignment vertical="center" shrinkToFit="1"/>
      <protection locked="0"/>
    </xf>
    <xf numFmtId="0" fontId="96" fillId="0" borderId="2" xfId="4" applyNumberFormat="1" applyFont="1" applyBorder="1" applyAlignment="1">
      <alignment horizontal="left" vertical="top" indent="1"/>
    </xf>
    <xf numFmtId="164" fontId="105" fillId="0" borderId="95" xfId="4" applyNumberFormat="1" applyFont="1" applyBorder="1" applyAlignment="1">
      <alignment vertical="top"/>
    </xf>
    <xf numFmtId="38" fontId="96" fillId="0"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pplyProtection="1">
      <alignment vertical="center" shrinkToFit="1"/>
    </xf>
    <xf numFmtId="0" fontId="105" fillId="0" borderId="14" xfId="4" applyNumberFormat="1" applyFont="1" applyBorder="1" applyAlignment="1">
      <alignment horizontal="left" vertical="center"/>
    </xf>
    <xf numFmtId="0" fontId="96" fillId="0" borderId="19" xfId="4" applyNumberFormat="1" applyFont="1" applyBorder="1" applyAlignment="1">
      <alignment horizontal="center" vertical="center"/>
    </xf>
    <xf numFmtId="38" fontId="96" fillId="16" borderId="26" xfId="4" applyNumberFormat="1" applyFont="1" applyFill="1" applyBorder="1" applyAlignment="1">
      <alignment vertical="center" shrinkToFit="1"/>
    </xf>
    <xf numFmtId="0" fontId="96" fillId="15" borderId="18" xfId="4" applyNumberFormat="1" applyFont="1" applyFill="1" applyBorder="1" applyAlignment="1">
      <alignment vertical="center" shrinkToFit="1"/>
    </xf>
    <xf numFmtId="9" fontId="96" fillId="16" borderId="18" xfId="4" applyNumberFormat="1" applyFont="1" applyFill="1" applyBorder="1" applyAlignment="1">
      <alignment horizontal="center" vertical="center" shrinkToFit="1"/>
    </xf>
    <xf numFmtId="0" fontId="96" fillId="0" borderId="91" xfId="4" applyNumberFormat="1" applyFont="1" applyBorder="1" applyAlignment="1">
      <alignment horizontal="right" vertical="center"/>
    </xf>
    <xf numFmtId="0" fontId="96" fillId="0" borderId="0" xfId="4" applyNumberFormat="1" applyFont="1" applyBorder="1" applyAlignment="1"/>
    <xf numFmtId="0" fontId="96" fillId="0" borderId="0" xfId="4" applyNumberFormat="1" applyFont="1" applyBorder="1" applyAlignment="1">
      <alignment horizontal="center" wrapText="1"/>
    </xf>
    <xf numFmtId="0" fontId="111" fillId="0" borderId="0" xfId="4" applyFont="1" applyBorder="1" applyAlignment="1">
      <alignment horizontal="center" vertical="center" wrapText="1"/>
    </xf>
    <xf numFmtId="0" fontId="96" fillId="0" borderId="0" xfId="4" applyNumberFormat="1" applyFont="1" applyFill="1" applyBorder="1" applyAlignment="1">
      <alignment vertical="center" shrinkToFit="1"/>
    </xf>
    <xf numFmtId="9" fontId="96" fillId="0" borderId="0" xfId="4" applyNumberFormat="1" applyFont="1" applyFill="1" applyBorder="1" applyAlignment="1">
      <alignment horizontal="center" vertical="center" shrinkToFit="1"/>
    </xf>
    <xf numFmtId="0" fontId="96" fillId="0" borderId="0" xfId="4" applyNumberFormat="1" applyFont="1" applyBorder="1" applyAlignment="1">
      <alignment horizontal="right" vertical="center"/>
    </xf>
    <xf numFmtId="0" fontId="105" fillId="0" borderId="91" xfId="4" applyNumberFormat="1" applyFont="1" applyBorder="1" applyAlignment="1">
      <alignment vertical="center"/>
    </xf>
    <xf numFmtId="0" fontId="96" fillId="0" borderId="91" xfId="4" applyNumberFormat="1" applyFont="1" applyFill="1" applyBorder="1" applyAlignment="1" applyProtection="1">
      <alignment vertical="center"/>
      <protection hidden="1"/>
    </xf>
    <xf numFmtId="0" fontId="96" fillId="0" borderId="0" xfId="4" applyNumberFormat="1" applyFont="1" applyFill="1" applyBorder="1" applyAlignment="1" applyProtection="1">
      <alignment horizontal="right" vertical="center"/>
      <protection hidden="1"/>
    </xf>
    <xf numFmtId="0" fontId="96" fillId="0" borderId="0" xfId="4" applyNumberFormat="1" applyFont="1" applyFill="1" applyBorder="1" applyAlignment="1" applyProtection="1">
      <alignment vertical="center"/>
      <protection hidden="1"/>
    </xf>
    <xf numFmtId="0" fontId="111" fillId="0" borderId="91" xfId="4" applyNumberFormat="1" applyFont="1" applyBorder="1" applyAlignment="1">
      <alignment vertical="center"/>
    </xf>
    <xf numFmtId="0" fontId="111" fillId="0" borderId="140" xfId="4" applyNumberFormat="1" applyFont="1" applyBorder="1" applyAlignment="1">
      <alignment horizontal="center" vertical="center"/>
    </xf>
    <xf numFmtId="0" fontId="111" fillId="0" borderId="0" xfId="4" applyNumberFormat="1" applyFont="1" applyBorder="1" applyAlignment="1">
      <alignment vertical="center" wrapText="1"/>
    </xf>
    <xf numFmtId="0" fontId="111" fillId="0" borderId="140" xfId="4" applyNumberFormat="1" applyFont="1" applyBorder="1" applyAlignment="1">
      <alignment horizontal="center"/>
    </xf>
    <xf numFmtId="0" fontId="111" fillId="0" borderId="0" xfId="4" applyNumberFormat="1" applyFont="1" applyBorder="1" applyAlignment="1"/>
    <xf numFmtId="0" fontId="105" fillId="0" borderId="0" xfId="4" applyNumberFormat="1" applyFont="1" applyBorder="1" applyAlignment="1">
      <alignment horizontal="right"/>
    </xf>
    <xf numFmtId="0" fontId="110" fillId="0" borderId="0" xfId="4" applyNumberFormat="1" applyFont="1" applyBorder="1" applyAlignment="1">
      <alignment vertical="center"/>
    </xf>
    <xf numFmtId="0" fontId="105" fillId="0" borderId="0" xfId="4" applyNumberFormat="1" applyFont="1" applyBorder="1" applyAlignment="1">
      <alignment vertical="center"/>
    </xf>
    <xf numFmtId="0" fontId="96" fillId="0" borderId="0" xfId="4" applyFont="1" applyFill="1" applyBorder="1" applyAlignment="1" applyProtection="1">
      <alignment horizontal="left" vertical="top" wrapText="1" indent="2"/>
      <protection hidden="1"/>
    </xf>
    <xf numFmtId="0" fontId="96" fillId="0" borderId="0" xfId="4" applyNumberFormat="1" applyFont="1" applyBorder="1" applyAlignment="1">
      <alignment horizontal="left" vertical="center" indent="2"/>
    </xf>
    <xf numFmtId="0" fontId="96" fillId="0" borderId="0" xfId="4" applyFont="1" applyBorder="1" applyAlignment="1">
      <alignment horizontal="left" wrapText="1" indent="2"/>
    </xf>
    <xf numFmtId="0" fontId="111" fillId="0" borderId="0" xfId="4" applyNumberFormat="1" applyFont="1" applyBorder="1" applyAlignment="1">
      <alignment horizontal="centerContinuous" vertical="center"/>
    </xf>
    <xf numFmtId="0" fontId="119" fillId="0" borderId="0" xfId="2" applyNumberFormat="1" applyFont="1" applyBorder="1" applyAlignment="1" applyProtection="1">
      <alignment horizontal="centerContinuous" vertical="center"/>
    </xf>
    <xf numFmtId="0" fontId="96" fillId="0" borderId="0" xfId="4" quotePrefix="1" applyNumberFormat="1" applyFont="1" applyFill="1" applyBorder="1" applyAlignment="1" applyProtection="1">
      <alignment horizontal="left" vertical="top" wrapText="1" indent="2"/>
      <protection hidden="1"/>
    </xf>
    <xf numFmtId="0" fontId="96" fillId="0" borderId="0" xfId="4" applyFont="1" applyBorder="1" applyAlignment="1">
      <alignment vertical="top" wrapText="1"/>
    </xf>
    <xf numFmtId="0" fontId="96" fillId="0" borderId="96" xfId="4" applyNumberFormat="1" applyFont="1" applyBorder="1" applyAlignment="1">
      <alignment vertical="center"/>
    </xf>
    <xf numFmtId="0" fontId="96" fillId="0" borderId="97" xfId="4" applyNumberFormat="1" applyFont="1" applyBorder="1" applyAlignment="1">
      <alignment vertical="center"/>
    </xf>
    <xf numFmtId="0" fontId="96" fillId="0" borderId="98" xfId="4" applyNumberFormat="1" applyFont="1" applyBorder="1" applyAlignment="1">
      <alignment vertical="center"/>
    </xf>
    <xf numFmtId="0" fontId="96" fillId="0" borderId="91" xfId="11" applyFont="1" applyBorder="1"/>
    <xf numFmtId="0" fontId="96" fillId="0" borderId="0" xfId="11" applyFont="1" applyBorder="1"/>
    <xf numFmtId="0" fontId="96" fillId="0" borderId="92" xfId="11" applyFont="1" applyBorder="1"/>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53" fillId="0" borderId="91" xfId="11" applyFont="1" applyBorder="1" applyAlignment="1"/>
    <xf numFmtId="0" fontId="118" fillId="0" borderId="0" xfId="11" applyFont="1" applyBorder="1"/>
    <xf numFmtId="0" fontId="150" fillId="0" borderId="0" xfId="11" applyFont="1" applyBorder="1" applyAlignment="1">
      <alignment wrapText="1"/>
    </xf>
    <xf numFmtId="0" fontId="150" fillId="0" borderId="92" xfId="11" applyFont="1" applyBorder="1" applyAlignment="1">
      <alignment wrapText="1"/>
    </xf>
    <xf numFmtId="0" fontId="96" fillId="23" borderId="57" xfId="11" applyFont="1" applyFill="1" applyBorder="1"/>
    <xf numFmtId="0" fontId="140" fillId="0" borderId="57" xfId="11" applyFont="1" applyBorder="1" applyAlignment="1">
      <alignment horizontal="center" wrapText="1"/>
    </xf>
    <xf numFmtId="0" fontId="96" fillId="23" borderId="57" xfId="11" applyFont="1" applyFill="1" applyBorder="1" applyAlignment="1">
      <alignment horizontal="center"/>
    </xf>
    <xf numFmtId="0" fontId="140" fillId="0" borderId="99" xfId="11" applyFont="1" applyBorder="1" applyAlignment="1">
      <alignment horizontal="center" wrapText="1"/>
    </xf>
    <xf numFmtId="0" fontId="96" fillId="0" borderId="163" xfId="11" applyFont="1" applyBorder="1" applyAlignment="1">
      <alignment horizontal="center"/>
    </xf>
    <xf numFmtId="38" fontId="105" fillId="22" borderId="164" xfId="11" applyNumberFormat="1" applyFont="1" applyFill="1" applyBorder="1" applyAlignment="1" applyProtection="1">
      <alignment horizontal="center"/>
      <protection locked="0"/>
    </xf>
    <xf numFmtId="38" fontId="96" fillId="23" borderId="0" xfId="11" applyNumberFormat="1" applyFont="1" applyFill="1" applyBorder="1" applyAlignment="1">
      <alignment horizontal="center"/>
    </xf>
    <xf numFmtId="38" fontId="96" fillId="0" borderId="165" xfId="11" applyNumberFormat="1" applyFont="1" applyBorder="1" applyAlignment="1" applyProtection="1">
      <alignment horizontal="center"/>
      <protection locked="0"/>
    </xf>
    <xf numFmtId="38" fontId="96" fillId="0" borderId="163" xfId="11" applyNumberFormat="1" applyFont="1" applyBorder="1" applyAlignment="1" applyProtection="1">
      <alignment horizontal="center"/>
      <protection locked="0"/>
    </xf>
    <xf numFmtId="38" fontId="105" fillId="16" borderId="166" xfId="11" applyNumberFormat="1" applyFont="1" applyFill="1" applyBorder="1" applyAlignment="1">
      <alignment horizontal="center" wrapText="1"/>
    </xf>
    <xf numFmtId="0" fontId="96" fillId="0" borderId="167" xfId="11" applyFont="1" applyBorder="1" applyAlignment="1">
      <alignment horizontal="center"/>
    </xf>
    <xf numFmtId="38" fontId="96" fillId="0" borderId="168" xfId="11" applyNumberFormat="1" applyFont="1" applyBorder="1" applyAlignment="1" applyProtection="1">
      <alignment horizontal="center"/>
      <protection locked="0"/>
    </xf>
    <xf numFmtId="38" fontId="96" fillId="0" borderId="167" xfId="11" applyNumberFormat="1" applyFont="1" applyBorder="1" applyAlignment="1" applyProtection="1">
      <alignment horizontal="center"/>
      <protection locked="0"/>
    </xf>
    <xf numFmtId="0" fontId="96" fillId="0" borderId="169" xfId="11" applyFont="1" applyBorder="1" applyAlignment="1">
      <alignment horizontal="center"/>
    </xf>
    <xf numFmtId="38" fontId="96" fillId="0" borderId="170" xfId="11" applyNumberFormat="1" applyFont="1" applyBorder="1" applyAlignment="1" applyProtection="1">
      <alignment horizontal="center"/>
      <protection locked="0"/>
    </xf>
    <xf numFmtId="38" fontId="96" fillId="0" borderId="169" xfId="11" applyNumberFormat="1" applyFont="1" applyBorder="1" applyAlignment="1" applyProtection="1">
      <alignment horizontal="center"/>
      <protection locked="0"/>
    </xf>
    <xf numFmtId="38" fontId="105" fillId="16" borderId="57" xfId="11" applyNumberFormat="1" applyFont="1" applyFill="1" applyBorder="1" applyAlignment="1">
      <alignment horizontal="center"/>
    </xf>
    <xf numFmtId="38" fontId="105" fillId="23" borderId="57" xfId="11" applyNumberFormat="1" applyFont="1" applyFill="1" applyBorder="1" applyAlignment="1">
      <alignment horizontal="center"/>
    </xf>
    <xf numFmtId="38" fontId="105" fillId="16" borderId="99" xfId="11" applyNumberFormat="1" applyFont="1" applyFill="1" applyBorder="1" applyAlignment="1">
      <alignment horizontal="center"/>
    </xf>
    <xf numFmtId="0" fontId="139" fillId="0" borderId="91" xfId="11" applyFont="1" applyBorder="1"/>
    <xf numFmtId="0" fontId="139" fillId="0" borderId="0" xfId="11" applyFont="1" applyBorder="1"/>
    <xf numFmtId="0" fontId="154" fillId="0" borderId="0" xfId="11" applyFont="1" applyBorder="1"/>
    <xf numFmtId="0" fontId="139" fillId="0" borderId="92" xfId="11" applyFont="1" applyBorder="1"/>
    <xf numFmtId="0" fontId="150" fillId="0" borderId="91" xfId="11" applyFont="1" applyBorder="1"/>
    <xf numFmtId="0" fontId="139" fillId="0" borderId="96" xfId="11" applyFont="1" applyBorder="1"/>
    <xf numFmtId="0" fontId="139" fillId="0" borderId="97" xfId="11" applyFont="1" applyBorder="1"/>
    <xf numFmtId="0" fontId="139" fillId="0" borderId="98" xfId="11" applyFont="1" applyBorder="1"/>
    <xf numFmtId="14" fontId="96" fillId="0" borderId="0" xfId="4" applyNumberFormat="1" applyFont="1" applyBorder="1" applyProtection="1">
      <protection locked="0"/>
    </xf>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6" fillId="0" borderId="9"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0" fontId="26" fillId="0" borderId="7" xfId="19" applyNumberFormat="1"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155" fillId="0" borderId="0" xfId="19" applyFont="1" applyBorder="1" applyAlignment="1" applyProtection="1">
      <alignment horizontal="center" vertical="center" wrapText="1"/>
    </xf>
    <xf numFmtId="0" fontId="155" fillId="0" borderId="5" xfId="19" applyFont="1" applyBorder="1" applyAlignment="1" applyProtection="1">
      <alignment horizontal="center" vertical="center" wrapText="1"/>
    </xf>
    <xf numFmtId="0" fontId="155" fillId="0" borderId="6" xfId="19" applyFont="1" applyBorder="1" applyAlignment="1" applyProtection="1">
      <alignment horizontal="center" vertical="center" wrapText="1"/>
    </xf>
    <xf numFmtId="0" fontId="155" fillId="0" borderId="10" xfId="19" applyFont="1" applyBorder="1" applyAlignment="1" applyProtection="1">
      <alignment horizontal="center" vertical="center" wrapText="1"/>
    </xf>
    <xf numFmtId="0" fontId="6" fillId="0" borderId="6" xfId="19" applyFont="1" applyBorder="1" applyAlignment="1" applyProtection="1">
      <alignment vertical="center"/>
    </xf>
    <xf numFmtId="180" fontId="5" fillId="0" borderId="9" xfId="19"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5" fillId="0" borderId="7" xfId="19"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9" applyFont="1" applyBorder="1" applyAlignment="1" applyProtection="1">
      <alignment horizontal="center" vertical="center"/>
    </xf>
    <xf numFmtId="0" fontId="0" fillId="0" borderId="0" xfId="0" applyBorder="1" applyAlignment="1">
      <alignment horizontal="center" vertical="center"/>
    </xf>
    <xf numFmtId="49" fontId="5" fillId="0" borderId="0" xfId="19" applyNumberFormat="1" applyFont="1" applyBorder="1" applyAlignment="1" applyProtection="1">
      <alignment horizontal="center" vertical="center"/>
    </xf>
    <xf numFmtId="0" fontId="5" fillId="0" borderId="9" xfId="19"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71" xfId="19"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9" applyNumberFormat="1" applyFont="1" applyBorder="1" applyAlignment="1" applyProtection="1">
      <alignment horizontal="center" vertical="center"/>
    </xf>
    <xf numFmtId="0" fontId="0" fillId="0" borderId="5" xfId="0" applyBorder="1" applyAlignment="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9" applyFont="1" applyBorder="1" applyAlignment="1" applyProtection="1">
      <alignment horizontal="center"/>
    </xf>
    <xf numFmtId="0" fontId="5" fillId="0" borderId="5" xfId="0"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9"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0" fontId="89" fillId="0" borderId="0" xfId="0" applyFont="1" applyBorder="1" applyAlignment="1">
      <alignment horizontal="center" vertical="center"/>
    </xf>
    <xf numFmtId="0" fontId="89" fillId="0" borderId="0" xfId="0" applyFont="1" applyBorder="1" applyAlignment="1">
      <alignment horizontal="center"/>
    </xf>
    <xf numFmtId="0" fontId="25" fillId="0" borderId="0" xfId="2" applyBorder="1" applyAlignment="1" applyProtection="1">
      <alignment horizontal="center"/>
    </xf>
    <xf numFmtId="0" fontId="89" fillId="0" borderId="100" xfId="0" applyFont="1" applyBorder="1" applyAlignment="1">
      <alignment horizontal="center"/>
    </xf>
    <xf numFmtId="0" fontId="94" fillId="25" borderId="175" xfId="0" applyFont="1" applyFill="1" applyBorder="1" applyAlignment="1" applyProtection="1">
      <alignment horizontal="center" vertical="center" shrinkToFit="1"/>
    </xf>
    <xf numFmtId="0" fontId="94" fillId="25" borderId="137" xfId="0" applyFont="1" applyFill="1" applyBorder="1" applyAlignment="1" applyProtection="1">
      <alignment horizontal="center" vertical="center" shrinkToFit="1"/>
    </xf>
    <xf numFmtId="0" fontId="94" fillId="25" borderId="136" xfId="0" applyFont="1" applyFill="1" applyBorder="1" applyAlignment="1" applyProtection="1">
      <alignment horizontal="center" vertical="center" shrinkToFit="1"/>
    </xf>
    <xf numFmtId="0" fontId="102" fillId="0" borderId="0" xfId="0" applyFont="1" applyBorder="1" applyAlignment="1" applyProtection="1">
      <alignment horizontal="center" vertical="center"/>
    </xf>
    <xf numFmtId="0" fontId="90" fillId="0" borderId="8" xfId="4" applyFont="1" applyBorder="1" applyAlignment="1" applyProtection="1">
      <alignment horizontal="left" vertical="top"/>
      <protection locked="0"/>
    </xf>
    <xf numFmtId="0" fontId="90" fillId="0" borderId="3" xfId="4" applyFont="1" applyBorder="1" applyAlignment="1" applyProtection="1">
      <alignment horizontal="left" vertical="top"/>
      <protection locked="0"/>
    </xf>
    <xf numFmtId="0" fontId="90" fillId="0" borderId="4" xfId="4" applyFont="1" applyBorder="1" applyAlignment="1" applyProtection="1">
      <alignment horizontal="left" vertical="top"/>
      <protection locked="0"/>
    </xf>
    <xf numFmtId="0" fontId="90" fillId="0" borderId="7" xfId="4" applyFont="1" applyBorder="1" applyAlignment="1" applyProtection="1">
      <alignment horizontal="left" vertical="top"/>
      <protection locked="0"/>
    </xf>
    <xf numFmtId="0" fontId="90" fillId="0" borderId="0" xfId="4" applyFont="1" applyBorder="1" applyAlignment="1" applyProtection="1">
      <alignment horizontal="left" vertical="top"/>
      <protection locked="0"/>
    </xf>
    <xf numFmtId="0" fontId="90" fillId="0" borderId="5" xfId="4" applyFont="1" applyBorder="1" applyAlignment="1" applyProtection="1">
      <alignment horizontal="left" vertical="top"/>
      <protection locked="0"/>
    </xf>
    <xf numFmtId="0" fontId="90" fillId="0" borderId="9" xfId="4" applyFont="1" applyBorder="1" applyAlignment="1" applyProtection="1">
      <alignment horizontal="left" vertical="top"/>
      <protection locked="0"/>
    </xf>
    <xf numFmtId="0" fontId="90" fillId="0" borderId="6" xfId="4" applyFont="1" applyBorder="1" applyAlignment="1" applyProtection="1">
      <alignment horizontal="left" vertical="top"/>
      <protection locked="0"/>
    </xf>
    <xf numFmtId="0" fontId="90" fillId="0" borderId="10" xfId="4" applyFont="1" applyBorder="1" applyAlignment="1" applyProtection="1">
      <alignment horizontal="left" vertical="top"/>
      <protection locked="0"/>
    </xf>
    <xf numFmtId="0" fontId="89" fillId="0" borderId="172" xfId="4" applyFont="1" applyBorder="1" applyAlignment="1" applyProtection="1">
      <alignment horizontal="center"/>
      <protection locked="0"/>
    </xf>
    <xf numFmtId="0" fontId="104" fillId="0" borderId="0" xfId="4" applyFont="1" applyBorder="1" applyAlignment="1">
      <alignment horizontal="left" vertical="top" wrapText="1"/>
    </xf>
    <xf numFmtId="0" fontId="111" fillId="0" borderId="0" xfId="4" applyFont="1" applyBorder="1" applyAlignment="1">
      <alignment horizontal="left" vertical="top" wrapText="1"/>
    </xf>
    <xf numFmtId="0" fontId="111" fillId="0" borderId="0" xfId="4" applyFont="1" applyAlignment="1">
      <alignment horizontal="left" vertical="top" wrapText="1"/>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5" fillId="0" borderId="0" xfId="0" applyFont="1" applyAlignment="1">
      <alignment horizontal="left" vertical="center"/>
    </xf>
    <xf numFmtId="0" fontId="106" fillId="0" borderId="0" xfId="0" applyFont="1" applyAlignment="1">
      <alignment horizontal="left" vertical="center"/>
    </xf>
    <xf numFmtId="0" fontId="96" fillId="0" borderId="0" xfId="0" applyFont="1" applyAlignment="1">
      <alignment horizontal="left" vertical="center"/>
    </xf>
    <xf numFmtId="0" fontId="89" fillId="24" borderId="0" xfId="0" applyFont="1" applyFill="1" applyBorder="1" applyAlignment="1" applyProtection="1">
      <alignment horizontal="center" vertical="center"/>
    </xf>
    <xf numFmtId="0" fontId="89" fillId="24" borderId="138" xfId="0" applyFont="1" applyFill="1" applyBorder="1" applyAlignment="1" applyProtection="1">
      <alignment horizontal="center" vertical="center"/>
    </xf>
    <xf numFmtId="0" fontId="90" fillId="0" borderId="8" xfId="0" applyFont="1" applyBorder="1" applyAlignment="1" applyProtection="1">
      <alignment horizontal="left" vertical="top" wrapText="1"/>
      <protection locked="0"/>
    </xf>
    <xf numFmtId="0" fontId="90" fillId="0" borderId="3" xfId="0" applyFont="1" applyBorder="1" applyAlignment="1" applyProtection="1">
      <alignment horizontal="left" vertical="top" wrapText="1"/>
      <protection locked="0"/>
    </xf>
    <xf numFmtId="0" fontId="90" fillId="0" borderId="4"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0" fillId="0" borderId="0" xfId="0" applyFont="1" applyBorder="1" applyAlignment="1" applyProtection="1">
      <alignment horizontal="left" vertical="top" wrapText="1"/>
      <protection locked="0"/>
    </xf>
    <xf numFmtId="0" fontId="90" fillId="0" borderId="5" xfId="0" applyFont="1" applyBorder="1" applyAlignment="1" applyProtection="1">
      <alignment horizontal="left" vertical="top" wrapText="1"/>
      <protection locked="0"/>
    </xf>
    <xf numFmtId="0" fontId="90" fillId="0" borderId="9"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10" xfId="0" applyFont="1" applyBorder="1" applyAlignment="1" applyProtection="1">
      <alignment horizontal="left" vertical="top" wrapText="1"/>
      <protection locked="0"/>
    </xf>
    <xf numFmtId="0" fontId="143" fillId="18" borderId="173" xfId="0" applyFont="1" applyFill="1" applyBorder="1" applyAlignment="1">
      <alignment horizontal="center" vertical="center" shrinkToFit="1"/>
    </xf>
    <xf numFmtId="0" fontId="143" fillId="18" borderId="174" xfId="0" applyFont="1" applyFill="1" applyBorder="1" applyAlignment="1">
      <alignment horizontal="center" vertical="center" shrinkToFit="1"/>
    </xf>
    <xf numFmtId="0" fontId="100" fillId="0" borderId="0" xfId="0" applyFont="1" applyBorder="1" applyAlignment="1" applyProtection="1">
      <alignment horizontal="center" vertical="center"/>
    </xf>
    <xf numFmtId="38" fontId="89" fillId="0" borderId="101" xfId="0" applyNumberFormat="1" applyFont="1" applyBorder="1" applyAlignment="1" applyProtection="1">
      <alignment horizontal="left" vertical="top" wrapText="1"/>
      <protection locked="0"/>
    </xf>
    <xf numFmtId="0" fontId="89" fillId="0" borderId="102" xfId="0" applyFont="1" applyBorder="1" applyAlignment="1" applyProtection="1">
      <alignment wrapText="1"/>
      <protection locked="0"/>
    </xf>
    <xf numFmtId="0" fontId="89" fillId="0" borderId="103" xfId="0" applyFont="1" applyBorder="1" applyAlignment="1" applyProtection="1">
      <alignment wrapText="1"/>
      <protection locked="0"/>
    </xf>
    <xf numFmtId="0" fontId="89" fillId="0" borderId="104" xfId="0" applyFont="1" applyBorder="1" applyAlignment="1" applyProtection="1">
      <alignment wrapText="1"/>
      <protection locked="0"/>
    </xf>
    <xf numFmtId="0" fontId="89" fillId="0" borderId="0" xfId="0" applyFont="1" applyAlignment="1" applyProtection="1">
      <alignment wrapText="1"/>
      <protection locked="0"/>
    </xf>
    <xf numFmtId="0" fontId="89" fillId="0" borderId="105" xfId="0" applyFont="1" applyBorder="1" applyAlignment="1" applyProtection="1">
      <alignment wrapText="1"/>
      <protection locked="0"/>
    </xf>
    <xf numFmtId="0" fontId="89" fillId="0" borderId="106" xfId="0" applyFont="1" applyBorder="1" applyAlignment="1" applyProtection="1">
      <alignment wrapText="1"/>
      <protection locked="0"/>
    </xf>
    <xf numFmtId="0" fontId="89" fillId="0" borderId="107" xfId="0" applyFont="1" applyBorder="1" applyAlignment="1" applyProtection="1">
      <alignment wrapText="1"/>
      <protection locked="0"/>
    </xf>
    <xf numFmtId="0" fontId="89" fillId="0" borderId="108" xfId="0" applyFont="1" applyBorder="1" applyAlignment="1" applyProtection="1">
      <alignment wrapText="1"/>
      <protection locked="0"/>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166" fontId="94" fillId="0" borderId="0" xfId="0" applyNumberFormat="1" applyFont="1" applyBorder="1" applyAlignment="1" applyProtection="1">
      <alignment horizontal="left" vertical="center"/>
    </xf>
    <xf numFmtId="166" fontId="96" fillId="0" borderId="0" xfId="0" applyNumberFormat="1" applyFont="1" applyAlignment="1">
      <alignment horizontal="left" vertical="center"/>
    </xf>
    <xf numFmtId="0" fontId="94" fillId="0" borderId="0" xfId="0" applyFont="1" applyBorder="1" applyAlignment="1" applyProtection="1">
      <alignment wrapText="1"/>
    </xf>
    <xf numFmtId="0" fontId="94" fillId="0" borderId="0" xfId="0" applyFont="1" applyAlignment="1" applyProtection="1">
      <alignment horizontal="left" vertical="center"/>
    </xf>
    <xf numFmtId="0" fontId="94" fillId="0" borderId="0" xfId="0" applyFont="1" applyAlignment="1">
      <alignment horizontal="left" vertical="center"/>
    </xf>
    <xf numFmtId="0" fontId="94" fillId="0" borderId="0" xfId="0" applyFont="1" applyBorder="1" applyAlignment="1" applyProtection="1">
      <alignment vertical="top" wrapText="1"/>
    </xf>
    <xf numFmtId="0" fontId="94" fillId="0" borderId="0" xfId="0" applyFont="1" applyAlignment="1">
      <alignment wrapText="1"/>
    </xf>
    <xf numFmtId="0" fontId="103" fillId="0" borderId="0" xfId="0" applyFont="1" applyAlignment="1">
      <alignment horizontal="center" vertical="center"/>
    </xf>
    <xf numFmtId="0" fontId="96" fillId="0" borderId="0" xfId="0" applyFont="1" applyAlignment="1">
      <alignment horizontal="center" vertical="center"/>
    </xf>
    <xf numFmtId="0" fontId="91" fillId="0" borderId="0" xfId="2" applyFont="1" applyAlignment="1" applyProtection="1">
      <alignment horizontal="center" vertical="center"/>
    </xf>
    <xf numFmtId="0" fontId="89" fillId="0" borderId="4" xfId="0" applyFont="1" applyFill="1" applyBorder="1" applyAlignment="1" applyProtection="1">
      <alignment horizontal="center" vertical="center" wrapText="1"/>
    </xf>
    <xf numFmtId="0" fontId="89" fillId="0" borderId="10" xfId="0" applyFont="1" applyFill="1" applyBorder="1" applyAlignment="1" applyProtection="1">
      <alignment horizontal="center" vertical="center" wrapText="1"/>
    </xf>
    <xf numFmtId="3" fontId="95" fillId="14" borderId="23" xfId="0" applyNumberFormat="1" applyFont="1" applyFill="1" applyBorder="1" applyAlignment="1" applyProtection="1">
      <alignment horizontal="left" vertical="center"/>
    </xf>
    <xf numFmtId="3" fontId="95" fillId="14" borderId="19" xfId="0" applyNumberFormat="1" applyFont="1" applyFill="1" applyBorder="1" applyAlignment="1" applyProtection="1">
      <alignment horizontal="left" vertical="center"/>
    </xf>
    <xf numFmtId="164" fontId="95" fillId="14" borderId="20" xfId="0" applyNumberFormat="1" applyFont="1" applyFill="1" applyBorder="1" applyAlignment="1" applyProtection="1">
      <alignment horizontal="left" vertical="center"/>
    </xf>
    <xf numFmtId="164" fontId="95" fillId="14" borderId="21" xfId="0" applyNumberFormat="1" applyFont="1" applyFill="1" applyBorder="1" applyAlignment="1" applyProtection="1">
      <alignment horizontal="left" vertical="center"/>
    </xf>
    <xf numFmtId="0" fontId="95" fillId="14" borderId="62" xfId="0" applyFont="1" applyFill="1" applyBorder="1" applyAlignment="1" applyProtection="1">
      <alignment horizontal="left" vertical="center"/>
    </xf>
    <xf numFmtId="0" fontId="95" fillId="14" borderId="21" xfId="0" applyFont="1" applyFill="1" applyBorder="1" applyAlignment="1" applyProtection="1">
      <alignment horizontal="left" vertical="center"/>
    </xf>
    <xf numFmtId="164" fontId="95" fillId="14" borderId="23" xfId="0" applyNumberFormat="1" applyFont="1" applyFill="1" applyBorder="1" applyAlignment="1" applyProtection="1">
      <alignment horizontal="left" vertical="center"/>
    </xf>
    <xf numFmtId="164" fontId="95" fillId="14" borderId="19" xfId="0" applyNumberFormat="1" applyFont="1" applyFill="1" applyBorder="1" applyAlignment="1" applyProtection="1">
      <alignment horizontal="left" vertical="center"/>
    </xf>
    <xf numFmtId="49" fontId="95" fillId="14" borderId="23" xfId="0" applyNumberFormat="1" applyFont="1" applyFill="1" applyBorder="1" applyAlignment="1" applyProtection="1">
      <alignment horizontal="left" vertical="center"/>
    </xf>
    <xf numFmtId="49" fontId="95" fillId="14" borderId="19" xfId="0" applyNumberFormat="1" applyFont="1" applyFill="1" applyBorder="1" applyAlignment="1" applyProtection="1">
      <alignment horizontal="left" vertical="center"/>
    </xf>
    <xf numFmtId="0" fontId="95" fillId="14" borderId="23" xfId="0" applyFont="1" applyFill="1" applyBorder="1" applyAlignment="1" applyProtection="1">
      <alignment vertical="center"/>
    </xf>
    <xf numFmtId="0" fontId="95" fillId="14" borderId="19" xfId="0" applyFont="1" applyFill="1" applyBorder="1" applyAlignment="1" applyProtection="1">
      <alignment vertical="center"/>
    </xf>
    <xf numFmtId="164" fontId="95" fillId="16" borderId="23" xfId="0" applyNumberFormat="1" applyFont="1" applyFill="1" applyBorder="1" applyAlignment="1" applyProtection="1">
      <alignment horizontal="left" vertical="center" wrapText="1" indent="2"/>
    </xf>
    <xf numFmtId="164" fontId="95" fillId="16" borderId="19" xfId="0" applyNumberFormat="1" applyFont="1" applyFill="1" applyBorder="1" applyAlignment="1" applyProtection="1">
      <alignment horizontal="left" vertical="center" wrapText="1" indent="2"/>
    </xf>
    <xf numFmtId="164" fontId="95" fillId="10" borderId="23" xfId="0" applyNumberFormat="1" applyFont="1" applyFill="1" applyBorder="1" applyAlignment="1" applyProtection="1">
      <alignment horizontal="left" vertical="center" wrapText="1"/>
    </xf>
    <xf numFmtId="164" fontId="95" fillId="10" borderId="19" xfId="0" applyNumberFormat="1" applyFont="1" applyFill="1" applyBorder="1" applyAlignment="1" applyProtection="1">
      <alignment horizontal="left" vertical="center" wrapText="1"/>
    </xf>
    <xf numFmtId="164" fontId="95" fillId="2" borderId="23" xfId="0" applyNumberFormat="1" applyFont="1" applyFill="1" applyBorder="1" applyAlignment="1" applyProtection="1">
      <alignment horizontal="left" vertical="center" wrapText="1" indent="1"/>
    </xf>
    <xf numFmtId="164" fontId="95" fillId="2" borderId="19" xfId="0" applyNumberFormat="1" applyFont="1" applyFill="1" applyBorder="1" applyAlignment="1" applyProtection="1">
      <alignment horizontal="left" vertical="center" wrapText="1" indent="1"/>
    </xf>
    <xf numFmtId="164" fontId="95" fillId="16" borderId="61" xfId="0" applyNumberFormat="1" applyFont="1" applyFill="1" applyBorder="1" applyAlignment="1" applyProtection="1">
      <alignment horizontal="left" vertical="center" wrapText="1" indent="2"/>
    </xf>
    <xf numFmtId="164" fontId="95" fillId="16" borderId="64" xfId="0" applyNumberFormat="1" applyFont="1" applyFill="1" applyBorder="1" applyAlignment="1" applyProtection="1">
      <alignment horizontal="left" vertical="center" wrapText="1" indent="2"/>
    </xf>
    <xf numFmtId="0" fontId="95" fillId="16" borderId="60" xfId="0" applyFont="1" applyFill="1" applyBorder="1" applyAlignment="1" applyProtection="1">
      <alignment horizontal="left" vertical="center" indent="2"/>
    </xf>
    <xf numFmtId="0" fontId="95" fillId="16" borderId="67" xfId="0" applyFont="1" applyFill="1" applyBorder="1" applyAlignment="1" applyProtection="1">
      <alignment horizontal="left" vertical="center" indent="2"/>
    </xf>
    <xf numFmtId="0" fontId="95" fillId="16" borderId="66" xfId="0" applyFont="1" applyFill="1" applyBorder="1" applyAlignment="1" applyProtection="1">
      <alignment horizontal="left" vertical="center" indent="2"/>
      <protection hidden="1"/>
    </xf>
    <xf numFmtId="0" fontId="95" fillId="16" borderId="64" xfId="0" applyFont="1" applyFill="1" applyBorder="1" applyAlignment="1" applyProtection="1">
      <alignment horizontal="left" vertical="center" indent="2"/>
      <protection hidden="1"/>
    </xf>
    <xf numFmtId="0" fontId="94" fillId="16" borderId="60" xfId="0" applyFont="1" applyFill="1" applyBorder="1" applyAlignment="1" applyProtection="1">
      <alignment horizontal="left" vertical="center" wrapText="1" indent="2"/>
    </xf>
    <xf numFmtId="0" fontId="96" fillId="16" borderId="67" xfId="0" applyFont="1" applyFill="1" applyBorder="1" applyAlignment="1">
      <alignment horizontal="left" wrapText="1" indent="2"/>
    </xf>
    <xf numFmtId="3" fontId="95" fillId="0" borderId="4" xfId="0" applyNumberFormat="1" applyFont="1" applyBorder="1" applyAlignment="1" applyProtection="1">
      <alignment horizontal="center" vertical="center" wrapText="1"/>
    </xf>
    <xf numFmtId="3" fontId="95" fillId="0" borderId="10" xfId="0" applyNumberFormat="1" applyFont="1" applyBorder="1" applyAlignment="1" applyProtection="1">
      <alignment horizontal="center" vertical="center" wrapText="1"/>
    </xf>
    <xf numFmtId="0" fontId="95" fillId="16" borderId="62" xfId="0" applyFont="1" applyFill="1" applyBorder="1" applyAlignment="1" applyProtection="1">
      <alignment horizontal="left" vertical="center" indent="1"/>
    </xf>
    <xf numFmtId="0" fontId="95" fillId="16" borderId="21" xfId="0" applyFont="1" applyFill="1" applyBorder="1" applyAlignment="1" applyProtection="1">
      <alignment horizontal="left" vertical="center" inden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left" vertical="center" indent="1"/>
    </xf>
    <xf numFmtId="164" fontId="95" fillId="26" borderId="23" xfId="0" applyNumberFormat="1" applyFont="1" applyFill="1" applyBorder="1" applyAlignment="1" applyProtection="1">
      <alignment horizontal="left" vertical="center" wrapText="1" indent="1"/>
    </xf>
    <xf numFmtId="164" fontId="95" fillId="26" borderId="19" xfId="0" applyNumberFormat="1" applyFont="1" applyFill="1" applyBorder="1" applyAlignment="1" applyProtection="1">
      <alignment horizontal="left" vertical="center" wrapText="1" indent="1"/>
    </xf>
    <xf numFmtId="164" fontId="95" fillId="27" borderId="23" xfId="0" applyNumberFormat="1" applyFont="1" applyFill="1" applyBorder="1" applyAlignment="1" applyProtection="1">
      <alignment horizontal="left" vertical="center" wrapText="1" indent="1"/>
    </xf>
    <xf numFmtId="164" fontId="95" fillId="27" borderId="19" xfId="0" applyNumberFormat="1" applyFont="1" applyFill="1" applyBorder="1" applyAlignment="1" applyProtection="1">
      <alignment horizontal="left" vertical="center" wrapText="1" indent="1"/>
    </xf>
    <xf numFmtId="0" fontId="95" fillId="16" borderId="45" xfId="0" applyFont="1" applyFill="1" applyBorder="1" applyAlignment="1" applyProtection="1">
      <alignment horizontal="left" vertical="center" indent="1"/>
    </xf>
    <xf numFmtId="0" fontId="96" fillId="16" borderId="65" xfId="0" applyFont="1" applyFill="1" applyBorder="1" applyAlignment="1">
      <alignment horizontal="left" vertical="center" indent="1"/>
    </xf>
    <xf numFmtId="0" fontId="95" fillId="10" borderId="14" xfId="0" applyFont="1" applyFill="1" applyBorder="1" applyAlignment="1">
      <alignment horizontal="left" vertical="center" wrapText="1"/>
    </xf>
    <xf numFmtId="0" fontId="96" fillId="10" borderId="19" xfId="0" applyFont="1" applyFill="1" applyBorder="1" applyAlignment="1">
      <alignment horizontal="left" vertical="center" wrapText="1"/>
    </xf>
    <xf numFmtId="0" fontId="95" fillId="10" borderId="62" xfId="0" applyFont="1" applyFill="1" applyBorder="1" applyAlignment="1">
      <alignment vertical="top" wrapText="1"/>
    </xf>
    <xf numFmtId="0" fontId="96" fillId="10" borderId="21" xfId="0" applyFont="1" applyFill="1" applyBorder="1" applyAlignment="1">
      <alignment vertical="top" wrapText="1"/>
    </xf>
    <xf numFmtId="0" fontId="95" fillId="16" borderId="66" xfId="0" applyFont="1" applyFill="1" applyBorder="1" applyAlignment="1" applyProtection="1">
      <alignment horizontal="left" vertical="top" wrapText="1" indent="1"/>
    </xf>
    <xf numFmtId="0" fontId="96"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top" indent="1"/>
    </xf>
    <xf numFmtId="0" fontId="96" fillId="16" borderId="64" xfId="0" applyFont="1" applyFill="1" applyBorder="1" applyAlignment="1">
      <alignment horizontal="left" vertical="top" indent="1"/>
    </xf>
    <xf numFmtId="0" fontId="95" fillId="10" borderId="62" xfId="0" applyFont="1" applyFill="1" applyBorder="1" applyAlignment="1">
      <alignment vertical="center" wrapText="1"/>
    </xf>
    <xf numFmtId="0" fontId="96" fillId="10" borderId="21" xfId="0" applyFont="1" applyFill="1" applyBorder="1" applyAlignment="1">
      <alignment vertical="center" wrapText="1"/>
    </xf>
    <xf numFmtId="3" fontId="95" fillId="16" borderId="20" xfId="0" applyNumberFormat="1" applyFont="1" applyFill="1" applyBorder="1" applyAlignment="1">
      <alignment horizontal="left" vertical="top" indent="1"/>
    </xf>
    <xf numFmtId="3" fontId="95" fillId="16" borderId="21" xfId="0" applyNumberFormat="1" applyFont="1" applyFill="1" applyBorder="1" applyAlignment="1">
      <alignment horizontal="left" vertical="top" indent="1"/>
    </xf>
    <xf numFmtId="3" fontId="95" fillId="16" borderId="66" xfId="0" applyNumberFormat="1" applyFont="1" applyFill="1" applyBorder="1" applyAlignment="1">
      <alignment horizontal="left" vertical="top" indent="1"/>
    </xf>
    <xf numFmtId="0" fontId="94" fillId="16" borderId="64" xfId="0" applyFont="1" applyFill="1" applyBorder="1" applyAlignment="1">
      <alignment horizontal="left" vertical="top" indent="1"/>
    </xf>
    <xf numFmtId="3" fontId="95" fillId="0" borderId="74" xfId="0" applyNumberFormat="1" applyFont="1" applyBorder="1" applyAlignment="1">
      <alignment horizontal="left" vertical="top" wrapText="1" indent="1"/>
    </xf>
    <xf numFmtId="0" fontId="96" fillId="0" borderId="77" xfId="0" applyFont="1" applyBorder="1" applyAlignment="1">
      <alignment horizontal="left" vertical="top" wrapText="1" indent="1"/>
    </xf>
    <xf numFmtId="0" fontId="105" fillId="14" borderId="6" xfId="0" applyFont="1" applyFill="1" applyBorder="1" applyAlignment="1">
      <alignment horizontal="center" vertical="center" wrapText="1"/>
    </xf>
    <xf numFmtId="0" fontId="96" fillId="14" borderId="10" xfId="0" applyFont="1" applyFill="1" applyBorder="1" applyAlignment="1">
      <alignment horizontal="center" vertical="center" wrapText="1"/>
    </xf>
    <xf numFmtId="3" fontId="105" fillId="14" borderId="23" xfId="0" applyNumberFormat="1" applyFont="1" applyFill="1" applyBorder="1" applyAlignment="1">
      <alignment horizontal="center" vertical="center"/>
    </xf>
    <xf numFmtId="0" fontId="96" fillId="14" borderId="19" xfId="0" applyFont="1" applyFill="1" applyBorder="1" applyAlignment="1">
      <alignment horizontal="center" vertical="center"/>
    </xf>
    <xf numFmtId="0" fontId="105" fillId="14" borderId="14" xfId="0" applyFont="1" applyFill="1" applyBorder="1" applyAlignment="1">
      <alignment horizontal="center" vertical="center"/>
    </xf>
    <xf numFmtId="3" fontId="95" fillId="0" borderId="5" xfId="0" applyNumberFormat="1" applyFont="1" applyBorder="1" applyAlignment="1" applyProtection="1">
      <alignment horizontal="center" vertical="center" wrapText="1"/>
    </xf>
    <xf numFmtId="0" fontId="105" fillId="14" borderId="9" xfId="0" applyFont="1" applyFill="1" applyBorder="1" applyAlignment="1">
      <alignment horizontal="center" vertical="center"/>
    </xf>
    <xf numFmtId="0" fontId="96" fillId="14" borderId="10" xfId="0" applyFont="1" applyFill="1" applyBorder="1" applyAlignment="1">
      <alignment horizontal="center" vertical="center"/>
    </xf>
    <xf numFmtId="0" fontId="105" fillId="19" borderId="6" xfId="0" applyFont="1" applyFill="1" applyBorder="1" applyAlignment="1">
      <alignment horizontal="center" vertical="center"/>
    </xf>
    <xf numFmtId="0" fontId="105" fillId="19" borderId="10" xfId="0" applyFont="1" applyFill="1" applyBorder="1" applyAlignment="1">
      <alignment horizontal="center" vertical="center"/>
    </xf>
    <xf numFmtId="0" fontId="96" fillId="19" borderId="10" xfId="0" applyFont="1" applyFill="1" applyBorder="1" applyAlignment="1">
      <alignment horizontal="center" vertical="center"/>
    </xf>
    <xf numFmtId="0" fontId="105" fillId="14" borderId="151" xfId="0" applyFont="1" applyFill="1" applyBorder="1" applyAlignment="1">
      <alignment horizontal="center" vertical="center"/>
    </xf>
    <xf numFmtId="0" fontId="96" fillId="14" borderId="144" xfId="0" applyFont="1" applyFill="1" applyBorder="1" applyAlignment="1">
      <alignment horizontal="center" vertical="center"/>
    </xf>
    <xf numFmtId="0" fontId="105" fillId="14" borderId="6" xfId="0" applyFont="1" applyFill="1" applyBorder="1" applyAlignment="1">
      <alignment horizontal="center" vertical="center"/>
    </xf>
    <xf numFmtId="3" fontId="95" fillId="16" borderId="62" xfId="0" applyNumberFormat="1" applyFont="1" applyFill="1" applyBorder="1" applyAlignment="1">
      <alignment horizontal="left" vertical="top" wrapText="1" indent="1"/>
    </xf>
    <xf numFmtId="0" fontId="96" fillId="16" borderId="21" xfId="0" applyFont="1" applyFill="1" applyBorder="1" applyAlignment="1">
      <alignment horizontal="left" vertical="top" wrapText="1"/>
    </xf>
    <xf numFmtId="3" fontId="95" fillId="16" borderId="74" xfId="0" applyNumberFormat="1" applyFont="1" applyFill="1" applyBorder="1" applyAlignment="1">
      <alignment horizontal="left" vertical="top" wrapText="1" indent="1"/>
    </xf>
    <xf numFmtId="0" fontId="96" fillId="16" borderId="77" xfId="0" applyFont="1" applyFill="1" applyBorder="1" applyAlignment="1">
      <alignment horizontal="left" vertical="top" wrapText="1" indent="1"/>
    </xf>
    <xf numFmtId="3" fontId="95" fillId="16" borderId="45" xfId="0" applyNumberFormat="1" applyFont="1" applyFill="1" applyBorder="1" applyAlignment="1">
      <alignment horizontal="left" vertical="top" wrapText="1" indent="1"/>
    </xf>
    <xf numFmtId="0" fontId="94" fillId="16" borderId="65" xfId="0" applyFont="1" applyFill="1" applyBorder="1" applyAlignment="1">
      <alignment horizontal="left" vertical="top" wrapText="1" indent="1"/>
    </xf>
    <xf numFmtId="3" fontId="95" fillId="16" borderId="66" xfId="0" applyNumberFormat="1" applyFont="1" applyFill="1" applyBorder="1" applyAlignment="1">
      <alignment horizontal="left" vertical="top" wrapText="1" indent="1"/>
    </xf>
    <xf numFmtId="3" fontId="95" fillId="15" borderId="4" xfId="0" applyNumberFormat="1" applyFont="1" applyFill="1" applyBorder="1" applyAlignment="1" applyProtection="1">
      <alignment horizontal="center" vertical="center" wrapText="1"/>
    </xf>
    <xf numFmtId="3" fontId="95" fillId="15" borderId="10" xfId="0" applyNumberFormat="1" applyFont="1" applyFill="1" applyBorder="1" applyAlignment="1" applyProtection="1">
      <alignment horizontal="center" vertical="center" wrapText="1"/>
    </xf>
    <xf numFmtId="49" fontId="113" fillId="2" borderId="9" xfId="0" applyNumberFormat="1" applyFont="1" applyFill="1" applyBorder="1" applyAlignment="1" applyProtection="1">
      <alignment horizontal="left" vertical="center" wrapText="1"/>
    </xf>
    <xf numFmtId="0" fontId="90" fillId="0" borderId="6" xfId="0" applyFont="1" applyBorder="1" applyAlignment="1">
      <alignment horizontal="left" vertical="center" wrapText="1"/>
    </xf>
    <xf numFmtId="0" fontId="90" fillId="0" borderId="10" xfId="0" applyFont="1" applyBorder="1" applyAlignment="1">
      <alignment horizontal="left" vertical="center" wrapText="1"/>
    </xf>
    <xf numFmtId="49" fontId="94" fillId="0" borderId="23" xfId="0" applyNumberFormat="1" applyFont="1" applyBorder="1" applyAlignment="1" applyProtection="1">
      <alignment horizontal="left" vertical="center" wrapText="1" indent="1"/>
    </xf>
    <xf numFmtId="0" fontId="96" fillId="0" borderId="19" xfId="0" applyFont="1" applyBorder="1" applyAlignment="1">
      <alignment horizontal="left" vertical="center" wrapText="1" indent="1"/>
    </xf>
    <xf numFmtId="49" fontId="95" fillId="16" borderId="23" xfId="0" applyNumberFormat="1" applyFont="1" applyFill="1" applyBorder="1" applyAlignment="1" applyProtection="1">
      <alignment horizontal="left" vertical="center" wrapText="1" indent="1"/>
    </xf>
    <xf numFmtId="0" fontId="96" fillId="16" borderId="19" xfId="0" applyFont="1" applyFill="1" applyBorder="1" applyAlignment="1">
      <alignment horizontal="left" vertical="center" wrapText="1" indent="1"/>
    </xf>
    <xf numFmtId="49" fontId="95" fillId="2" borderId="23" xfId="0" applyNumberFormat="1" applyFont="1" applyFill="1" applyBorder="1" applyAlignment="1" applyProtection="1">
      <alignment horizontal="left" vertical="center" wrapText="1"/>
    </xf>
    <xf numFmtId="0" fontId="96" fillId="2" borderId="19" xfId="0" applyFont="1" applyFill="1" applyBorder="1" applyAlignment="1">
      <alignment horizontal="left" vertical="center" wrapText="1"/>
    </xf>
    <xf numFmtId="49" fontId="95" fillId="16" borderId="23" xfId="0" applyNumberFormat="1" applyFont="1" applyFill="1" applyBorder="1" applyAlignment="1" applyProtection="1">
      <alignment horizontal="left" vertical="center" indent="1"/>
    </xf>
    <xf numFmtId="0" fontId="96" fillId="16" borderId="19" xfId="0" applyFont="1" applyFill="1" applyBorder="1" applyAlignment="1">
      <alignment horizontal="left" vertical="center" indent="1"/>
    </xf>
    <xf numFmtId="0" fontId="105" fillId="17" borderId="23" xfId="16" applyFont="1" applyFill="1" applyBorder="1" applyAlignment="1">
      <alignment horizontal="center" vertical="center"/>
    </xf>
    <xf numFmtId="0" fontId="96" fillId="17" borderId="19" xfId="0" applyFont="1" applyFill="1" applyBorder="1" applyAlignment="1">
      <alignment horizontal="center" vertical="center"/>
    </xf>
    <xf numFmtId="49" fontId="95" fillId="2" borderId="23" xfId="0" applyNumberFormat="1" applyFont="1" applyFill="1" applyBorder="1" applyAlignment="1" applyProtection="1">
      <alignment horizontal="left" vertical="center"/>
    </xf>
    <xf numFmtId="49" fontId="95" fillId="2" borderId="19" xfId="0" applyNumberFormat="1" applyFont="1" applyFill="1" applyBorder="1" applyAlignment="1" applyProtection="1">
      <alignment horizontal="left" vertical="center"/>
    </xf>
    <xf numFmtId="0" fontId="94" fillId="0" borderId="0" xfId="16" applyFont="1" applyFill="1" applyAlignment="1">
      <alignment wrapText="1"/>
    </xf>
    <xf numFmtId="0" fontId="96" fillId="0" borderId="0" xfId="0" applyFont="1" applyAlignment="1">
      <alignment wrapText="1"/>
    </xf>
    <xf numFmtId="0" fontId="90" fillId="0" borderId="28" xfId="16" applyFont="1" applyFill="1" applyBorder="1" applyAlignment="1" applyProtection="1">
      <protection locked="0"/>
    </xf>
    <xf numFmtId="0" fontId="90" fillId="0" borderId="28" xfId="0" applyFont="1" applyBorder="1" applyAlignment="1"/>
    <xf numFmtId="0" fontId="90" fillId="0" borderId="33" xfId="16" applyFont="1" applyFill="1" applyBorder="1" applyAlignment="1" applyProtection="1">
      <protection locked="0"/>
    </xf>
    <xf numFmtId="0" fontId="90" fillId="0" borderId="33" xfId="0" applyFont="1" applyBorder="1" applyAlignment="1"/>
    <xf numFmtId="0" fontId="95" fillId="2" borderId="23" xfId="0" applyFont="1" applyFill="1" applyBorder="1" applyAlignment="1" applyProtection="1">
      <alignment horizontal="left" vertical="center" wrapText="1"/>
    </xf>
    <xf numFmtId="49" fontId="105" fillId="17" borderId="23" xfId="0" applyNumberFormat="1" applyFont="1" applyFill="1" applyBorder="1" applyAlignment="1" applyProtection="1">
      <alignment horizontal="center" vertical="center"/>
    </xf>
    <xf numFmtId="49" fontId="104" fillId="2" borderId="9" xfId="0" applyNumberFormat="1" applyFont="1" applyFill="1" applyBorder="1" applyAlignment="1" applyProtection="1">
      <alignment horizontal="left" vertical="center" wrapText="1"/>
    </xf>
    <xf numFmtId="0" fontId="96" fillId="0" borderId="6" xfId="0" applyFont="1" applyBorder="1" applyAlignment="1">
      <alignment horizontal="left" vertical="center" wrapText="1"/>
    </xf>
    <xf numFmtId="0" fontId="96" fillId="0" borderId="10" xfId="0" applyFont="1" applyBorder="1" applyAlignment="1">
      <alignment horizontal="left" vertical="center" wrapText="1"/>
    </xf>
    <xf numFmtId="164" fontId="95" fillId="2" borderId="23" xfId="0" applyNumberFormat="1" applyFont="1" applyFill="1" applyBorder="1" applyAlignment="1" applyProtection="1">
      <alignment horizontal="left" vertical="center" wrapText="1"/>
    </xf>
    <xf numFmtId="49" fontId="95" fillId="0" borderId="23" xfId="0" applyNumberFormat="1" applyFont="1" applyBorder="1" applyAlignment="1" applyProtection="1">
      <alignment horizontal="center" vertical="center" wrapText="1"/>
    </xf>
    <xf numFmtId="49" fontId="95" fillId="0" borderId="19" xfId="0" applyNumberFormat="1" applyFont="1" applyBorder="1" applyAlignment="1" applyProtection="1">
      <alignment horizontal="center" vertical="center" wrapText="1"/>
    </xf>
    <xf numFmtId="0" fontId="94" fillId="0" borderId="33" xfId="0" applyFont="1" applyBorder="1" applyAlignment="1" applyProtection="1">
      <alignment horizontal="left" vertical="center" wrapText="1" indent="1"/>
    </xf>
    <xf numFmtId="0" fontId="94" fillId="0" borderId="29" xfId="0" applyFont="1" applyBorder="1" applyAlignment="1" applyProtection="1">
      <alignment horizontal="left" vertical="center" wrapText="1" indent="1"/>
    </xf>
    <xf numFmtId="0" fontId="94" fillId="0" borderId="33" xfId="0" applyFont="1" applyBorder="1" applyAlignment="1" applyProtection="1">
      <alignment horizontal="left" vertical="center" indent="1"/>
    </xf>
    <xf numFmtId="0" fontId="96" fillId="0" borderId="33" xfId="0" applyFont="1" applyBorder="1" applyAlignment="1">
      <alignment horizontal="left" indent="1"/>
    </xf>
    <xf numFmtId="0" fontId="96" fillId="0" borderId="29" xfId="0" applyFont="1" applyBorder="1" applyAlignment="1">
      <alignment horizontal="left" indent="1"/>
    </xf>
    <xf numFmtId="0" fontId="95" fillId="3" borderId="33" xfId="0" applyFont="1" applyFill="1" applyBorder="1" applyAlignment="1" applyProtection="1">
      <alignment horizontal="left" vertical="center"/>
    </xf>
    <xf numFmtId="0" fontId="95" fillId="3" borderId="29" xfId="0" applyFont="1" applyFill="1" applyBorder="1" applyAlignment="1" applyProtection="1">
      <alignment horizontal="left" vertical="center"/>
    </xf>
    <xf numFmtId="0" fontId="105" fillId="17" borderId="32" xfId="0" applyFont="1" applyFill="1" applyBorder="1" applyAlignment="1" applyProtection="1">
      <alignment horizontal="left" vertical="center" wrapText="1"/>
    </xf>
    <xf numFmtId="0" fontId="96" fillId="17" borderId="33" xfId="0" applyFont="1" applyFill="1" applyBorder="1" applyAlignment="1">
      <alignment horizontal="left" wrapText="1"/>
    </xf>
    <xf numFmtId="0" fontId="96" fillId="17" borderId="29" xfId="0" applyFont="1" applyFill="1" applyBorder="1" applyAlignment="1">
      <alignment horizontal="left" wrapText="1"/>
    </xf>
    <xf numFmtId="0" fontId="94" fillId="0" borderId="32" xfId="0" applyFont="1" applyBorder="1" applyAlignment="1" applyProtection="1">
      <alignment horizontal="left" vertical="center" wrapText="1" indent="1"/>
    </xf>
    <xf numFmtId="0" fontId="96" fillId="0" borderId="29" xfId="0" applyFont="1" applyBorder="1" applyAlignment="1">
      <alignment horizontal="left" wrapText="1" indent="1"/>
    </xf>
    <xf numFmtId="0" fontId="94" fillId="0" borderId="29" xfId="0" applyFont="1" applyBorder="1" applyAlignment="1">
      <alignment horizontal="left" wrapText="1" indent="1"/>
    </xf>
    <xf numFmtId="0" fontId="122" fillId="0" borderId="38" xfId="0" applyFont="1" applyBorder="1" applyAlignment="1" applyProtection="1">
      <alignment horizontal="left" wrapText="1" indent="2"/>
    </xf>
    <xf numFmtId="0" fontId="94" fillId="0" borderId="0" xfId="0" applyFont="1" applyAlignment="1">
      <alignment horizontal="left" wrapText="1"/>
    </xf>
    <xf numFmtId="0" fontId="94" fillId="0" borderId="38" xfId="0" applyFont="1" applyBorder="1" applyAlignment="1">
      <alignment horizontal="left" wrapText="1"/>
    </xf>
    <xf numFmtId="0" fontId="94" fillId="0" borderId="28" xfId="0" applyFont="1" applyBorder="1" applyAlignment="1" applyProtection="1">
      <alignment horizontal="left" vertical="center" wrapText="1" indent="1"/>
    </xf>
    <xf numFmtId="0" fontId="96" fillId="0" borderId="34" xfId="0" applyFont="1" applyBorder="1" applyAlignment="1">
      <alignment horizontal="left" wrapText="1" indent="1"/>
    </xf>
    <xf numFmtId="0" fontId="96" fillId="0" borderId="33" xfId="0" applyFont="1" applyBorder="1" applyAlignment="1" applyProtection="1">
      <alignment horizontal="left" vertical="center" wrapText="1" indent="1"/>
    </xf>
    <xf numFmtId="0" fontId="96" fillId="0" borderId="29" xfId="0" applyFont="1" applyBorder="1" applyAlignment="1" applyProtection="1">
      <alignment horizontal="left" vertical="center" wrapText="1" indent="1"/>
    </xf>
    <xf numFmtId="49" fontId="95" fillId="0" borderId="47" xfId="0" applyNumberFormat="1" applyFont="1" applyFill="1" applyBorder="1" applyAlignment="1" applyProtection="1">
      <alignment horizontal="center" vertical="center" wrapText="1"/>
    </xf>
    <xf numFmtId="49" fontId="95" fillId="0" borderId="16" xfId="0" applyNumberFormat="1" applyFont="1" applyFill="1" applyBorder="1" applyAlignment="1" applyProtection="1">
      <alignment horizontal="center" vertical="center" wrapText="1"/>
    </xf>
    <xf numFmtId="0" fontId="96" fillId="0" borderId="48" xfId="0" applyFont="1" applyFill="1" applyBorder="1" applyAlignment="1">
      <alignment wrapText="1"/>
    </xf>
    <xf numFmtId="0" fontId="95" fillId="0" borderId="32" xfId="0" applyFont="1" applyFill="1" applyBorder="1" applyAlignment="1" applyProtection="1">
      <alignment horizontal="left" vertical="center" wrapText="1"/>
      <protection hidden="1"/>
    </xf>
    <xf numFmtId="0" fontId="95" fillId="0" borderId="33" xfId="0" applyFont="1" applyFill="1" applyBorder="1" applyAlignment="1" applyProtection="1">
      <alignment horizontal="left" vertical="center" wrapText="1"/>
      <protection hidden="1"/>
    </xf>
    <xf numFmtId="0" fontId="96" fillId="0" borderId="33" xfId="0" applyFont="1" applyFill="1" applyBorder="1" applyAlignment="1" applyProtection="1">
      <alignment wrapText="1"/>
      <protection hidden="1"/>
    </xf>
    <xf numFmtId="0" fontId="95" fillId="2" borderId="38"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0" fontId="96" fillId="0" borderId="110" xfId="0" applyFont="1" applyBorder="1" applyAlignment="1">
      <alignment wrapText="1"/>
    </xf>
    <xf numFmtId="0" fontId="95" fillId="16" borderId="69" xfId="0" applyFont="1" applyFill="1" applyBorder="1" applyAlignment="1" applyProtection="1">
      <alignment horizontal="left" vertical="center" indent="1"/>
    </xf>
    <xf numFmtId="0" fontId="95" fillId="16" borderId="80" xfId="0" applyFont="1" applyFill="1" applyBorder="1" applyAlignment="1" applyProtection="1">
      <alignment horizontal="left" vertical="center" indent="1"/>
    </xf>
    <xf numFmtId="0" fontId="95" fillId="16" borderId="111" xfId="0" applyFont="1" applyFill="1" applyBorder="1" applyAlignment="1" applyProtection="1">
      <alignment horizontal="left" vertical="center" indent="1"/>
    </xf>
    <xf numFmtId="0" fontId="95" fillId="16" borderId="33"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protection hidden="1"/>
    </xf>
    <xf numFmtId="0" fontId="95" fillId="16" borderId="33" xfId="0" applyFont="1" applyFill="1" applyBorder="1" applyAlignment="1" applyProtection="1">
      <alignment horizontal="left" vertical="center" indent="1"/>
      <protection hidden="1"/>
    </xf>
    <xf numFmtId="0" fontId="156" fillId="0" borderId="28" xfId="0" applyFont="1" applyBorder="1" applyAlignment="1">
      <alignment horizontal="left" vertical="center" wrapText="1" indent="1"/>
    </xf>
    <xf numFmtId="0" fontId="96" fillId="0" borderId="28" xfId="0" applyFont="1" applyBorder="1" applyAlignment="1">
      <alignment horizontal="left" vertical="center" wrapText="1" indent="1"/>
    </xf>
    <xf numFmtId="0" fontId="105" fillId="14" borderId="32" xfId="0" applyFont="1" applyFill="1" applyBorder="1" applyAlignment="1" applyProtection="1">
      <alignment horizontal="left" vertical="center" indent="1"/>
    </xf>
    <xf numFmtId="0" fontId="105" fillId="14" borderId="33" xfId="0" applyFont="1" applyFill="1" applyBorder="1" applyAlignment="1" applyProtection="1">
      <alignment horizontal="left" vertical="center" indent="1"/>
    </xf>
    <xf numFmtId="0" fontId="105" fillId="14" borderId="29" xfId="0" applyFont="1" applyFill="1" applyBorder="1" applyAlignment="1" applyProtection="1">
      <alignment horizontal="left" vertical="center" indent="1"/>
    </xf>
    <xf numFmtId="0" fontId="124" fillId="2" borderId="112" xfId="17" applyFont="1" applyFill="1" applyBorder="1" applyAlignment="1">
      <alignment horizontal="center" vertical="center"/>
    </xf>
    <xf numFmtId="0" fontId="132" fillId="0" borderId="113" xfId="0" applyFont="1" applyBorder="1" applyAlignment="1">
      <alignment horizontal="center" vertical="center"/>
    </xf>
    <xf numFmtId="0" fontId="132" fillId="0" borderId="114" xfId="0" applyFont="1" applyBorder="1" applyAlignment="1">
      <alignment horizontal="center" vertical="center"/>
    </xf>
    <xf numFmtId="0" fontId="105" fillId="14" borderId="115" xfId="17" applyFont="1" applyFill="1" applyBorder="1" applyAlignment="1" applyProtection="1">
      <alignment horizontal="center" vertical="center" wrapText="1"/>
      <protection hidden="1"/>
    </xf>
    <xf numFmtId="0" fontId="105" fillId="14" borderId="13" xfId="0" applyFont="1" applyFill="1" applyBorder="1" applyAlignment="1" applyProtection="1">
      <alignment horizontal="center" vertical="center" wrapText="1"/>
      <protection hidden="1"/>
    </xf>
    <xf numFmtId="0" fontId="105" fillId="14" borderId="116" xfId="0" applyFont="1" applyFill="1" applyBorder="1" applyAlignment="1" applyProtection="1">
      <alignment horizontal="center" vertical="center" wrapText="1"/>
      <protection hidden="1"/>
    </xf>
    <xf numFmtId="0" fontId="157" fillId="14" borderId="117" xfId="17" applyFont="1" applyFill="1" applyBorder="1" applyAlignment="1">
      <alignment horizontal="center" vertical="center"/>
    </xf>
    <xf numFmtId="0" fontId="90" fillId="14" borderId="12" xfId="0" applyFont="1" applyFill="1" applyBorder="1" applyAlignment="1">
      <alignment horizontal="center" vertical="center"/>
    </xf>
    <xf numFmtId="0" fontId="90" fillId="14" borderId="118" xfId="0" applyFont="1" applyFill="1" applyBorder="1" applyAlignment="1">
      <alignment horizontal="center" vertical="center"/>
    </xf>
    <xf numFmtId="0" fontId="111" fillId="0" borderId="58" xfId="17" applyFont="1" applyBorder="1" applyAlignment="1">
      <alignment horizontal="center"/>
    </xf>
    <xf numFmtId="0" fontId="96" fillId="0" borderId="58" xfId="0" applyFont="1" applyBorder="1" applyAlignment="1">
      <alignment horizontal="center"/>
    </xf>
    <xf numFmtId="0" fontId="151" fillId="0" borderId="85" xfId="10" applyFont="1" applyFill="1" applyBorder="1" applyAlignment="1" applyProtection="1">
      <alignment horizontal="left" vertical="top" wrapText="1"/>
      <protection hidden="1"/>
    </xf>
    <xf numFmtId="0" fontId="151" fillId="0" borderId="0" xfId="10" applyFont="1" applyFill="1" applyBorder="1" applyAlignment="1" applyProtection="1">
      <alignment horizontal="left" vertical="top" wrapText="1"/>
      <protection hidden="1"/>
    </xf>
    <xf numFmtId="0" fontId="151" fillId="0" borderId="84" xfId="10" applyFont="1" applyFill="1" applyBorder="1" applyAlignment="1" applyProtection="1">
      <alignment horizontal="left" vertical="top" wrapText="1"/>
      <protection hidden="1"/>
    </xf>
    <xf numFmtId="0" fontId="144" fillId="14" borderId="71" xfId="10" applyFont="1" applyFill="1" applyBorder="1" applyAlignment="1">
      <alignment horizontal="center" vertical="center"/>
    </xf>
    <xf numFmtId="0" fontId="144" fillId="14" borderId="72" xfId="10" applyFont="1" applyFill="1" applyBorder="1" applyAlignment="1">
      <alignment horizontal="center" vertical="center"/>
    </xf>
    <xf numFmtId="0" fontId="144" fillId="14" borderId="83" xfId="10" applyFont="1" applyFill="1" applyBorder="1" applyAlignment="1">
      <alignment horizontal="center" vertical="center"/>
    </xf>
    <xf numFmtId="0" fontId="144" fillId="14" borderId="119" xfId="10" applyFont="1" applyFill="1" applyBorder="1" applyAlignment="1">
      <alignment horizontal="center" vertical="center"/>
    </xf>
    <xf numFmtId="0" fontId="144" fillId="14" borderId="15" xfId="10" applyFont="1" applyFill="1" applyBorder="1" applyAlignment="1">
      <alignment horizontal="center" vertical="center"/>
    </xf>
    <xf numFmtId="0" fontId="144" fillId="14" borderId="120" xfId="10" applyFont="1" applyFill="1" applyBorder="1" applyAlignment="1">
      <alignment horizontal="center" vertical="center"/>
    </xf>
    <xf numFmtId="0" fontId="151" fillId="0" borderId="85" xfId="10" applyFont="1" applyBorder="1" applyAlignment="1">
      <alignment vertical="top" wrapText="1"/>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95" fillId="0" borderId="8" xfId="0" applyFont="1" applyFill="1" applyBorder="1" applyAlignment="1" applyProtection="1">
      <alignment horizontal="left" vertical="center" wrapText="1"/>
    </xf>
    <xf numFmtId="0" fontId="96" fillId="0" borderId="3" xfId="0" applyFont="1" applyBorder="1" applyAlignment="1">
      <alignment horizontal="left" vertical="center" wrapText="1"/>
    </xf>
    <xf numFmtId="0" fontId="96" fillId="0" borderId="4" xfId="0" applyFont="1" applyBorder="1" applyAlignment="1">
      <alignment horizontal="left" vertical="center" wrapText="1"/>
    </xf>
    <xf numFmtId="0" fontId="95" fillId="0" borderId="6" xfId="0" applyFont="1" applyBorder="1" applyAlignment="1">
      <alignment horizontal="center" vertical="center"/>
    </xf>
    <xf numFmtId="0" fontId="94" fillId="0" borderId="10" xfId="0" applyFont="1" applyBorder="1" applyAlignment="1">
      <alignment horizontal="center" vertical="center"/>
    </xf>
    <xf numFmtId="0" fontId="94" fillId="21" borderId="23" xfId="0" applyFont="1" applyFill="1" applyBorder="1" applyAlignment="1" applyProtection="1">
      <alignment horizontal="left" vertical="center" wrapText="1" indent="1"/>
      <protection hidden="1"/>
    </xf>
    <xf numFmtId="0" fontId="96" fillId="21" borderId="14" xfId="0" applyFont="1" applyFill="1" applyBorder="1" applyAlignment="1" applyProtection="1">
      <alignment horizontal="left" vertical="center" wrapText="1" indent="1"/>
      <protection hidden="1"/>
    </xf>
    <xf numFmtId="0" fontId="96" fillId="21" borderId="19" xfId="0" applyFont="1" applyFill="1" applyBorder="1" applyAlignment="1" applyProtection="1">
      <alignment horizontal="left" vertical="center" wrapText="1" indent="1"/>
      <protection hidden="1"/>
    </xf>
    <xf numFmtId="0" fontId="109" fillId="0" borderId="119" xfId="7" applyFont="1" applyBorder="1" applyAlignment="1" applyProtection="1">
      <alignment vertical="top" wrapText="1"/>
      <protection locked="0"/>
    </xf>
    <xf numFmtId="0" fontId="109" fillId="0" borderId="15" xfId="7" applyFont="1" applyBorder="1" applyAlignment="1" applyProtection="1">
      <alignment vertical="top" wrapText="1"/>
      <protection locked="0"/>
    </xf>
    <xf numFmtId="0" fontId="109" fillId="0" borderId="120" xfId="7" applyFont="1" applyBorder="1" applyAlignment="1" applyProtection="1">
      <alignment vertical="top" wrapText="1"/>
      <protection locked="0"/>
    </xf>
    <xf numFmtId="0" fontId="84" fillId="0" borderId="85" xfId="7" applyFont="1" applyBorder="1" applyAlignment="1" applyProtection="1">
      <alignment vertical="top" wrapText="1"/>
      <protection locked="0"/>
    </xf>
    <xf numFmtId="0" fontId="84" fillId="0" borderId="0" xfId="7" applyFont="1" applyBorder="1" applyAlignment="1" applyProtection="1">
      <alignment vertical="top" wrapText="1"/>
      <protection locked="0"/>
    </xf>
    <xf numFmtId="0" fontId="84" fillId="0" borderId="84" xfId="7" applyFont="1" applyBorder="1" applyAlignment="1" applyProtection="1">
      <alignment vertical="top" wrapText="1"/>
      <protection locked="0"/>
    </xf>
    <xf numFmtId="0" fontId="84" fillId="0" borderId="119" xfId="7" applyFont="1" applyBorder="1" applyAlignment="1" applyProtection="1">
      <alignment vertical="top" wrapText="1"/>
      <protection locked="0"/>
    </xf>
    <xf numFmtId="0" fontId="84" fillId="0" borderId="15" xfId="7" applyFont="1" applyBorder="1" applyAlignment="1" applyProtection="1">
      <alignment vertical="top" wrapText="1"/>
      <protection locked="0"/>
    </xf>
    <xf numFmtId="0" fontId="84" fillId="0" borderId="120" xfId="7" applyFont="1" applyBorder="1" applyAlignment="1" applyProtection="1">
      <alignment vertical="top" wrapText="1"/>
      <protection locked="0"/>
    </xf>
    <xf numFmtId="0" fontId="109" fillId="0" borderId="72" xfId="7" applyFont="1" applyBorder="1" applyAlignment="1" applyProtection="1">
      <alignment horizontal="center" vertical="top" wrapText="1"/>
      <protection locked="0"/>
    </xf>
    <xf numFmtId="0" fontId="109" fillId="0" borderId="83" xfId="7" applyFont="1" applyBorder="1" applyAlignment="1" applyProtection="1">
      <alignment horizontal="center" vertical="top" wrapText="1"/>
      <protection locked="0"/>
    </xf>
    <xf numFmtId="0" fontId="109" fillId="0" borderId="85" xfId="7" applyFont="1" applyBorder="1" applyAlignment="1" applyProtection="1">
      <alignment vertical="top" wrapText="1"/>
      <protection locked="0"/>
    </xf>
    <xf numFmtId="0" fontId="109" fillId="0" borderId="0" xfId="7" applyFont="1" applyBorder="1" applyAlignment="1" applyProtection="1">
      <alignment vertical="top" wrapText="1"/>
      <protection locked="0"/>
    </xf>
    <xf numFmtId="0" fontId="109" fillId="0" borderId="84" xfId="7" applyFont="1" applyBorder="1" applyAlignment="1" applyProtection="1">
      <alignment vertical="top" wrapText="1"/>
      <protection locked="0"/>
    </xf>
    <xf numFmtId="0" fontId="140" fillId="14" borderId="0" xfId="7" applyFont="1" applyFill="1" applyAlignment="1">
      <alignment horizontal="center" vertical="center"/>
    </xf>
    <xf numFmtId="0" fontId="104" fillId="0" borderId="150" xfId="7" applyFont="1" applyFill="1" applyBorder="1" applyAlignment="1">
      <alignment horizontal="left" vertical="top" wrapText="1"/>
    </xf>
    <xf numFmtId="0" fontId="104" fillId="0" borderId="0" xfId="7" applyFont="1" applyFill="1" applyBorder="1" applyAlignment="1">
      <alignment horizontal="left" vertical="top" wrapText="1"/>
    </xf>
    <xf numFmtId="0" fontId="158" fillId="0" borderId="0" xfId="7" applyFont="1" applyAlignment="1">
      <alignment wrapText="1"/>
    </xf>
    <xf numFmtId="0" fontId="159" fillId="0" borderId="0" xfId="7" applyFont="1" applyAlignment="1">
      <alignment horizontal="center" vertical="center" wrapText="1"/>
    </xf>
    <xf numFmtId="174" fontId="159" fillId="0" borderId="15" xfId="7" applyNumberFormat="1" applyFont="1" applyBorder="1" applyAlignment="1">
      <alignment horizontal="center" vertical="center" wrapText="1"/>
    </xf>
    <xf numFmtId="0" fontId="84" fillId="0" borderId="72" xfId="7" applyFont="1" applyBorder="1" applyAlignment="1" applyProtection="1">
      <alignment horizontal="center" vertical="top" wrapText="1"/>
      <protection locked="0"/>
    </xf>
    <xf numFmtId="0" fontId="84" fillId="0" borderId="83" xfId="7" applyFont="1" applyBorder="1" applyAlignment="1" applyProtection="1">
      <alignment horizontal="center" vertical="top" wrapText="1"/>
      <protection locked="0"/>
    </xf>
    <xf numFmtId="0" fontId="161" fillId="0" borderId="97" xfId="0" applyFont="1" applyBorder="1" applyAlignment="1">
      <alignment horizontal="left" vertical="center" wrapText="1"/>
    </xf>
    <xf numFmtId="0" fontId="96" fillId="0" borderId="176" xfId="11" applyFont="1" applyBorder="1" applyAlignment="1"/>
    <xf numFmtId="0" fontId="96" fillId="0" borderId="167" xfId="11" applyFont="1" applyBorder="1" applyAlignment="1"/>
    <xf numFmtId="0" fontId="96" fillId="0" borderId="178" xfId="11" applyFont="1" applyBorder="1" applyAlignment="1"/>
    <xf numFmtId="0" fontId="96" fillId="0" borderId="169" xfId="11" applyFont="1" applyBorder="1" applyAlignment="1"/>
    <xf numFmtId="0" fontId="105" fillId="0" borderId="126" xfId="11" applyFont="1" applyBorder="1" applyAlignment="1"/>
    <xf numFmtId="0" fontId="105" fillId="0" borderId="57" xfId="11" applyFont="1" applyBorder="1" applyAlignment="1"/>
    <xf numFmtId="0" fontId="161" fillId="0" borderId="0" xfId="0" applyFont="1" applyBorder="1" applyAlignment="1">
      <alignment horizontal="left" vertical="center" wrapText="1"/>
    </xf>
    <xf numFmtId="0" fontId="96" fillId="0" borderId="176" xfId="11" applyFont="1" applyBorder="1" applyAlignment="1">
      <alignment wrapText="1"/>
    </xf>
    <xf numFmtId="0" fontId="96" fillId="0" borderId="167" xfId="11" applyFont="1" applyBorder="1" applyAlignment="1">
      <alignment wrapText="1"/>
    </xf>
    <xf numFmtId="0" fontId="140" fillId="0" borderId="0" xfId="11" applyFont="1" applyBorder="1" applyAlignment="1">
      <alignment horizontal="center" vertical="top" wrapText="1"/>
    </xf>
    <xf numFmtId="0" fontId="140" fillId="0" borderId="92" xfId="11" applyFont="1" applyBorder="1" applyAlignment="1">
      <alignment horizontal="center" vertical="top" wrapText="1"/>
    </xf>
    <xf numFmtId="0" fontId="161" fillId="0" borderId="92" xfId="0" applyFont="1" applyBorder="1" applyAlignment="1">
      <alignment horizontal="left" vertical="center" wrapText="1"/>
    </xf>
    <xf numFmtId="0" fontId="160" fillId="0" borderId="122" xfId="11" applyFont="1" applyBorder="1" applyAlignment="1">
      <alignment horizontal="center"/>
    </xf>
    <xf numFmtId="0" fontId="160" fillId="0" borderId="123" xfId="11" applyFont="1" applyBorder="1" applyAlignment="1">
      <alignment horizontal="center"/>
    </xf>
    <xf numFmtId="0" fontId="160" fillId="0" borderId="124" xfId="11" applyFont="1" applyBorder="1" applyAlignment="1">
      <alignment horizontal="center"/>
    </xf>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166" fontId="96" fillId="0" borderId="14" xfId="4" applyNumberFormat="1" applyFont="1" applyBorder="1" applyAlignment="1">
      <alignment horizontal="left" vertical="center" indent="1"/>
    </xf>
    <xf numFmtId="166" fontId="96" fillId="0" borderId="125" xfId="4" applyNumberFormat="1" applyFont="1" applyBorder="1" applyAlignment="1">
      <alignment horizontal="left" vertical="center" indent="1"/>
    </xf>
    <xf numFmtId="0" fontId="96" fillId="23" borderId="126" xfId="11" applyFont="1" applyFill="1" applyBorder="1"/>
    <xf numFmtId="0" fontId="96" fillId="23" borderId="57" xfId="11" applyFont="1" applyFill="1" applyBorder="1"/>
    <xf numFmtId="0" fontId="105" fillId="0" borderId="89" xfId="11" applyFont="1" applyBorder="1" applyAlignment="1">
      <alignment horizontal="center" wrapText="1"/>
    </xf>
    <xf numFmtId="0" fontId="105" fillId="0" borderId="90" xfId="11" applyFont="1" applyBorder="1" applyAlignment="1">
      <alignment horizontal="center" wrapText="1"/>
    </xf>
    <xf numFmtId="0" fontId="140" fillId="0" borderId="127" xfId="11" applyFont="1" applyBorder="1" applyAlignment="1">
      <alignment horizontal="center"/>
    </xf>
    <xf numFmtId="0" fontId="140" fillId="0" borderId="15" xfId="11" applyFont="1" applyBorder="1" applyAlignment="1">
      <alignment horizontal="center"/>
    </xf>
    <xf numFmtId="0" fontId="140" fillId="0" borderId="120" xfId="11" applyFont="1" applyBorder="1" applyAlignment="1">
      <alignment horizontal="center"/>
    </xf>
    <xf numFmtId="0" fontId="96" fillId="0" borderId="177" xfId="11" applyFont="1" applyBorder="1" applyAlignment="1"/>
    <xf numFmtId="0" fontId="96" fillId="0" borderId="163" xfId="11" applyFont="1" applyBorder="1" applyAlignment="1"/>
    <xf numFmtId="0" fontId="96" fillId="0" borderId="6" xfId="4" applyNumberFormat="1" applyFont="1" applyBorder="1" applyAlignment="1">
      <alignment horizontal="left" vertical="center" indent="1"/>
    </xf>
    <xf numFmtId="0" fontId="96" fillId="0" borderId="121" xfId="4" applyNumberFormat="1" applyFont="1" applyBorder="1" applyAlignment="1">
      <alignment horizontal="left" vertical="center"/>
    </xf>
    <xf numFmtId="0" fontId="96" fillId="0" borderId="172" xfId="4" applyNumberFormat="1" applyFont="1" applyBorder="1" applyAlignment="1" applyProtection="1">
      <alignment horizontal="center" vertical="center"/>
      <protection locked="0"/>
    </xf>
    <xf numFmtId="171" fontId="96" fillId="0" borderId="172" xfId="4" applyNumberFormat="1" applyFont="1" applyBorder="1" applyAlignment="1" applyProtection="1">
      <alignment horizontal="center"/>
      <protection locked="0"/>
    </xf>
    <xf numFmtId="0" fontId="111" fillId="0" borderId="140" xfId="4" applyFont="1" applyBorder="1" applyAlignment="1">
      <alignment horizontal="center" vertical="center" wrapText="1"/>
    </xf>
    <xf numFmtId="0" fontId="96" fillId="0" borderId="172" xfId="4" applyNumberFormat="1" applyFont="1" applyBorder="1" applyAlignment="1" applyProtection="1">
      <alignment horizontal="center"/>
      <protection locked="0"/>
    </xf>
    <xf numFmtId="0" fontId="111" fillId="0" borderId="140" xfId="4" applyNumberFormat="1" applyFont="1" applyBorder="1" applyAlignment="1">
      <alignment horizontal="center"/>
    </xf>
    <xf numFmtId="0" fontId="96" fillId="0" borderId="0" xfId="4" applyNumberFormat="1" applyFont="1" applyFill="1" applyBorder="1" applyAlignment="1" applyProtection="1">
      <alignment horizontal="left" vertical="top" wrapText="1" indent="2"/>
      <protection hidden="1"/>
    </xf>
    <xf numFmtId="0" fontId="96" fillId="0" borderId="0" xfId="4" applyFont="1" applyFill="1" applyBorder="1" applyAlignment="1" applyProtection="1">
      <alignment horizontal="left" vertical="top" wrapText="1" indent="2"/>
      <protection hidden="1"/>
    </xf>
    <xf numFmtId="0" fontId="96" fillId="0" borderId="38" xfId="4" quotePrefix="1" applyNumberFormat="1" applyFont="1" applyFill="1" applyBorder="1" applyAlignment="1" applyProtection="1">
      <alignment horizontal="left" vertical="top" wrapText="1" indent="2"/>
      <protection hidden="1"/>
    </xf>
    <xf numFmtId="0" fontId="96" fillId="0" borderId="0" xfId="4" quotePrefix="1" applyNumberFormat="1" applyFont="1" applyFill="1" applyBorder="1" applyAlignment="1" applyProtection="1">
      <alignment horizontal="left" vertical="top" wrapText="1" indent="2"/>
      <protection hidden="1"/>
    </xf>
    <xf numFmtId="0" fontId="105" fillId="0" borderId="14" xfId="4" applyNumberFormat="1" applyFont="1" applyFill="1" applyBorder="1" applyAlignment="1" applyProtection="1">
      <alignment vertical="center"/>
      <protection hidden="1"/>
    </xf>
    <xf numFmtId="0" fontId="105" fillId="0" borderId="19" xfId="4" applyNumberFormat="1" applyFont="1" applyFill="1" applyBorder="1" applyAlignment="1" applyProtection="1">
      <alignment vertical="center"/>
      <protection hidden="1"/>
    </xf>
    <xf numFmtId="0" fontId="105" fillId="22" borderId="15" xfId="4" applyNumberFormat="1" applyFont="1" applyFill="1" applyBorder="1" applyAlignment="1" applyProtection="1">
      <alignment horizontal="left" vertical="center" indent="1"/>
      <protection locked="0"/>
    </xf>
    <xf numFmtId="0" fontId="105" fillId="22" borderId="15" xfId="4" applyNumberFormat="1" applyFont="1" applyFill="1" applyBorder="1" applyAlignment="1" applyProtection="1">
      <alignment horizontal="left" vertical="center"/>
      <protection locked="0"/>
    </xf>
    <xf numFmtId="0" fontId="96" fillId="14" borderId="91" xfId="4" applyNumberFormat="1" applyFont="1" applyFill="1" applyBorder="1" applyAlignment="1">
      <alignment horizontal="left" vertical="top" wrapText="1"/>
    </xf>
    <xf numFmtId="0" fontId="96" fillId="14" borderId="0" xfId="4" applyFont="1" applyFill="1" applyBorder="1" applyAlignment="1">
      <alignment vertical="top"/>
    </xf>
    <xf numFmtId="0" fontId="96" fillId="14" borderId="5" xfId="4" applyFont="1" applyFill="1" applyBorder="1" applyAlignment="1">
      <alignment vertical="top"/>
    </xf>
    <xf numFmtId="166" fontId="105" fillId="22" borderId="51" xfId="4" applyNumberFormat="1" applyFont="1" applyFill="1" applyBorder="1" applyAlignment="1" applyProtection="1">
      <alignment horizontal="left" vertical="center" indent="1"/>
      <protection locked="0"/>
    </xf>
    <xf numFmtId="0" fontId="105" fillId="0" borderId="94" xfId="4" applyNumberFormat="1" applyFont="1" applyBorder="1" applyAlignment="1">
      <alignment horizontal="center" vertical="center"/>
    </xf>
    <xf numFmtId="0" fontId="96" fillId="0" borderId="6" xfId="4" applyFont="1" applyBorder="1" applyAlignment="1">
      <alignment horizontal="center" vertical="center"/>
    </xf>
    <xf numFmtId="0" fontId="96" fillId="0" borderId="10" xfId="4" applyFont="1" applyBorder="1" applyAlignment="1">
      <alignment horizontal="center" vertical="center"/>
    </xf>
    <xf numFmtId="0" fontId="96" fillId="0" borderId="14" xfId="4" applyNumberFormat="1" applyFont="1" applyBorder="1" applyAlignment="1">
      <alignment horizontal="left" vertical="center" wrapText="1"/>
    </xf>
    <xf numFmtId="0" fontId="96" fillId="0" borderId="14" xfId="4" applyFont="1" applyBorder="1" applyAlignment="1">
      <alignment horizontal="left" vertical="center" wrapText="1"/>
    </xf>
    <xf numFmtId="0" fontId="96" fillId="0" borderId="19" xfId="4" applyFont="1" applyBorder="1" applyAlignment="1">
      <alignment horizontal="left" vertical="center" wrapText="1"/>
    </xf>
    <xf numFmtId="0" fontId="113" fillId="0" borderId="0" xfId="0" applyFont="1" applyAlignment="1">
      <alignment vertical="top" wrapText="1"/>
    </xf>
    <xf numFmtId="0" fontId="105" fillId="17" borderId="23" xfId="4" applyFont="1" applyFill="1" applyBorder="1" applyAlignment="1">
      <alignment horizontal="center" vertical="center" wrapText="1"/>
    </xf>
    <xf numFmtId="0" fontId="105" fillId="17" borderId="14" xfId="4" applyFont="1" applyFill="1" applyBorder="1" applyAlignment="1">
      <alignment horizontal="center" vertical="center" wrapText="1"/>
    </xf>
    <xf numFmtId="0" fontId="105" fillId="17" borderId="19" xfId="4" applyFont="1" applyFill="1" applyBorder="1" applyAlignment="1">
      <alignment horizontal="center" vertical="center" wrapText="1"/>
    </xf>
    <xf numFmtId="0" fontId="96" fillId="0" borderId="0" xfId="4" applyFont="1" applyBorder="1" applyAlignment="1">
      <alignment wrapText="1"/>
    </xf>
    <xf numFmtId="0" fontId="162" fillId="0" borderId="179" xfId="4" applyFont="1" applyBorder="1" applyAlignment="1">
      <alignment horizontal="center" vertical="center" wrapText="1"/>
    </xf>
    <xf numFmtId="0" fontId="162" fillId="0" borderId="0" xfId="4" applyFont="1" applyBorder="1" applyAlignment="1">
      <alignment horizontal="center" vertical="center" wrapText="1"/>
    </xf>
    <xf numFmtId="0" fontId="162" fillId="0" borderId="180" xfId="4" applyFont="1" applyBorder="1" applyAlignment="1">
      <alignment horizontal="center" vertical="center" wrapText="1"/>
    </xf>
    <xf numFmtId="0" fontId="162" fillId="0" borderId="181" xfId="4" applyFont="1" applyBorder="1" applyAlignment="1">
      <alignment horizontal="center" vertical="center" wrapText="1"/>
    </xf>
    <xf numFmtId="0" fontId="162" fillId="0" borderId="182" xfId="4" applyFont="1" applyBorder="1" applyAlignment="1">
      <alignment horizontal="center" vertical="center" wrapText="1"/>
    </xf>
    <xf numFmtId="0" fontId="162" fillId="0" borderId="183" xfId="4" applyFont="1" applyBorder="1" applyAlignment="1">
      <alignment horizontal="center" vertical="center" wrapText="1"/>
    </xf>
    <xf numFmtId="0" fontId="136" fillId="0" borderId="23" xfId="4" applyNumberFormat="1" applyFont="1" applyFill="1" applyBorder="1" applyAlignment="1" applyProtection="1">
      <alignment vertical="top" wrapText="1"/>
      <protection hidden="1"/>
    </xf>
    <xf numFmtId="0" fontId="136" fillId="0" borderId="14" xfId="4" applyNumberFormat="1" applyFont="1" applyFill="1" applyBorder="1" applyAlignment="1" applyProtection="1">
      <alignment vertical="top" wrapText="1"/>
      <protection hidden="1"/>
    </xf>
    <xf numFmtId="0" fontId="136" fillId="0" borderId="19" xfId="4" applyNumberFormat="1" applyFont="1" applyFill="1" applyBorder="1" applyAlignment="1" applyProtection="1">
      <alignment vertical="top" wrapText="1"/>
      <protection hidden="1"/>
    </xf>
    <xf numFmtId="0" fontId="90" fillId="0" borderId="8" xfId="4" applyFont="1" applyBorder="1" applyAlignment="1">
      <alignment vertical="top" wrapText="1"/>
    </xf>
    <xf numFmtId="0" fontId="90" fillId="0" borderId="3" xfId="4" applyFont="1" applyBorder="1" applyAlignment="1">
      <alignment vertical="top" wrapText="1"/>
    </xf>
    <xf numFmtId="0" fontId="90" fillId="0" borderId="4" xfId="4" applyFont="1" applyBorder="1" applyAlignment="1">
      <alignment vertical="top" wrapText="1"/>
    </xf>
    <xf numFmtId="0" fontId="105" fillId="0" borderId="32" xfId="4" applyFont="1" applyBorder="1" applyAlignment="1">
      <alignment horizontal="center" vertical="center" wrapText="1"/>
    </xf>
    <xf numFmtId="0" fontId="105" fillId="0" borderId="33" xfId="4" applyFont="1" applyBorder="1" applyAlignment="1">
      <alignment horizontal="center" vertical="center" wrapText="1"/>
    </xf>
    <xf numFmtId="0" fontId="105" fillId="0" borderId="29" xfId="4" applyFont="1" applyBorder="1" applyAlignment="1">
      <alignment horizontal="center" vertical="center" wrapText="1"/>
    </xf>
    <xf numFmtId="0" fontId="113" fillId="0" borderId="38" xfId="4" applyFont="1" applyFill="1" applyBorder="1" applyAlignment="1" applyProtection="1">
      <alignment vertical="top"/>
      <protection hidden="1"/>
    </xf>
    <xf numFmtId="0" fontId="113" fillId="0" borderId="0" xfId="4" applyFont="1" applyFill="1" applyBorder="1" applyAlignment="1" applyProtection="1">
      <alignment vertical="top"/>
      <protection hidden="1"/>
    </xf>
    <xf numFmtId="0" fontId="113" fillId="0" borderId="37" xfId="4" applyFont="1" applyFill="1" applyBorder="1" applyAlignment="1" applyProtection="1">
      <alignment vertical="top"/>
      <protection hidden="1"/>
    </xf>
    <xf numFmtId="0" fontId="113" fillId="0" borderId="36" xfId="4" applyFont="1" applyFill="1" applyBorder="1" applyAlignment="1" applyProtection="1">
      <alignment vertical="top"/>
      <protection hidden="1"/>
    </xf>
    <xf numFmtId="0" fontId="113" fillId="0" borderId="28" xfId="4" applyFont="1" applyFill="1" applyBorder="1" applyAlignment="1" applyProtection="1">
      <alignment vertical="top"/>
      <protection hidden="1"/>
    </xf>
    <xf numFmtId="0" fontId="113" fillId="0" borderId="34" xfId="4" applyFont="1" applyFill="1" applyBorder="1" applyAlignment="1" applyProtection="1">
      <alignment vertical="top"/>
      <protection hidden="1"/>
    </xf>
    <xf numFmtId="0" fontId="163" fillId="17" borderId="9" xfId="0" applyFont="1" applyFill="1" applyBorder="1" applyAlignment="1">
      <alignment horizontal="center" vertical="center"/>
    </xf>
    <xf numFmtId="0" fontId="163" fillId="17" borderId="6" xfId="0" applyFont="1" applyFill="1" applyBorder="1" applyAlignment="1">
      <alignment horizontal="center" vertical="center"/>
    </xf>
    <xf numFmtId="0" fontId="163" fillId="17" borderId="128" xfId="0" applyFont="1" applyFill="1" applyBorder="1" applyAlignment="1">
      <alignment horizontal="center" vertical="center"/>
    </xf>
    <xf numFmtId="164" fontId="163" fillId="17" borderId="7" xfId="0" applyNumberFormat="1" applyFont="1" applyFill="1" applyBorder="1" applyAlignment="1">
      <alignment horizontal="center" vertical="center"/>
    </xf>
    <xf numFmtId="164" fontId="163" fillId="17" borderId="0" xfId="0" applyNumberFormat="1" applyFont="1" applyFill="1" applyBorder="1" applyAlignment="1">
      <alignment horizontal="center" vertical="center"/>
    </xf>
    <xf numFmtId="164" fontId="163" fillId="17" borderId="43" xfId="0" applyNumberFormat="1" applyFont="1" applyFill="1" applyBorder="1" applyAlignment="1">
      <alignment horizontal="center" vertical="center"/>
    </xf>
    <xf numFmtId="164" fontId="98" fillId="17" borderId="9" xfId="0" applyNumberFormat="1" applyFont="1" applyFill="1" applyBorder="1" applyAlignment="1">
      <alignment horizontal="center" vertical="top"/>
    </xf>
    <xf numFmtId="164" fontId="127" fillId="17" borderId="6" xfId="0" applyNumberFormat="1" applyFont="1" applyFill="1" applyBorder="1" applyAlignment="1">
      <alignment horizontal="center" vertical="top"/>
    </xf>
    <xf numFmtId="164" fontId="127" fillId="17" borderId="128" xfId="0" applyNumberFormat="1" applyFont="1" applyFill="1" applyBorder="1" applyAlignment="1">
      <alignment horizontal="center" vertical="top"/>
    </xf>
    <xf numFmtId="0" fontId="127" fillId="0" borderId="14" xfId="0" applyFont="1" applyBorder="1" applyAlignment="1">
      <alignment horizontal="left" vertical="top" wrapText="1"/>
    </xf>
    <xf numFmtId="0" fontId="90" fillId="0" borderId="19" xfId="0" applyFont="1" applyBorder="1" applyAlignment="1">
      <alignment horizontal="left" vertical="top" wrapText="1"/>
    </xf>
    <xf numFmtId="0" fontId="90" fillId="0" borderId="14" xfId="0" applyFont="1" applyBorder="1" applyAlignment="1">
      <alignment vertical="top" wrapText="1"/>
    </xf>
    <xf numFmtId="0" fontId="96" fillId="0" borderId="19" xfId="0" applyFont="1" applyBorder="1" applyAlignment="1">
      <alignment wrapText="1"/>
    </xf>
    <xf numFmtId="0" fontId="127" fillId="0" borderId="6" xfId="0" applyNumberFormat="1" applyFont="1" applyBorder="1" applyAlignment="1">
      <alignment horizontal="left" vertical="center" wrapText="1"/>
    </xf>
    <xf numFmtId="0" fontId="127" fillId="0" borderId="0" xfId="0" applyNumberFormat="1" applyFont="1" applyBorder="1" applyAlignment="1">
      <alignment horizontal="left" vertical="center" wrapText="1"/>
    </xf>
    <xf numFmtId="0" fontId="90" fillId="0" borderId="5" xfId="0" applyFont="1" applyBorder="1" applyAlignment="1">
      <alignment vertical="center" wrapText="1"/>
    </xf>
    <xf numFmtId="0" fontId="127" fillId="0" borderId="14" xfId="0" applyNumberFormat="1" applyFont="1" applyBorder="1" applyAlignment="1">
      <alignment horizontal="left" vertical="center" wrapText="1"/>
    </xf>
    <xf numFmtId="0" fontId="90" fillId="0" borderId="19" xfId="0" applyFont="1" applyBorder="1" applyAlignment="1"/>
    <xf numFmtId="0" fontId="105" fillId="0" borderId="0" xfId="4" applyNumberFormat="1" applyFont="1" applyAlignment="1" applyProtection="1">
      <alignment horizontal="center"/>
    </xf>
    <xf numFmtId="0" fontId="105" fillId="0" borderId="36" xfId="4" applyNumberFormat="1" applyFont="1" applyBorder="1" applyAlignment="1" applyProtection="1">
      <alignment horizontal="left" indent="1"/>
      <protection locked="0"/>
    </xf>
    <xf numFmtId="0" fontId="105" fillId="0" borderId="28" xfId="4" applyFont="1" applyBorder="1" applyAlignment="1">
      <alignment horizontal="left" indent="1"/>
    </xf>
    <xf numFmtId="0" fontId="105" fillId="0" borderId="34" xfId="4" applyFont="1" applyBorder="1" applyAlignment="1">
      <alignment horizontal="left" indent="1"/>
    </xf>
    <xf numFmtId="0" fontId="105" fillId="0" borderId="38" xfId="4" applyNumberFormat="1" applyFont="1" applyBorder="1" applyAlignment="1" applyProtection="1">
      <alignment horizontal="left" indent="1"/>
      <protection locked="0"/>
    </xf>
    <xf numFmtId="0" fontId="105" fillId="0" borderId="0" xfId="4" applyFont="1" applyBorder="1" applyAlignment="1">
      <alignment horizontal="left" indent="1"/>
    </xf>
    <xf numFmtId="0" fontId="105" fillId="0" borderId="37" xfId="4" applyFont="1" applyBorder="1" applyAlignment="1">
      <alignment horizontal="left" indent="1"/>
    </xf>
    <xf numFmtId="0" fontId="105" fillId="0" borderId="38" xfId="4" applyNumberFormat="1" applyFont="1" applyBorder="1" applyAlignment="1" applyProtection="1">
      <alignment horizontal="left" indent="1"/>
    </xf>
    <xf numFmtId="0" fontId="105" fillId="0" borderId="0" xfId="4" applyFont="1" applyBorder="1" applyAlignment="1" applyProtection="1">
      <alignment horizontal="left" indent="1"/>
    </xf>
    <xf numFmtId="0" fontId="105" fillId="0" borderId="37" xfId="4" applyFont="1" applyBorder="1" applyAlignment="1" applyProtection="1">
      <alignment horizontal="left" indent="1"/>
    </xf>
    <xf numFmtId="0" fontId="96" fillId="0" borderId="36" xfId="4" applyNumberFormat="1" applyFont="1" applyBorder="1" applyAlignment="1" applyProtection="1">
      <alignment horizontal="left" vertical="center" indent="1"/>
    </xf>
    <xf numFmtId="0" fontId="96" fillId="0" borderId="28" xfId="4" applyFont="1" applyBorder="1" applyAlignment="1" applyProtection="1">
      <alignment horizontal="left" vertical="center" indent="1"/>
    </xf>
    <xf numFmtId="0" fontId="96" fillId="0" borderId="34" xfId="4" applyFont="1" applyBorder="1" applyAlignment="1" applyProtection="1">
      <alignment horizontal="left" vertical="center" indent="1"/>
    </xf>
    <xf numFmtId="0" fontId="105" fillId="0" borderId="38" xfId="4" applyNumberFormat="1" applyFont="1" applyBorder="1" applyAlignment="1" applyProtection="1"/>
    <xf numFmtId="0" fontId="105" fillId="0" borderId="0" xfId="4" applyFont="1" applyBorder="1" applyAlignment="1" applyProtection="1"/>
    <xf numFmtId="0" fontId="105" fillId="0" borderId="37" xfId="4" applyFont="1" applyBorder="1" applyAlignment="1" applyProtection="1"/>
    <xf numFmtId="0" fontId="113" fillId="0" borderId="38" xfId="4" applyNumberFormat="1" applyFont="1" applyBorder="1" applyAlignment="1" applyProtection="1"/>
    <xf numFmtId="0" fontId="113" fillId="0" borderId="0" xfId="4" applyFont="1" applyBorder="1" applyAlignment="1" applyProtection="1"/>
    <xf numFmtId="0" fontId="113" fillId="0" borderId="37" xfId="4" applyFont="1" applyBorder="1" applyAlignment="1" applyProtection="1"/>
    <xf numFmtId="0" fontId="105" fillId="0" borderId="33" xfId="4" applyNumberFormat="1" applyFont="1" applyBorder="1" applyAlignment="1" applyProtection="1">
      <alignment horizontal="left" indent="1"/>
      <protection locked="0"/>
    </xf>
    <xf numFmtId="0" fontId="105" fillId="0" borderId="33" xfId="4" applyFont="1" applyBorder="1" applyAlignment="1" applyProtection="1">
      <alignment horizontal="left" indent="1"/>
      <protection locked="0"/>
    </xf>
    <xf numFmtId="0" fontId="105" fillId="0" borderId="29" xfId="4" applyFont="1" applyBorder="1" applyAlignment="1" applyProtection="1">
      <alignment horizontal="left" indent="1"/>
      <protection locked="0"/>
    </xf>
    <xf numFmtId="0" fontId="105" fillId="0" borderId="0" xfId="4" applyNumberFormat="1" applyFont="1" applyFill="1" applyAlignment="1" applyProtection="1">
      <alignment horizontal="center" vertical="center"/>
      <protection hidden="1"/>
    </xf>
    <xf numFmtId="0" fontId="96" fillId="0" borderId="0" xfId="4" applyFont="1" applyFill="1" applyAlignment="1" applyProtection="1">
      <alignment horizontal="center" vertical="center"/>
      <protection hidden="1"/>
    </xf>
    <xf numFmtId="0" fontId="105" fillId="0" borderId="36" xfId="4" applyNumberFormat="1" applyFont="1" applyBorder="1" applyAlignment="1" applyProtection="1">
      <alignment horizontal="left" indent="1"/>
    </xf>
    <xf numFmtId="0" fontId="105" fillId="0" borderId="28" xfId="4" applyFont="1" applyBorder="1" applyAlignment="1" applyProtection="1">
      <alignment horizontal="left" indent="1"/>
    </xf>
    <xf numFmtId="0" fontId="105" fillId="0" borderId="34" xfId="4" applyFont="1" applyBorder="1" applyAlignment="1" applyProtection="1">
      <alignment horizontal="left" indent="1"/>
    </xf>
    <xf numFmtId="165" fontId="105" fillId="0" borderId="36" xfId="4" applyNumberFormat="1" applyFont="1" applyBorder="1" applyAlignment="1" applyProtection="1">
      <alignment horizontal="left" indent="1"/>
    </xf>
    <xf numFmtId="165" fontId="105" fillId="0" borderId="34" xfId="4" applyNumberFormat="1" applyFont="1" applyBorder="1" applyAlignment="1" applyProtection="1">
      <alignment horizontal="left" indent="1"/>
    </xf>
    <xf numFmtId="0" fontId="105" fillId="0" borderId="36" xfId="4" applyNumberFormat="1" applyFont="1" applyBorder="1" applyAlignment="1" applyProtection="1"/>
    <xf numFmtId="0" fontId="105" fillId="0" borderId="28" xfId="4" applyFont="1" applyBorder="1" applyAlignment="1" applyProtection="1"/>
    <xf numFmtId="0" fontId="105" fillId="0" borderId="34" xfId="4" applyFont="1" applyBorder="1" applyAlignment="1" applyProtection="1"/>
    <xf numFmtId="0" fontId="105" fillId="0" borderId="34" xfId="4" applyNumberFormat="1" applyFont="1" applyBorder="1" applyAlignment="1" applyProtection="1">
      <alignment horizontal="left" indent="1"/>
    </xf>
    <xf numFmtId="0" fontId="105" fillId="0" borderId="38" xfId="4" applyFont="1" applyBorder="1" applyAlignment="1" applyProtection="1"/>
    <xf numFmtId="0" fontId="105" fillId="0" borderId="0" xfId="4" applyNumberFormat="1" applyFont="1" applyAlignment="1" applyProtection="1">
      <alignment horizontal="center" vertical="center"/>
    </xf>
    <xf numFmtId="0" fontId="90" fillId="0" borderId="32" xfId="4" applyNumberFormat="1" applyFont="1" applyBorder="1" applyProtection="1"/>
    <xf numFmtId="0" fontId="90" fillId="0" borderId="33" xfId="4" applyNumberFormat="1" applyFont="1" applyBorder="1" applyProtection="1"/>
    <xf numFmtId="0" fontId="105" fillId="0" borderId="38"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vertical="center" indent="1"/>
    </xf>
    <xf numFmtId="0" fontId="105" fillId="0" borderId="37"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indent="1"/>
    </xf>
    <xf numFmtId="0" fontId="105" fillId="0" borderId="37" xfId="4" applyNumberFormat="1" applyFont="1" applyBorder="1" applyAlignment="1" applyProtection="1">
      <alignment horizontal="left" indent="1"/>
    </xf>
    <xf numFmtId="0" fontId="96" fillId="0" borderId="36" xfId="4" applyNumberFormat="1" applyFont="1" applyBorder="1" applyProtection="1"/>
    <xf numFmtId="0" fontId="96" fillId="0" borderId="28" xfId="4" applyNumberFormat="1" applyFont="1" applyBorder="1" applyProtection="1"/>
    <xf numFmtId="0" fontId="96" fillId="0" borderId="34" xfId="4" applyNumberFormat="1" applyFont="1" applyBorder="1" applyProtection="1"/>
    <xf numFmtId="0" fontId="89" fillId="0" borderId="0" xfId="4" applyFont="1" applyAlignment="1">
      <alignment horizontal="center" vertical="center"/>
    </xf>
    <xf numFmtId="0" fontId="96" fillId="0" borderId="0" xfId="4" applyFont="1" applyAlignment="1">
      <alignment horizontal="center" vertical="center"/>
    </xf>
    <xf numFmtId="174" fontId="89" fillId="0" borderId="0" xfId="4" applyNumberFormat="1" applyFont="1" applyAlignment="1">
      <alignment horizontal="center" vertical="center"/>
    </xf>
    <xf numFmtId="174" fontId="96" fillId="0" borderId="0" xfId="4" applyNumberFormat="1" applyFont="1" applyAlignment="1">
      <alignment horizontal="center" vertical="center"/>
    </xf>
    <xf numFmtId="0" fontId="96" fillId="0" borderId="49" xfId="4" applyFont="1" applyBorder="1" applyAlignment="1" applyProtection="1">
      <protection locked="0"/>
    </xf>
    <xf numFmtId="0" fontId="105" fillId="0" borderId="0" xfId="4" applyFont="1" applyAlignment="1" applyProtection="1">
      <alignment horizontal="center" vertical="center"/>
    </xf>
    <xf numFmtId="174" fontId="105" fillId="0" borderId="0" xfId="4" applyNumberFormat="1" applyFont="1" applyAlignment="1" applyProtection="1">
      <alignment horizontal="center" vertical="center"/>
    </xf>
    <xf numFmtId="0" fontId="96" fillId="0" borderId="49" xfId="4" applyFont="1" applyBorder="1" applyAlignment="1" applyProtection="1">
      <alignment horizontal="left"/>
      <protection locked="0"/>
    </xf>
    <xf numFmtId="0" fontId="105" fillId="0" borderId="0" xfId="4" quotePrefix="1" applyFont="1" applyAlignment="1" applyProtection="1">
      <alignment horizontal="center" vertical="center"/>
    </xf>
    <xf numFmtId="0" fontId="105" fillId="0" borderId="0" xfId="4" applyNumberFormat="1" applyFont="1" applyAlignment="1">
      <alignment horizontal="center"/>
    </xf>
    <xf numFmtId="165" fontId="105" fillId="0" borderId="0" xfId="4" applyNumberFormat="1" applyFont="1" applyAlignment="1" applyProtection="1">
      <alignment horizontal="center" vertical="center"/>
    </xf>
    <xf numFmtId="165" fontId="89" fillId="0" borderId="0" xfId="4" applyNumberFormat="1" applyFont="1" applyAlignment="1" applyProtection="1">
      <alignment horizontal="center" vertical="center"/>
    </xf>
    <xf numFmtId="0" fontId="89" fillId="0" borderId="0" xfId="4" applyNumberFormat="1" applyFont="1" applyAlignment="1" applyProtection="1">
      <alignment horizontal="center" vertical="center"/>
    </xf>
    <xf numFmtId="3" fontId="90" fillId="0" borderId="57" xfId="4" applyNumberFormat="1" applyFont="1" applyBorder="1" applyAlignment="1" applyProtection="1">
      <alignment horizontal="right" indent="1"/>
      <protection locked="0"/>
    </xf>
    <xf numFmtId="0" fontId="90" fillId="0" borderId="0" xfId="4" applyFont="1" applyAlignment="1" applyProtection="1">
      <alignment horizontal="left" vertical="center" wrapText="1"/>
      <protection locked="0"/>
    </xf>
    <xf numFmtId="0" fontId="105" fillId="0" borderId="0" xfId="4" applyNumberFormat="1" applyFont="1" applyBorder="1" applyAlignment="1" applyProtection="1">
      <alignment horizontal="center"/>
    </xf>
    <xf numFmtId="0" fontId="89" fillId="0" borderId="0" xfId="4" applyFont="1" applyAlignment="1" applyProtection="1">
      <alignment horizontal="center" vertical="center" readingOrder="1"/>
    </xf>
    <xf numFmtId="0" fontId="89" fillId="0" borderId="0" xfId="4" applyFont="1" applyAlignment="1" applyProtection="1">
      <alignment horizontal="center" vertical="center"/>
    </xf>
    <xf numFmtId="0" fontId="89" fillId="0" borderId="0" xfId="4" applyFont="1" applyAlignment="1" applyProtection="1">
      <alignment horizontal="center"/>
    </xf>
    <xf numFmtId="0" fontId="89" fillId="0" borderId="15" xfId="4" applyFont="1" applyBorder="1" applyAlignment="1" applyProtection="1">
      <alignment horizontal="center"/>
    </xf>
    <xf numFmtId="0" fontId="94" fillId="0" borderId="0" xfId="4" applyFont="1" applyAlignment="1" applyProtection="1">
      <alignment horizontal="left" vertical="center" wrapText="1"/>
    </xf>
    <xf numFmtId="0" fontId="90" fillId="0" borderId="0" xfId="4" applyFont="1" applyBorder="1" applyAlignment="1" applyProtection="1">
      <alignment vertical="center" wrapText="1"/>
      <protection locked="0"/>
    </xf>
    <xf numFmtId="5" fontId="105" fillId="0" borderId="56" xfId="4" applyNumberFormat="1" applyFont="1" applyBorder="1" applyAlignment="1" applyProtection="1">
      <protection locked="0"/>
    </xf>
    <xf numFmtId="0" fontId="105" fillId="0" borderId="129" xfId="4" applyFont="1" applyBorder="1" applyAlignment="1" applyProtection="1">
      <protection locked="0"/>
    </xf>
    <xf numFmtId="0" fontId="94" fillId="0" borderId="0" xfId="4" applyFont="1" applyBorder="1" applyAlignment="1" applyProtection="1">
      <alignment horizontal="left" vertical="top" wrapText="1"/>
    </xf>
    <xf numFmtId="0" fontId="94" fillId="0" borderId="56" xfId="4" applyFont="1" applyBorder="1" applyAlignment="1" applyProtection="1">
      <alignment horizontal="center"/>
    </xf>
    <xf numFmtId="0" fontId="94" fillId="0" borderId="51" xfId="4" applyFont="1" applyBorder="1" applyAlignment="1" applyProtection="1">
      <alignment horizontal="center"/>
    </xf>
    <xf numFmtId="0" fontId="94" fillId="0" borderId="129" xfId="4" applyFont="1" applyBorder="1" applyAlignment="1" applyProtection="1">
      <alignment horizontal="center"/>
    </xf>
    <xf numFmtId="0" fontId="94" fillId="0" borderId="56" xfId="4" applyFont="1" applyBorder="1" applyAlignment="1" applyProtection="1">
      <alignment horizontal="left" vertical="center"/>
      <protection locked="0"/>
    </xf>
    <xf numFmtId="0" fontId="94" fillId="0" borderId="51" xfId="4" applyFont="1" applyBorder="1" applyAlignment="1" applyProtection="1">
      <alignment horizontal="left" vertical="center"/>
      <protection locked="0"/>
    </xf>
    <xf numFmtId="0" fontId="94" fillId="0" borderId="129" xfId="4" applyFont="1" applyBorder="1" applyAlignment="1" applyProtection="1">
      <alignment horizontal="left" vertical="center"/>
      <protection locked="0"/>
    </xf>
    <xf numFmtId="38" fontId="94" fillId="0" borderId="56" xfId="4" applyNumberFormat="1" applyFont="1" applyBorder="1" applyAlignment="1" applyProtection="1">
      <alignment horizontal="right" vertical="center"/>
      <protection locked="0"/>
    </xf>
    <xf numFmtId="38" fontId="94" fillId="0" borderId="51" xfId="4" applyNumberFormat="1" applyFont="1" applyBorder="1" applyAlignment="1" applyProtection="1">
      <alignment horizontal="right" vertical="center"/>
      <protection locked="0"/>
    </xf>
    <xf numFmtId="38" fontId="94" fillId="0" borderId="129" xfId="4" applyNumberFormat="1" applyFont="1" applyBorder="1" applyAlignment="1" applyProtection="1">
      <alignment horizontal="right" vertical="center"/>
      <protection locked="0"/>
    </xf>
    <xf numFmtId="38" fontId="94" fillId="0" borderId="57" xfId="4" applyNumberFormat="1" applyFont="1" applyBorder="1" applyAlignment="1" applyProtection="1">
      <alignment horizontal="right" vertical="center"/>
      <protection locked="0"/>
    </xf>
    <xf numFmtId="0" fontId="105" fillId="0" borderId="0" xfId="4" applyNumberFormat="1" applyFont="1" applyBorder="1" applyAlignment="1" applyProtection="1">
      <alignment horizontal="center" vertical="center" wrapText="1"/>
    </xf>
    <xf numFmtId="0" fontId="96" fillId="0" borderId="0" xfId="4" applyNumberFormat="1" applyFont="1" applyAlignment="1">
      <alignment horizontal="center" vertical="center" wrapText="1"/>
    </xf>
    <xf numFmtId="165" fontId="105" fillId="0" borderId="0" xfId="4" applyNumberFormat="1" applyFont="1" applyBorder="1" applyAlignment="1" applyProtection="1">
      <alignment horizontal="center" vertical="center" wrapText="1"/>
    </xf>
    <xf numFmtId="0" fontId="96" fillId="0" borderId="0" xfId="4" applyFont="1" applyAlignment="1">
      <alignment horizontal="center" vertical="center" wrapText="1"/>
    </xf>
    <xf numFmtId="169" fontId="89" fillId="0" borderId="0" xfId="4" applyNumberFormat="1" applyFont="1" applyAlignment="1" applyProtection="1">
      <alignment horizontal="center" vertical="center" wrapText="1"/>
    </xf>
    <xf numFmtId="0" fontId="90" fillId="0" borderId="0" xfId="4" applyFont="1" applyAlignment="1">
      <alignment horizontal="center" vertical="center" wrapText="1"/>
    </xf>
    <xf numFmtId="0" fontId="96" fillId="0" borderId="28" xfId="4" applyFont="1" applyBorder="1" applyAlignment="1" applyProtection="1">
      <alignment horizontal="center"/>
      <protection locked="0"/>
    </xf>
    <xf numFmtId="0" fontId="96" fillId="0" borderId="58" xfId="4" applyFont="1" applyBorder="1" applyAlignment="1" applyProtection="1">
      <alignment horizontal="center"/>
      <protection locked="0"/>
    </xf>
    <xf numFmtId="0" fontId="95" fillId="0" borderId="56" xfId="4" applyFont="1" applyBorder="1" applyAlignment="1" applyProtection="1">
      <alignment horizontal="center" vertical="center"/>
      <protection locked="0"/>
    </xf>
    <xf numFmtId="0" fontId="95" fillId="0" borderId="51" xfId="4" applyFont="1" applyBorder="1" applyAlignment="1" applyProtection="1">
      <alignment horizontal="center" vertical="center"/>
      <protection locked="0"/>
    </xf>
    <xf numFmtId="0" fontId="95" fillId="0" borderId="129" xfId="4" applyFont="1" applyBorder="1" applyAlignment="1" applyProtection="1">
      <alignment horizontal="center" vertical="center"/>
      <protection locked="0"/>
    </xf>
    <xf numFmtId="6" fontId="94" fillId="0" borderId="57" xfId="4" applyNumberFormat="1" applyFont="1" applyBorder="1" applyAlignment="1" applyProtection="1">
      <alignment horizontal="right" vertical="center"/>
      <protection locked="0"/>
    </xf>
    <xf numFmtId="6" fontId="94" fillId="0" borderId="56" xfId="4" applyNumberFormat="1" applyFont="1" applyBorder="1" applyProtection="1">
      <protection locked="0"/>
    </xf>
    <xf numFmtId="6" fontId="94" fillId="0" borderId="129" xfId="4" applyNumberFormat="1" applyFont="1" applyBorder="1" applyProtection="1">
      <protection locked="0"/>
    </xf>
    <xf numFmtId="170" fontId="96" fillId="0" borderId="28" xfId="4" applyNumberFormat="1" applyFont="1" applyBorder="1" applyAlignment="1" applyProtection="1">
      <alignment horizontal="center"/>
      <protection locked="0"/>
    </xf>
    <xf numFmtId="0" fontId="96" fillId="0" borderId="0" xfId="4" applyFont="1" applyAlignment="1" applyProtection="1">
      <alignment horizontal="left" vertical="top" wrapText="1"/>
      <protection locked="0"/>
    </xf>
    <xf numFmtId="0" fontId="96" fillId="0" borderId="0" xfId="4" applyFont="1" applyBorder="1" applyAlignment="1" applyProtection="1">
      <alignment horizontal="left" vertical="top" wrapText="1"/>
      <protection locked="0"/>
    </xf>
    <xf numFmtId="0" fontId="89" fillId="0" borderId="0" xfId="4" applyFont="1" applyAlignment="1" applyProtection="1">
      <alignment horizontal="center" vertical="center" wrapText="1"/>
    </xf>
    <xf numFmtId="0" fontId="89" fillId="0" borderId="0" xfId="4" applyFont="1" applyBorder="1" applyAlignment="1" applyProtection="1">
      <alignment horizontal="center" vertical="center" wrapText="1"/>
    </xf>
    <xf numFmtId="0" fontId="96" fillId="0" borderId="0" xfId="4" applyFont="1" applyBorder="1" applyAlignment="1">
      <alignment horizontal="center" vertical="center" wrapText="1"/>
    </xf>
    <xf numFmtId="8" fontId="96" fillId="0" borderId="0" xfId="4" applyNumberFormat="1" applyFont="1" applyAlignment="1" applyProtection="1">
      <alignment horizontal="left" vertical="top" wrapText="1"/>
      <protection locked="0"/>
    </xf>
    <xf numFmtId="0" fontId="89" fillId="0" borderId="0" xfId="4" applyNumberFormat="1" applyFont="1" applyBorder="1" applyAlignment="1" applyProtection="1">
      <alignment horizontal="center" vertical="center" wrapText="1"/>
    </xf>
    <xf numFmtId="165" fontId="89" fillId="0" borderId="0" xfId="4" applyNumberFormat="1" applyFont="1" applyBorder="1" applyAlignment="1" applyProtection="1">
      <alignment horizontal="center" vertical="center" wrapText="1"/>
    </xf>
    <xf numFmtId="0" fontId="89" fillId="0" borderId="16" xfId="4" applyFont="1" applyBorder="1" applyAlignment="1" applyProtection="1">
      <alignment horizontal="center" vertical="center" wrapText="1"/>
    </xf>
    <xf numFmtId="0" fontId="105" fillId="0" borderId="58" xfId="4" applyNumberFormat="1" applyFont="1" applyBorder="1" applyAlignment="1" applyProtection="1">
      <alignment horizontal="center"/>
      <protection locked="0"/>
    </xf>
    <xf numFmtId="0" fontId="105" fillId="0" borderId="58" xfId="4" applyFont="1" applyBorder="1" applyAlignment="1" applyProtection="1">
      <alignment horizontal="center"/>
      <protection locked="0"/>
    </xf>
    <xf numFmtId="0" fontId="105" fillId="0" borderId="58" xfId="4" applyFont="1" applyBorder="1" applyAlignment="1" applyProtection="1">
      <alignment horizontal="center" vertical="center"/>
      <protection locked="0"/>
    </xf>
    <xf numFmtId="0" fontId="89"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2551B77-E086-4AAD-8A19-4AFC513FAD44}"/>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E45EB50B-8E67-492E-8F1A-7098FD4EA9F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C33709CC-D6C8-4BEC-A5E6-3BD72A95A6CF}"/>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63A47C9B-BF06-4129-82DE-B76B2050FFCE}"/>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DBA51D30-89E1-4C55-ADCD-CE1A1A495B77}"/>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CEC8F4EC-A131-4C63-9EED-56FA7C5215F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CE447B2-C736-40A1-9184-96130B119298}"/>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88528FA2-3EE5-4FE4-BC3D-E4EBFD6EC9E3}"/>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809625</xdr:colOff>
          <xdr:row>3</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2D90A185-FE75-4E30-BE15-52AA743867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71" name="Text 1">
          <a:extLst>
            <a:ext uri="{FF2B5EF4-FFF2-40B4-BE49-F238E27FC236}">
              <a16:creationId xmlns:a16="http://schemas.microsoft.com/office/drawing/2014/main" id="{C198C2EA-2EA6-4455-81AC-9E685819D1F4}"/>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72" name="Rectangle 2">
          <a:extLst>
            <a:ext uri="{FF2B5EF4-FFF2-40B4-BE49-F238E27FC236}">
              <a16:creationId xmlns:a16="http://schemas.microsoft.com/office/drawing/2014/main" id="{499BAEFF-2600-48B5-878B-2167E99822AC}"/>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95" name="Text 1">
          <a:extLst>
            <a:ext uri="{FF2B5EF4-FFF2-40B4-BE49-F238E27FC236}">
              <a16:creationId xmlns:a16="http://schemas.microsoft.com/office/drawing/2014/main" id="{8972A814-BF3E-4C6B-9603-2A01ECFB9A8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96" name="Rectangle 2">
          <a:extLst>
            <a:ext uri="{FF2B5EF4-FFF2-40B4-BE49-F238E27FC236}">
              <a16:creationId xmlns:a16="http://schemas.microsoft.com/office/drawing/2014/main" id="{87058EAF-3FB4-4AE5-9335-D4CE408D6E1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19" name="Text 1">
          <a:extLst>
            <a:ext uri="{FF2B5EF4-FFF2-40B4-BE49-F238E27FC236}">
              <a16:creationId xmlns:a16="http://schemas.microsoft.com/office/drawing/2014/main" id="{27866B2F-411B-4534-B2FC-711FB2D9EA7D}"/>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20" name="Rectangle 2">
          <a:extLst>
            <a:ext uri="{FF2B5EF4-FFF2-40B4-BE49-F238E27FC236}">
              <a16:creationId xmlns:a16="http://schemas.microsoft.com/office/drawing/2014/main" id="{ABDC5E22-8042-441A-9570-C09226F327DB}"/>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43" name="Text 1">
          <a:extLst>
            <a:ext uri="{FF2B5EF4-FFF2-40B4-BE49-F238E27FC236}">
              <a16:creationId xmlns:a16="http://schemas.microsoft.com/office/drawing/2014/main" id="{99DEFE12-8DA6-4CA7-A5DC-C63E4EFF8B87}"/>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44" name="Rectangle 2">
          <a:extLst>
            <a:ext uri="{FF2B5EF4-FFF2-40B4-BE49-F238E27FC236}">
              <a16:creationId xmlns:a16="http://schemas.microsoft.com/office/drawing/2014/main" id="{B20CE5D7-4C0B-4D77-9940-CAA59918D091}"/>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086" t="s">
        <v>402</v>
      </c>
      <c r="J1" s="2087"/>
      <c r="K1" s="2087"/>
      <c r="L1" s="2087"/>
      <c r="M1" s="2087"/>
      <c r="N1" s="2087"/>
      <c r="O1" s="2087"/>
      <c r="P1" s="2087"/>
      <c r="Q1" s="2087"/>
      <c r="R1" s="2087"/>
      <c r="S1" s="2087"/>
    </row>
    <row r="2" spans="1:32" ht="12" customHeight="1" x14ac:dyDescent="0.2">
      <c r="A2" s="1831" t="str">
        <f>"Due to ISBE on "</f>
        <v xml:space="preserve">Due to ISBE on </v>
      </c>
      <c r="B2" s="2142">
        <f>+'AFR20'!F4</f>
        <v>44151</v>
      </c>
      <c r="C2" s="2142"/>
      <c r="D2" s="2143"/>
      <c r="I2" s="2088" t="s">
        <v>2006</v>
      </c>
      <c r="J2" s="2087"/>
      <c r="K2" s="2087"/>
      <c r="L2" s="2087"/>
      <c r="M2" s="2087"/>
      <c r="N2" s="2087"/>
      <c r="O2" s="2087"/>
      <c r="P2" s="2087"/>
      <c r="Q2" s="2087"/>
      <c r="R2" s="2087"/>
      <c r="S2" s="2087"/>
    </row>
    <row r="3" spans="1:32" ht="12" customHeight="1" x14ac:dyDescent="0.2">
      <c r="A3" s="1834"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521</v>
      </c>
      <c r="J4" s="2087"/>
      <c r="K4" s="2087"/>
      <c r="L4" s="2087"/>
      <c r="M4" s="2087"/>
      <c r="N4" s="2087"/>
      <c r="O4" s="2087"/>
      <c r="P4" s="2087"/>
      <c r="Q4" s="2087"/>
      <c r="R4" s="2087"/>
      <c r="S4" s="2087"/>
    </row>
    <row r="5" spans="1:32" ht="14.1" customHeight="1" x14ac:dyDescent="0.2">
      <c r="B5" s="101" t="s">
        <v>2030</v>
      </c>
      <c r="C5" s="26" t="s">
        <v>904</v>
      </c>
      <c r="D5" s="81"/>
      <c r="E5" s="81"/>
      <c r="H5" s="38"/>
      <c r="I5" s="2096" t="s">
        <v>675</v>
      </c>
      <c r="J5" s="2095"/>
      <c r="K5" s="2095"/>
      <c r="L5" s="2095"/>
      <c r="M5" s="2095"/>
      <c r="N5" s="2095"/>
      <c r="O5" s="2095"/>
      <c r="P5" s="2095"/>
      <c r="Q5" s="2095"/>
      <c r="R5" s="2095"/>
      <c r="S5" s="2095"/>
      <c r="AF5" s="1827"/>
    </row>
    <row r="6" spans="1:32" ht="14.1" customHeight="1" x14ac:dyDescent="0.2">
      <c r="B6" s="101"/>
      <c r="C6" s="26" t="s">
        <v>905</v>
      </c>
      <c r="D6" s="81"/>
      <c r="E6" s="81"/>
      <c r="I6" s="2094" t="s">
        <v>877</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669</v>
      </c>
      <c r="J9" s="2092"/>
      <c r="K9" s="2092"/>
      <c r="L9" s="2092"/>
      <c r="M9" s="2092"/>
      <c r="N9" s="2092"/>
      <c r="O9" s="2092"/>
      <c r="P9" s="2092"/>
      <c r="Q9" s="2092"/>
      <c r="R9" s="2092"/>
      <c r="S9" s="2093"/>
      <c r="T9" s="2117" t="s">
        <v>530</v>
      </c>
      <c r="U9" s="2118"/>
      <c r="V9" s="2118"/>
      <c r="W9" s="2118"/>
      <c r="X9" s="2118"/>
      <c r="Y9" s="2118"/>
      <c r="Z9" s="2118"/>
      <c r="AA9" s="2119"/>
    </row>
    <row r="10" spans="1:32" ht="13.5" customHeight="1" x14ac:dyDescent="0.2">
      <c r="A10" s="2124" t="s">
        <v>670</v>
      </c>
      <c r="B10" s="2125"/>
      <c r="C10" s="2125"/>
      <c r="D10" s="2125"/>
      <c r="E10" s="2125"/>
      <c r="F10" s="2125"/>
      <c r="G10" s="2125"/>
      <c r="H10" s="2126"/>
      <c r="I10" s="29"/>
      <c r="J10" s="30"/>
      <c r="K10" s="28"/>
      <c r="R10" s="30"/>
      <c r="S10" s="30"/>
      <c r="T10" s="2120"/>
      <c r="U10" s="2095"/>
      <c r="V10" s="2095"/>
      <c r="W10" s="2095"/>
      <c r="X10" s="2095"/>
      <c r="Y10" s="2095"/>
      <c r="Z10" s="2095"/>
      <c r="AA10" s="2109"/>
    </row>
    <row r="11" spans="1:32" ht="14.25" customHeight="1" x14ac:dyDescent="0.2">
      <c r="A11" s="2127" t="s">
        <v>949</v>
      </c>
      <c r="B11" s="2128"/>
      <c r="C11" s="2128"/>
      <c r="D11" s="2128"/>
      <c r="E11" s="2128"/>
      <c r="F11" s="2128"/>
      <c r="G11" s="2128"/>
      <c r="H11" s="2129"/>
      <c r="I11" s="27"/>
      <c r="J11" s="71"/>
      <c r="K11" s="27"/>
      <c r="O11" s="144" t="s">
        <v>2021</v>
      </c>
      <c r="P11" s="97" t="s">
        <v>199</v>
      </c>
      <c r="Q11" s="30"/>
      <c r="R11" s="28"/>
      <c r="S11" s="27"/>
      <c r="T11" s="2121"/>
      <c r="U11" s="2122"/>
      <c r="V11" s="2122"/>
      <c r="W11" s="2122"/>
      <c r="X11" s="2122"/>
      <c r="Y11" s="2122"/>
      <c r="Z11" s="2122"/>
      <c r="AA11" s="212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1">
        <v>17053074027</v>
      </c>
      <c r="B13" s="2132"/>
      <c r="C13" s="2132"/>
      <c r="D13" s="2132"/>
      <c r="E13" s="2132"/>
      <c r="F13" s="2132"/>
      <c r="G13" s="2132"/>
      <c r="H13" s="2133"/>
      <c r="I13" s="31"/>
      <c r="J13" s="30"/>
      <c r="K13" s="28"/>
      <c r="L13" s="30"/>
      <c r="M13" s="30"/>
      <c r="N13" s="30"/>
      <c r="O13" s="30"/>
      <c r="P13" s="30"/>
      <c r="Q13" s="30"/>
      <c r="R13" s="30"/>
      <c r="S13" s="30"/>
      <c r="T13" s="2136" t="s">
        <v>2022</v>
      </c>
      <c r="U13" s="2137"/>
      <c r="V13" s="2137"/>
      <c r="W13" s="2137"/>
      <c r="X13" s="2137"/>
      <c r="Y13" s="2138"/>
      <c r="Z13" s="2138"/>
      <c r="AA13" s="213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30" t="s">
        <v>2031</v>
      </c>
      <c r="B15" s="2134"/>
      <c r="C15" s="2134"/>
      <c r="D15" s="2134"/>
      <c r="E15" s="2134"/>
      <c r="F15" s="2134"/>
      <c r="G15" s="2134"/>
      <c r="H15" s="2135"/>
      <c r="T15" s="2097" t="s">
        <v>2023</v>
      </c>
      <c r="U15" s="2074"/>
      <c r="V15" s="2074"/>
      <c r="W15" s="2074"/>
      <c r="X15" s="2074"/>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2087</v>
      </c>
      <c r="B17" s="2081"/>
      <c r="C17" s="2081"/>
      <c r="D17" s="2081"/>
      <c r="E17" s="2081"/>
      <c r="F17" s="2081"/>
      <c r="G17" s="2081"/>
      <c r="H17" s="2114"/>
      <c r="T17" s="2102" t="s">
        <v>2024</v>
      </c>
      <c r="U17" s="2103"/>
      <c r="V17" s="2103"/>
      <c r="W17" s="2103"/>
      <c r="X17" s="2103"/>
      <c r="Y17" s="2103"/>
      <c r="Z17" s="2103"/>
      <c r="AA17" s="2104"/>
    </row>
    <row r="18" spans="1:27" ht="13.5" customHeight="1" x14ac:dyDescent="0.2">
      <c r="A18" s="82" t="s">
        <v>527</v>
      </c>
      <c r="B18" s="73"/>
      <c r="C18" s="69"/>
      <c r="D18" s="73"/>
      <c r="E18" s="73"/>
      <c r="F18" s="73"/>
      <c r="G18" s="73"/>
      <c r="H18" s="53"/>
      <c r="I18" s="2113" t="s">
        <v>671</v>
      </c>
      <c r="J18" s="2056"/>
      <c r="K18" s="2056"/>
      <c r="L18" s="2056"/>
      <c r="M18" s="2056"/>
      <c r="N18" s="2056"/>
      <c r="O18" s="2056"/>
      <c r="P18" s="2056"/>
      <c r="Q18" s="2056"/>
      <c r="R18" s="2056"/>
      <c r="S18" s="2057"/>
      <c r="T18" s="82" t="s">
        <v>706</v>
      </c>
      <c r="U18" s="48"/>
      <c r="V18" s="69"/>
      <c r="W18" s="47"/>
      <c r="X18" s="82" t="s">
        <v>264</v>
      </c>
      <c r="Y18" s="78"/>
      <c r="Z18" s="154" t="s">
        <v>672</v>
      </c>
      <c r="AA18" s="44"/>
    </row>
    <row r="19" spans="1:27" ht="13.5" customHeight="1" x14ac:dyDescent="0.2">
      <c r="A19" s="2130" t="s">
        <v>2032</v>
      </c>
      <c r="B19" s="2066"/>
      <c r="C19" s="2066"/>
      <c r="D19" s="2066"/>
      <c r="E19" s="2066"/>
      <c r="F19" s="2066"/>
      <c r="G19" s="2066"/>
      <c r="H19" s="2046"/>
      <c r="I19" s="30"/>
      <c r="J19" s="96"/>
      <c r="K19" s="40"/>
      <c r="L19" s="38"/>
      <c r="M19" s="109" t="s">
        <v>312</v>
      </c>
      <c r="P19" s="27"/>
      <c r="Q19" s="27"/>
      <c r="R19" s="27"/>
      <c r="S19" s="31"/>
      <c r="T19" s="2130" t="s">
        <v>2025</v>
      </c>
      <c r="U19" s="2045"/>
      <c r="V19" s="2045"/>
      <c r="W19" s="2046"/>
      <c r="X19" s="2101" t="s">
        <v>2026</v>
      </c>
      <c r="Y19" s="2045"/>
      <c r="Z19" s="2100">
        <v>61761</v>
      </c>
      <c r="AA19" s="20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4" t="s">
        <v>2033</v>
      </c>
      <c r="B21" s="2045"/>
      <c r="C21" s="2045"/>
      <c r="D21" s="2045"/>
      <c r="E21" s="2045"/>
      <c r="F21" s="2045"/>
      <c r="G21" s="2045"/>
      <c r="H21" s="2046"/>
      <c r="I21" s="2108" t="s">
        <v>673</v>
      </c>
      <c r="J21" s="2095"/>
      <c r="K21" s="2095"/>
      <c r="L21" s="2095"/>
      <c r="M21" s="2095"/>
      <c r="N21" s="2095"/>
      <c r="O21" s="2095"/>
      <c r="P21" s="2095"/>
      <c r="Q21" s="2095"/>
      <c r="R21" s="2095"/>
      <c r="S21" s="2109"/>
      <c r="T21" s="2148">
        <v>3094522417</v>
      </c>
      <c r="U21" s="2149"/>
      <c r="V21" s="2149"/>
      <c r="W21" s="2149"/>
      <c r="X21" s="2072">
        <v>3098889261</v>
      </c>
      <c r="Y21" s="2115"/>
      <c r="Z21" s="2115"/>
      <c r="AA21" s="2116"/>
    </row>
    <row r="22" spans="1:27" ht="13.5" customHeight="1" x14ac:dyDescent="0.2">
      <c r="A22" s="84" t="s">
        <v>528</v>
      </c>
      <c r="B22" s="56"/>
      <c r="C22" s="56"/>
      <c r="D22" s="56"/>
      <c r="E22" s="56"/>
      <c r="F22" s="56"/>
      <c r="G22" s="56"/>
      <c r="H22" s="57"/>
      <c r="I22" s="2110" t="s">
        <v>1415</v>
      </c>
      <c r="J22" s="2111"/>
      <c r="K22" s="2111"/>
      <c r="L22" s="2111"/>
      <c r="M22" s="2111"/>
      <c r="N22" s="2111"/>
      <c r="O22" s="2111"/>
      <c r="P22" s="2111"/>
      <c r="Q22" s="2111"/>
      <c r="R22" s="2111"/>
      <c r="S22" s="2112"/>
      <c r="T22" s="82" t="s">
        <v>1502</v>
      </c>
      <c r="U22" s="48"/>
      <c r="V22" s="69"/>
      <c r="W22" s="48"/>
      <c r="X22" s="155" t="s">
        <v>1309</v>
      </c>
      <c r="Z22" s="43"/>
      <c r="AA22" s="44"/>
    </row>
    <row r="23" spans="1:27" ht="13.5" customHeight="1" x14ac:dyDescent="0.2">
      <c r="A23" s="2105" t="s">
        <v>2035</v>
      </c>
      <c r="B23" s="2106"/>
      <c r="C23" s="2106"/>
      <c r="D23" s="2106"/>
      <c r="E23" s="2106"/>
      <c r="F23" s="2106"/>
      <c r="G23" s="2106"/>
      <c r="H23" s="2107"/>
      <c r="T23" s="2080" t="s">
        <v>2028</v>
      </c>
      <c r="U23" s="2147"/>
      <c r="V23" s="2147"/>
      <c r="W23" s="2147"/>
      <c r="X23" s="2151">
        <v>44530</v>
      </c>
      <c r="Y23" s="2134"/>
      <c r="Z23" s="2134"/>
      <c r="AA23" s="2135"/>
    </row>
    <row r="24" spans="1:27" ht="14.1" customHeight="1" x14ac:dyDescent="0.2">
      <c r="A24" s="85" t="s">
        <v>672</v>
      </c>
      <c r="B24" s="46"/>
      <c r="C24" s="46"/>
      <c r="D24" s="46"/>
      <c r="E24" s="46"/>
      <c r="F24" s="46"/>
      <c r="G24" s="46"/>
      <c r="H24" s="58"/>
      <c r="J24" s="2067">
        <f>IF(B5="x",IF(AUDITCHECK!D29="AFR form Incomplete.","",IF(AUDITCHECK!D29="Deficit reduction plan is required.","School District must complete a deficit reduction plan in the 2019-2020 Budget",)),"")</f>
        <v>0</v>
      </c>
      <c r="K24" s="2067"/>
      <c r="L24" s="2067"/>
      <c r="M24" s="2067"/>
      <c r="N24" s="2067"/>
      <c r="O24" s="2067"/>
      <c r="P24" s="2067"/>
      <c r="Q24" s="2067"/>
      <c r="R24" s="2067"/>
      <c r="S24" s="2068"/>
      <c r="T24" s="102" t="s">
        <v>528</v>
      </c>
      <c r="U24" s="103"/>
      <c r="V24" s="103"/>
      <c r="W24" s="103"/>
      <c r="X24" s="104"/>
      <c r="Y24" s="104"/>
      <c r="Z24" s="104"/>
      <c r="AA24" s="105"/>
    </row>
    <row r="25" spans="1:27" ht="14.1" customHeight="1" x14ac:dyDescent="0.2">
      <c r="A25" s="2044">
        <v>61740</v>
      </c>
      <c r="B25" s="2045"/>
      <c r="C25" s="2045"/>
      <c r="D25" s="2045"/>
      <c r="E25" s="2045"/>
      <c r="F25" s="2045"/>
      <c r="G25" s="2045"/>
      <c r="H25" s="2046"/>
      <c r="I25" s="110"/>
      <c r="J25" s="2069"/>
      <c r="K25" s="2069"/>
      <c r="L25" s="2069"/>
      <c r="M25" s="2069"/>
      <c r="N25" s="2069"/>
      <c r="O25" s="2069"/>
      <c r="P25" s="2069"/>
      <c r="Q25" s="2069"/>
      <c r="R25" s="2069"/>
      <c r="S25" s="2070"/>
      <c r="T25" s="2144" t="s">
        <v>2027</v>
      </c>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5" t="s">
        <v>1497</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2034</v>
      </c>
      <c r="B38" s="2081"/>
      <c r="C38" s="2081"/>
      <c r="D38" s="2081"/>
      <c r="E38" s="2081"/>
      <c r="F38" s="2045"/>
      <c r="G38" s="2045"/>
      <c r="H38" s="2046"/>
      <c r="I38" s="2073"/>
      <c r="J38" s="2074"/>
      <c r="K38" s="2074"/>
      <c r="L38" s="2074"/>
      <c r="M38" s="2074"/>
      <c r="N38" s="2074"/>
      <c r="O38" s="2074"/>
      <c r="P38" s="2075"/>
      <c r="Q38" s="2075"/>
      <c r="R38" s="2075"/>
      <c r="S38" s="2076"/>
      <c r="T38" s="2097"/>
      <c r="U38" s="2074"/>
      <c r="V38" s="2074"/>
      <c r="W38" s="2074"/>
      <c r="X38" s="2075"/>
      <c r="Y38" s="2075"/>
      <c r="Z38" s="2075"/>
      <c r="AA38" s="2076"/>
    </row>
    <row r="39" spans="1:27" ht="12" customHeight="1" x14ac:dyDescent="0.2">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x14ac:dyDescent="0.2">
      <c r="A40" s="2058" t="s">
        <v>2035</v>
      </c>
      <c r="B40" s="2059"/>
      <c r="C40" s="2060"/>
      <c r="D40" s="2060"/>
      <c r="E40" s="2060"/>
      <c r="F40" s="2061"/>
      <c r="G40" s="2061"/>
      <c r="H40" s="2062"/>
      <c r="I40" s="2083"/>
      <c r="J40" s="2084"/>
      <c r="K40" s="2084"/>
      <c r="L40" s="2084"/>
      <c r="M40" s="2084"/>
      <c r="N40" s="2084"/>
      <c r="O40" s="2084"/>
      <c r="P40" s="2084"/>
      <c r="Q40" s="2084"/>
      <c r="R40" s="2084"/>
      <c r="S40" s="2085"/>
      <c r="T40" s="2083"/>
      <c r="U40" s="2150"/>
      <c r="V40" s="2084"/>
      <c r="W40" s="2084"/>
      <c r="X40" s="2084"/>
      <c r="Y40" s="2084"/>
      <c r="Z40" s="2084"/>
      <c r="AA40" s="208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2">
        <v>8157962233</v>
      </c>
      <c r="B42" s="2064"/>
      <c r="C42" s="2065"/>
      <c r="D42" s="2063">
        <v>8157962856</v>
      </c>
      <c r="E42" s="2064"/>
      <c r="F42" s="2064"/>
      <c r="G42" s="2064"/>
      <c r="H42" s="2065"/>
      <c r="I42" s="2047"/>
      <c r="J42" s="2048"/>
      <c r="K42" s="2048"/>
      <c r="L42" s="2048"/>
      <c r="M42" s="2048"/>
      <c r="N42" s="2048"/>
      <c r="O42" s="2049"/>
      <c r="P42" s="2082"/>
      <c r="Q42" s="2048"/>
      <c r="R42" s="2048"/>
      <c r="S42" s="2049"/>
      <c r="T42" s="2047"/>
      <c r="U42" s="2048"/>
      <c r="V42" s="2048"/>
      <c r="W42" s="2049"/>
      <c r="X42" s="2082"/>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X21:AA21"/>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C9" sqref="C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1147</v>
      </c>
      <c r="B4" s="1721">
        <f>'Revenues 9-14'!C5</f>
        <v>2234199</v>
      </c>
      <c r="C4" s="1722"/>
      <c r="D4" s="1723">
        <f>B4-C4</f>
        <v>2234199</v>
      </c>
      <c r="E4" s="1722">
        <v>2299213</v>
      </c>
      <c r="F4" s="1723">
        <f>E4-C4</f>
        <v>2299213</v>
      </c>
    </row>
    <row r="5" spans="1:8" ht="13.7" customHeight="1" x14ac:dyDescent="0.2">
      <c r="A5" s="579" t="s">
        <v>865</v>
      </c>
      <c r="B5" s="1724">
        <f>'Revenues 9-14'!D5</f>
        <v>271455</v>
      </c>
      <c r="C5" s="1664"/>
      <c r="D5" s="1725">
        <f t="shared" ref="D5:D18" si="0">B5-C5</f>
        <v>271455</v>
      </c>
      <c r="E5" s="1664">
        <v>234244</v>
      </c>
      <c r="F5" s="1725">
        <f>E5-C5</f>
        <v>234244</v>
      </c>
    </row>
    <row r="6" spans="1:8" ht="13.7" customHeight="1" x14ac:dyDescent="0.2">
      <c r="A6" s="579" t="s">
        <v>408</v>
      </c>
      <c r="B6" s="1724">
        <f>'Revenues 9-14'!E5</f>
        <v>217531</v>
      </c>
      <c r="C6" s="1664"/>
      <c r="D6" s="1725">
        <f t="shared" si="0"/>
        <v>217531</v>
      </c>
      <c r="E6" s="1664">
        <v>174091</v>
      </c>
      <c r="F6" s="1725">
        <f t="shared" ref="F6:F18" si="1">E6-C6</f>
        <v>174091</v>
      </c>
    </row>
    <row r="7" spans="1:8" ht="13.7" customHeight="1" x14ac:dyDescent="0.2">
      <c r="A7" s="579" t="s">
        <v>154</v>
      </c>
      <c r="B7" s="1724">
        <f>'Revenues 9-14'!F5</f>
        <v>500286</v>
      </c>
      <c r="C7" s="1664"/>
      <c r="D7" s="1725">
        <f t="shared" si="0"/>
        <v>500286</v>
      </c>
      <c r="E7" s="1664">
        <v>492381</v>
      </c>
      <c r="F7" s="1725">
        <f t="shared" si="1"/>
        <v>492381</v>
      </c>
    </row>
    <row r="8" spans="1:8" ht="13.7" customHeight="1" x14ac:dyDescent="0.2">
      <c r="A8" s="579" t="s">
        <v>1171</v>
      </c>
      <c r="B8" s="1724">
        <f>'Revenues 9-14'!G5</f>
        <v>46512</v>
      </c>
      <c r="C8" s="1664"/>
      <c r="D8" s="1725">
        <f t="shared" si="0"/>
        <v>46512</v>
      </c>
      <c r="E8" s="1664">
        <v>94038</v>
      </c>
      <c r="F8" s="1725">
        <f t="shared" si="1"/>
        <v>94038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35655</v>
      </c>
      <c r="C10" s="1664"/>
      <c r="D10" s="1725">
        <f t="shared" si="0"/>
        <v>35655</v>
      </c>
      <c r="E10" s="1664">
        <v>36990</v>
      </c>
      <c r="F10" s="1725">
        <f t="shared" si="1"/>
        <v>36990</v>
      </c>
    </row>
    <row r="11" spans="1:8" x14ac:dyDescent="0.2">
      <c r="A11" s="579" t="s">
        <v>406</v>
      </c>
      <c r="B11" s="1724">
        <f>'Revenues 9-14'!J5</f>
        <v>124786</v>
      </c>
      <c r="C11" s="1664"/>
      <c r="D11" s="1725">
        <f t="shared" si="0"/>
        <v>124786</v>
      </c>
      <c r="E11" s="1664">
        <v>139795</v>
      </c>
      <c r="F11" s="1725">
        <f t="shared" si="1"/>
        <v>139795</v>
      </c>
    </row>
    <row r="12" spans="1:8" ht="13.7" customHeight="1" x14ac:dyDescent="0.2">
      <c r="A12" s="579" t="s">
        <v>156</v>
      </c>
      <c r="B12" s="1724">
        <f>'Revenues 9-14'!K5</f>
        <v>5945</v>
      </c>
      <c r="C12" s="1664"/>
      <c r="D12" s="1725">
        <f t="shared" si="0"/>
        <v>5945</v>
      </c>
      <c r="E12" s="1664">
        <v>2989</v>
      </c>
      <c r="F12" s="1725">
        <f t="shared" si="1"/>
        <v>2989</v>
      </c>
    </row>
    <row r="13" spans="1:8" ht="13.7" customHeight="1" x14ac:dyDescent="0.2">
      <c r="A13" s="579" t="s">
        <v>930</v>
      </c>
      <c r="B13" s="1724">
        <f>SUM('Revenues 9-14'!C6:D6)</f>
        <v>10897</v>
      </c>
      <c r="C13" s="1664"/>
      <c r="D13" s="1725">
        <f t="shared" si="0"/>
        <v>10897</v>
      </c>
      <c r="E13" s="1664">
        <v>10985</v>
      </c>
      <c r="F13" s="1725">
        <f t="shared" si="1"/>
        <v>10985</v>
      </c>
    </row>
    <row r="14" spans="1:8" ht="13.7" customHeight="1" x14ac:dyDescent="0.2">
      <c r="A14" s="579" t="s">
        <v>407</v>
      </c>
      <c r="B14" s="1724">
        <f>SUM('Revenues 9-14'!C7:D7,'Revenues 9-14'!F7:H7)</f>
        <v>32579</v>
      </c>
      <c r="C14" s="1664"/>
      <c r="D14" s="1725">
        <f t="shared" si="0"/>
        <v>32579</v>
      </c>
      <c r="E14" s="1664">
        <v>37792</v>
      </c>
      <c r="F14" s="1725">
        <f t="shared" si="1"/>
        <v>37792</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34556</v>
      </c>
      <c r="C16" s="1664"/>
      <c r="D16" s="1725">
        <f t="shared" si="0"/>
        <v>34556</v>
      </c>
      <c r="E16" s="1664">
        <v>61791</v>
      </c>
      <c r="F16" s="1725">
        <f t="shared" si="1"/>
        <v>61791</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3514401</v>
      </c>
      <c r="C19" s="1726">
        <f>SUM(C4:C18)</f>
        <v>0</v>
      </c>
      <c r="D19" s="1726">
        <f>SUM(D4:D18)</f>
        <v>3514401</v>
      </c>
      <c r="E19" s="1726">
        <f>SUM(E4:E18)</f>
        <v>3584309</v>
      </c>
      <c r="F19" s="1726">
        <f>SUM(F4:F18)</f>
        <v>3584309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110" zoomScaleNormal="110" workbookViewId="0">
      <selection activeCell="F52" sqref="F52:G52"/>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04"/>
      <c r="C1" s="585"/>
    </row>
    <row r="2" spans="1:7" ht="33.75" x14ac:dyDescent="0.2">
      <c r="A2" s="2319" t="s">
        <v>1782</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5" t="s">
        <v>1106</v>
      </c>
      <c r="B3" s="2306"/>
      <c r="C3" s="2315"/>
      <c r="D3" s="2316"/>
      <c r="E3" s="2316"/>
      <c r="F3" s="2317"/>
    </row>
    <row r="4" spans="1:7" ht="12.75" customHeight="1" thickBot="1" x14ac:dyDescent="0.25">
      <c r="A4" s="2301" t="s">
        <v>626</v>
      </c>
      <c r="B4" s="2302"/>
      <c r="C4" s="1656"/>
      <c r="D4" s="1656"/>
      <c r="E4" s="1656"/>
      <c r="F4" s="1732">
        <f>SUM(C4+D4)-E4</f>
        <v>0</v>
      </c>
    </row>
    <row r="5" spans="1:7" ht="15.75" customHeight="1" thickTop="1" x14ac:dyDescent="0.2">
      <c r="A5" s="2313" t="s">
        <v>1103</v>
      </c>
      <c r="B5" s="2300"/>
      <c r="C5" s="2292"/>
      <c r="D5" s="2293"/>
      <c r="E5" s="2293"/>
      <c r="F5" s="229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18" t="s">
        <v>1104</v>
      </c>
      <c r="B16" s="2300"/>
      <c r="C16" s="2292"/>
      <c r="D16" s="2293"/>
      <c r="E16" s="2293"/>
      <c r="F16" s="2294"/>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299" t="s">
        <v>1105</v>
      </c>
      <c r="B22" s="2300"/>
      <c r="C22" s="2292"/>
      <c r="D22" s="2293"/>
      <c r="E22" s="2293"/>
      <c r="F22" s="2294"/>
    </row>
    <row r="23" spans="1:11" ht="13.5" thickBot="1" x14ac:dyDescent="0.25">
      <c r="A23" s="2301" t="s">
        <v>629</v>
      </c>
      <c r="B23" s="2302"/>
      <c r="C23" s="1656"/>
      <c r="D23" s="1656"/>
      <c r="E23" s="1656"/>
      <c r="F23" s="1732">
        <f>SUM(C23+D23)-E23</f>
        <v>0</v>
      </c>
      <c r="G23" s="473"/>
    </row>
    <row r="24" spans="1:11" ht="15.75" customHeight="1" thickTop="1" x14ac:dyDescent="0.2">
      <c r="A24" s="2299" t="s">
        <v>2009</v>
      </c>
      <c r="B24" s="2300"/>
      <c r="C24" s="2292"/>
      <c r="D24" s="2293"/>
      <c r="E24" s="2293"/>
      <c r="F24" s="2294"/>
    </row>
    <row r="25" spans="1:11" ht="13.5" thickBot="1" x14ac:dyDescent="0.25">
      <c r="A25" s="2301" t="s">
        <v>2010</v>
      </c>
      <c r="B25" s="2302"/>
      <c r="C25" s="1656"/>
      <c r="D25" s="1656"/>
      <c r="E25" s="1656"/>
      <c r="F25" s="1732">
        <f>SUM(C25+D25)-E25</f>
        <v>0</v>
      </c>
      <c r="G25" s="473"/>
    </row>
    <row r="26" spans="1:11" ht="15.75" customHeight="1" thickTop="1" x14ac:dyDescent="0.2">
      <c r="A26" s="2313" t="s">
        <v>652</v>
      </c>
      <c r="B26" s="2300"/>
      <c r="C26" s="589"/>
      <c r="D26" s="589"/>
      <c r="E26" s="589"/>
      <c r="F26" s="590"/>
    </row>
    <row r="27" spans="1:11" ht="13.5" thickBot="1" x14ac:dyDescent="0.25">
      <c r="A27" s="2297" t="s">
        <v>1063</v>
      </c>
      <c r="B27" s="2298"/>
      <c r="C27" s="1664"/>
      <c r="D27" s="1664"/>
      <c r="E27" s="1664"/>
      <c r="F27" s="1732">
        <f>SUM(C27+D27)-E27</f>
        <v>0</v>
      </c>
      <c r="G27" s="473"/>
    </row>
    <row r="28" spans="1:11" ht="7.5" customHeight="1" thickTop="1" x14ac:dyDescent="0.2">
      <c r="A28" s="489"/>
    </row>
    <row r="29" spans="1:11" ht="23.25" customHeight="1" x14ac:dyDescent="0.2">
      <c r="A29" s="2303" t="s">
        <v>578</v>
      </c>
      <c r="B29" s="2304"/>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1920" t="s">
        <v>2036</v>
      </c>
      <c r="B31" s="1921"/>
      <c r="C31" s="1922">
        <v>300000</v>
      </c>
      <c r="D31" s="1923">
        <v>2</v>
      </c>
      <c r="E31" s="1734">
        <v>21000</v>
      </c>
      <c r="F31" s="1734"/>
      <c r="G31" s="1734"/>
      <c r="H31" s="1734">
        <v>21000</v>
      </c>
      <c r="I31" s="1736">
        <f>((E31+F31)-H31)+G31</f>
        <v>0</v>
      </c>
      <c r="J31" s="1734"/>
      <c r="K31" s="596"/>
    </row>
    <row r="32" spans="1:11" ht="12" customHeight="1" x14ac:dyDescent="0.2">
      <c r="A32" s="1920" t="s">
        <v>2037</v>
      </c>
      <c r="B32" s="1921"/>
      <c r="C32" s="1924">
        <v>307000</v>
      </c>
      <c r="D32" s="1925">
        <v>2</v>
      </c>
      <c r="E32" s="1734">
        <v>74000</v>
      </c>
      <c r="F32" s="1734"/>
      <c r="G32" s="1734"/>
      <c r="H32" s="1734">
        <v>74000</v>
      </c>
      <c r="I32" s="1736">
        <f>((E32+F32)-H32)+G32</f>
        <v>0</v>
      </c>
      <c r="J32" s="1734"/>
      <c r="K32" s="596"/>
    </row>
    <row r="33" spans="1:11" ht="12" customHeight="1" x14ac:dyDescent="0.2">
      <c r="A33" s="1920" t="s">
        <v>2038</v>
      </c>
      <c r="B33" s="1921">
        <v>42186</v>
      </c>
      <c r="C33" s="1924">
        <v>57500</v>
      </c>
      <c r="D33" s="1925">
        <v>7</v>
      </c>
      <c r="E33" s="1734">
        <v>25523</v>
      </c>
      <c r="F33" s="1734"/>
      <c r="G33" s="1734">
        <v>-8242</v>
      </c>
      <c r="H33" s="1734"/>
      <c r="I33" s="1736">
        <f t="shared" ref="I33:I48" si="1">((E33+F33)-H33)+G33</f>
        <v>17281</v>
      </c>
      <c r="J33" s="1734">
        <v>17227</v>
      </c>
      <c r="K33" s="596"/>
    </row>
    <row r="34" spans="1:11" ht="12" customHeight="1" x14ac:dyDescent="0.2">
      <c r="A34" s="594" t="s">
        <v>2039</v>
      </c>
      <c r="B34" s="595">
        <v>43538</v>
      </c>
      <c r="C34" s="1926">
        <v>417000</v>
      </c>
      <c r="D34" s="1927">
        <v>1</v>
      </c>
      <c r="E34" s="1734">
        <v>417000</v>
      </c>
      <c r="F34" s="1734"/>
      <c r="G34" s="1734"/>
      <c r="H34" s="1734">
        <v>58000</v>
      </c>
      <c r="I34" s="1736">
        <f t="shared" si="1"/>
        <v>359000</v>
      </c>
      <c r="J34" s="1734">
        <v>255752</v>
      </c>
      <c r="K34" s="597"/>
    </row>
    <row r="35" spans="1:11" ht="12" customHeight="1" x14ac:dyDescent="0.2">
      <c r="A35" s="594" t="s">
        <v>2040</v>
      </c>
      <c r="B35" s="595">
        <v>43538</v>
      </c>
      <c r="C35" s="1928">
        <v>292000</v>
      </c>
      <c r="D35" s="1927">
        <v>1</v>
      </c>
      <c r="E35" s="1737">
        <v>292000</v>
      </c>
      <c r="F35" s="1737"/>
      <c r="G35" s="1737"/>
      <c r="H35" s="1737"/>
      <c r="I35" s="1736">
        <f t="shared" si="1"/>
        <v>292000</v>
      </c>
      <c r="J35" s="1737">
        <v>208075</v>
      </c>
      <c r="K35" s="597"/>
    </row>
    <row r="36" spans="1:11" ht="12" customHeight="1" x14ac:dyDescent="0.2">
      <c r="A36" s="594"/>
      <c r="B36" s="595"/>
      <c r="C36" s="1734"/>
      <c r="D36" s="1735"/>
      <c r="E36" s="1734">
        <v>0</v>
      </c>
      <c r="F36" s="1734"/>
      <c r="G36" s="1734"/>
      <c r="H36" s="1734"/>
      <c r="I36" s="1736">
        <f t="shared" si="1"/>
        <v>0</v>
      </c>
      <c r="J36" s="1734"/>
      <c r="K36" s="598"/>
    </row>
    <row r="37" spans="1:11" ht="12" customHeight="1" x14ac:dyDescent="0.2">
      <c r="A37" s="594"/>
      <c r="B37" s="595"/>
      <c r="C37" s="1574"/>
      <c r="D37" s="1738"/>
      <c r="E37" s="1574">
        <v>0</v>
      </c>
      <c r="F37" s="1574"/>
      <c r="G37" s="1574"/>
      <c r="H37" s="1574"/>
      <c r="I37" s="1736">
        <f t="shared" si="1"/>
        <v>0</v>
      </c>
      <c r="J37" s="1574"/>
      <c r="K37" s="597"/>
    </row>
    <row r="38" spans="1:11" ht="12" customHeight="1" x14ac:dyDescent="0.2">
      <c r="A38" s="594"/>
      <c r="B38" s="595"/>
      <c r="C38" s="1734"/>
      <c r="D38" s="1739"/>
      <c r="E38" s="1740">
        <v>0</v>
      </c>
      <c r="F38" s="1740"/>
      <c r="G38" s="1740"/>
      <c r="H38" s="1740"/>
      <c r="I38" s="1736">
        <f t="shared" si="1"/>
        <v>0</v>
      </c>
      <c r="J38" s="1741" t="s">
        <v>262</v>
      </c>
      <c r="K38" s="599"/>
    </row>
    <row r="39" spans="1:11" ht="12" customHeight="1" x14ac:dyDescent="0.2">
      <c r="A39" s="594"/>
      <c r="B39" s="595"/>
      <c r="C39" s="1734"/>
      <c r="D39" s="1739"/>
      <c r="E39" s="1740">
        <v>0</v>
      </c>
      <c r="F39" s="1740"/>
      <c r="G39" s="1740"/>
      <c r="H39" s="1740"/>
      <c r="I39" s="1736">
        <f t="shared" si="1"/>
        <v>0</v>
      </c>
      <c r="J39" s="1741"/>
      <c r="K39" s="599"/>
    </row>
    <row r="40" spans="1:11" ht="12" customHeight="1" x14ac:dyDescent="0.2">
      <c r="A40" s="594"/>
      <c r="B40" s="595"/>
      <c r="C40" s="1734"/>
      <c r="D40" s="1739"/>
      <c r="E40" s="1740">
        <v>0</v>
      </c>
      <c r="F40" s="1740"/>
      <c r="G40" s="1740"/>
      <c r="H40" s="1740"/>
      <c r="I40" s="1736">
        <f t="shared" si="1"/>
        <v>0</v>
      </c>
      <c r="J40" s="1741"/>
      <c r="K40" s="599"/>
    </row>
    <row r="41" spans="1:11" ht="12" customHeight="1" x14ac:dyDescent="0.2">
      <c r="A41" s="594"/>
      <c r="B41" s="595"/>
      <c r="C41" s="1734"/>
      <c r="D41" s="1739"/>
      <c r="E41" s="1740">
        <v>0</v>
      </c>
      <c r="F41" s="1740"/>
      <c r="G41" s="1740"/>
      <c r="H41" s="1740"/>
      <c r="I41" s="1736">
        <f t="shared" si="1"/>
        <v>0</v>
      </c>
      <c r="J41" s="1741"/>
      <c r="K41" s="599"/>
    </row>
    <row r="42" spans="1:11" ht="12" customHeight="1" x14ac:dyDescent="0.2">
      <c r="A42" s="594"/>
      <c r="B42" s="595"/>
      <c r="C42" s="1734"/>
      <c r="D42" s="1739"/>
      <c r="E42" s="1740">
        <v>0</v>
      </c>
      <c r="F42" s="1740"/>
      <c r="G42" s="1740"/>
      <c r="H42" s="1740"/>
      <c r="I42" s="1736">
        <f t="shared" si="1"/>
        <v>0</v>
      </c>
      <c r="J42" s="1741"/>
      <c r="K42" s="599"/>
    </row>
    <row r="43" spans="1:11" ht="12" customHeight="1" x14ac:dyDescent="0.2">
      <c r="A43" s="594"/>
      <c r="B43" s="595"/>
      <c r="C43" s="1734"/>
      <c r="D43" s="1739"/>
      <c r="E43" s="1740">
        <v>0</v>
      </c>
      <c r="F43" s="1740"/>
      <c r="G43" s="1740"/>
      <c r="H43" s="1740"/>
      <c r="I43" s="1736">
        <f t="shared" si="1"/>
        <v>0</v>
      </c>
      <c r="J43" s="1741"/>
      <c r="K43" s="599"/>
    </row>
    <row r="44" spans="1:11" ht="12" customHeight="1" x14ac:dyDescent="0.2">
      <c r="A44" s="594"/>
      <c r="B44" s="595"/>
      <c r="C44" s="1734"/>
      <c r="D44" s="1735"/>
      <c r="E44" s="1734">
        <v>0</v>
      </c>
      <c r="F44" s="1734"/>
      <c r="G44" s="1734"/>
      <c r="H44" s="1734"/>
      <c r="I44" s="1736">
        <f t="shared" si="1"/>
        <v>0</v>
      </c>
      <c r="J44" s="1734"/>
      <c r="K44" s="597"/>
    </row>
    <row r="45" spans="1:11" ht="12" customHeight="1" x14ac:dyDescent="0.2">
      <c r="A45" s="594"/>
      <c r="B45" s="595"/>
      <c r="C45" s="1734"/>
      <c r="D45" s="1735"/>
      <c r="E45" s="1734">
        <v>0</v>
      </c>
      <c r="F45" s="1734"/>
      <c r="G45" s="1734"/>
      <c r="H45" s="1734"/>
      <c r="I45" s="1736">
        <f t="shared" si="1"/>
        <v>0</v>
      </c>
      <c r="J45" s="1734"/>
      <c r="K45" s="597"/>
    </row>
    <row r="46" spans="1:11" ht="12" customHeight="1" x14ac:dyDescent="0.2">
      <c r="A46" s="594"/>
      <c r="B46" s="595"/>
      <c r="C46" s="1734"/>
      <c r="D46" s="1735"/>
      <c r="E46" s="1734">
        <v>0</v>
      </c>
      <c r="F46" s="1734"/>
      <c r="G46" s="1734"/>
      <c r="H46" s="1734"/>
      <c r="I46" s="1736">
        <f t="shared" si="1"/>
        <v>0</v>
      </c>
      <c r="J46" s="1734"/>
      <c r="K46" s="597"/>
    </row>
    <row r="47" spans="1:11" ht="12" customHeight="1" x14ac:dyDescent="0.2">
      <c r="A47" s="594"/>
      <c r="B47" s="595"/>
      <c r="C47" s="1737"/>
      <c r="D47" s="1735"/>
      <c r="E47" s="1737">
        <v>0</v>
      </c>
      <c r="F47" s="1737"/>
      <c r="G47" s="1737"/>
      <c r="H47" s="1737"/>
      <c r="I47" s="1736">
        <f t="shared" si="1"/>
        <v>0</v>
      </c>
      <c r="J47" s="1737"/>
      <c r="K47" s="597"/>
    </row>
    <row r="48" spans="1:11" ht="12" customHeight="1" x14ac:dyDescent="0.2">
      <c r="A48" s="594"/>
      <c r="B48" s="595"/>
      <c r="C48" s="1734"/>
      <c r="D48" s="1735"/>
      <c r="E48" s="1734">
        <v>0</v>
      </c>
      <c r="F48" s="1734"/>
      <c r="G48" s="1734"/>
      <c r="H48" s="1734"/>
      <c r="I48" s="1736">
        <f t="shared" si="1"/>
        <v>0</v>
      </c>
      <c r="J48" s="1734"/>
      <c r="K48" s="597"/>
    </row>
    <row r="49" spans="1:11" ht="12" customHeight="1" x14ac:dyDescent="0.2">
      <c r="A49" s="594"/>
      <c r="B49" s="595"/>
      <c r="C49" s="1736">
        <f>SUM(C31:C48)</f>
        <v>1373500</v>
      </c>
      <c r="D49" s="1742"/>
      <c r="E49" s="1736">
        <f t="shared" ref="E49:J49" si="2">SUM(E31:E48)</f>
        <v>829523</v>
      </c>
      <c r="F49" s="1736">
        <f t="shared" si="2"/>
        <v>0</v>
      </c>
      <c r="G49" s="1736">
        <f t="shared" si="2"/>
        <v>-8242</v>
      </c>
      <c r="H49" s="1736">
        <f t="shared" si="2"/>
        <v>153000</v>
      </c>
      <c r="I49" s="1736">
        <f t="shared" si="2"/>
        <v>668281</v>
      </c>
      <c r="J49" s="1736">
        <f t="shared" si="2"/>
        <v>481054</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7" t="s">
        <v>580</v>
      </c>
      <c r="C52" s="2308"/>
      <c r="D52" s="2308"/>
      <c r="E52" s="603" t="s">
        <v>840</v>
      </c>
      <c r="F52" s="2309" t="s">
        <v>2086</v>
      </c>
      <c r="G52" s="2310"/>
      <c r="H52" s="596"/>
      <c r="I52" s="596"/>
      <c r="J52" s="600"/>
    </row>
    <row r="53" spans="1:11" ht="11.25" customHeight="1" x14ac:dyDescent="0.2">
      <c r="A53" s="604" t="s">
        <v>907</v>
      </c>
      <c r="B53" s="605" t="s">
        <v>945</v>
      </c>
      <c r="C53" s="600"/>
      <c r="D53" s="597"/>
      <c r="E53" s="603" t="s">
        <v>494</v>
      </c>
      <c r="F53" s="2311"/>
      <c r="G53" s="2312"/>
      <c r="H53" s="596"/>
      <c r="I53" s="596"/>
      <c r="J53" s="600"/>
    </row>
    <row r="54" spans="1:11" ht="11.25" customHeight="1" x14ac:dyDescent="0.2">
      <c r="A54" s="606" t="s">
        <v>908</v>
      </c>
      <c r="B54" s="601" t="s">
        <v>946</v>
      </c>
      <c r="C54" s="600"/>
      <c r="D54" s="597"/>
      <c r="E54" s="603" t="s">
        <v>495</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colorId="8" zoomScale="110" zoomScaleNormal="110" workbookViewId="0">
      <selection activeCell="J26" sqref="J26"/>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8"/>
      <c r="I1" s="614"/>
      <c r="J1" s="400"/>
    </row>
    <row r="2" spans="1:11" ht="26.25" x14ac:dyDescent="0.2">
      <c r="A2" s="2341" t="s">
        <v>1661</v>
      </c>
      <c r="B2" s="2342"/>
      <c r="C2" s="2342"/>
      <c r="D2" s="2342"/>
      <c r="E2" s="2343"/>
      <c r="F2" s="615" t="s">
        <v>898</v>
      </c>
      <c r="G2" s="616" t="s">
        <v>1658</v>
      </c>
      <c r="H2" s="616" t="s">
        <v>407</v>
      </c>
      <c r="I2" s="616" t="s">
        <v>1150</v>
      </c>
      <c r="J2" s="616" t="s">
        <v>1792</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v>72957</v>
      </c>
      <c r="K3" s="1745"/>
    </row>
    <row r="4" spans="1:11" x14ac:dyDescent="0.2">
      <c r="A4" s="2347" t="s">
        <v>366</v>
      </c>
      <c r="B4" s="2348"/>
      <c r="C4" s="2348"/>
      <c r="D4" s="2348"/>
      <c r="E4" s="2308"/>
      <c r="F4" s="620"/>
      <c r="G4" s="1746"/>
      <c r="H4" s="1747"/>
      <c r="I4" s="1746"/>
      <c r="J4" s="1748"/>
      <c r="K4" s="1748"/>
    </row>
    <row r="5" spans="1:11" x14ac:dyDescent="0.2">
      <c r="A5" s="2331" t="s">
        <v>1062</v>
      </c>
      <c r="B5" s="2321"/>
      <c r="C5" s="2321"/>
      <c r="D5" s="2321"/>
      <c r="E5" s="2332"/>
      <c r="F5" s="622" t="s">
        <v>843</v>
      </c>
      <c r="G5" s="1749"/>
      <c r="H5" s="1744">
        <v>32579</v>
      </c>
      <c r="I5" s="1750"/>
      <c r="J5" s="1751"/>
      <c r="K5" s="1751"/>
    </row>
    <row r="6" spans="1:11" x14ac:dyDescent="0.2">
      <c r="A6" s="625" t="s">
        <v>715</v>
      </c>
      <c r="B6" s="626"/>
      <c r="C6" s="626"/>
      <c r="D6" s="626"/>
      <c r="E6" s="627"/>
      <c r="F6" s="628" t="s">
        <v>844</v>
      </c>
      <c r="G6" s="1744"/>
      <c r="H6" s="1744">
        <v>12</v>
      </c>
      <c r="I6" s="1744"/>
      <c r="J6" s="1745"/>
      <c r="K6" s="1745"/>
    </row>
    <row r="7" spans="1:11" x14ac:dyDescent="0.2">
      <c r="A7" s="629" t="s">
        <v>244</v>
      </c>
      <c r="B7" s="630"/>
      <c r="C7" s="630"/>
      <c r="D7" s="630"/>
      <c r="E7" s="631"/>
      <c r="F7" s="622" t="s">
        <v>845</v>
      </c>
      <c r="G7" s="1746"/>
      <c r="H7" s="1746"/>
      <c r="I7" s="1746"/>
      <c r="J7" s="1752"/>
      <c r="K7" s="1745">
        <v>3450</v>
      </c>
    </row>
    <row r="8" spans="1:11" x14ac:dyDescent="0.2">
      <c r="A8" s="629" t="s">
        <v>342</v>
      </c>
      <c r="B8" s="630"/>
      <c r="C8" s="630"/>
      <c r="D8" s="630"/>
      <c r="E8" s="631"/>
      <c r="F8" s="622" t="s">
        <v>846</v>
      </c>
      <c r="G8" s="1753"/>
      <c r="H8" s="1753"/>
      <c r="I8" s="1753"/>
      <c r="J8" s="1745">
        <v>179462</v>
      </c>
      <c r="K8" s="1748"/>
    </row>
    <row r="9" spans="1:11" x14ac:dyDescent="0.2">
      <c r="A9" s="629" t="s">
        <v>137</v>
      </c>
      <c r="B9" s="630"/>
      <c r="C9" s="630"/>
      <c r="D9" s="630"/>
      <c r="E9" s="631"/>
      <c r="F9" s="628" t="s">
        <v>848</v>
      </c>
      <c r="G9" s="1753"/>
      <c r="H9" s="1749"/>
      <c r="I9" s="1749"/>
      <c r="J9" s="1752"/>
      <c r="K9" s="1745">
        <v>3378</v>
      </c>
    </row>
    <row r="10" spans="1:11" x14ac:dyDescent="0.2">
      <c r="A10" s="2331" t="s">
        <v>1793</v>
      </c>
      <c r="B10" s="2321"/>
      <c r="C10" s="2321"/>
      <c r="D10" s="2321"/>
      <c r="E10" s="2333"/>
      <c r="F10" s="633" t="s">
        <v>857</v>
      </c>
      <c r="G10" s="1753"/>
      <c r="H10" s="1754"/>
      <c r="I10" s="1744"/>
      <c r="J10" s="1745"/>
      <c r="K10" s="1745"/>
    </row>
    <row r="11" spans="1:11" x14ac:dyDescent="0.2">
      <c r="A11" s="2331" t="s">
        <v>159</v>
      </c>
      <c r="B11" s="2321"/>
      <c r="C11" s="2321"/>
      <c r="D11" s="2321"/>
      <c r="E11" s="2332"/>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32591</v>
      </c>
      <c r="I12" s="1755">
        <f>SUM(I5:I11)</f>
        <v>0</v>
      </c>
      <c r="J12" s="1755">
        <f>SUM(J5:J11)</f>
        <v>179462</v>
      </c>
      <c r="K12" s="1755">
        <f>SUM(K5:K11)</f>
        <v>6828</v>
      </c>
    </row>
    <row r="13" spans="1:11" ht="13.5" thickTop="1" x14ac:dyDescent="0.2">
      <c r="A13" s="2349" t="s">
        <v>367</v>
      </c>
      <c r="B13" s="2350"/>
      <c r="C13" s="2350"/>
      <c r="D13" s="2350"/>
      <c r="E13" s="2351"/>
      <c r="F13" s="634"/>
      <c r="G13" s="1756"/>
      <c r="H13" s="1757"/>
      <c r="I13" s="1758"/>
      <c r="J13" s="1758"/>
      <c r="K13" s="1758"/>
    </row>
    <row r="14" spans="1:11" x14ac:dyDescent="0.2">
      <c r="A14" s="2337" t="s">
        <v>453</v>
      </c>
      <c r="B14" s="2337"/>
      <c r="C14" s="2337"/>
      <c r="D14" s="2337"/>
      <c r="E14" s="2338"/>
      <c r="F14" s="635" t="s">
        <v>849</v>
      </c>
      <c r="G14" s="1753"/>
      <c r="H14" s="1744">
        <v>32591</v>
      </c>
      <c r="I14" s="1749"/>
      <c r="J14" s="1751"/>
      <c r="K14" s="1745">
        <v>6828</v>
      </c>
    </row>
    <row r="15" spans="1:11" x14ac:dyDescent="0.2">
      <c r="A15" s="2321" t="s">
        <v>4</v>
      </c>
      <c r="B15" s="2321"/>
      <c r="C15" s="2321"/>
      <c r="D15" s="2321"/>
      <c r="E15" s="2332"/>
      <c r="F15" s="635" t="s">
        <v>850</v>
      </c>
      <c r="G15" s="1749"/>
      <c r="H15" s="1744"/>
      <c r="I15" s="1744"/>
      <c r="J15" s="1745">
        <v>77710</v>
      </c>
      <c r="K15" s="1745"/>
    </row>
    <row r="16" spans="1:11" x14ac:dyDescent="0.2">
      <c r="A16" s="2321" t="s">
        <v>295</v>
      </c>
      <c r="B16" s="2321"/>
      <c r="C16" s="2321"/>
      <c r="D16" s="2321"/>
      <c r="E16" s="2332"/>
      <c r="F16" s="635" t="s">
        <v>917</v>
      </c>
      <c r="G16" s="1750"/>
      <c r="H16" s="1746"/>
      <c r="I16" s="1746"/>
      <c r="J16" s="1748"/>
      <c r="K16" s="1748"/>
    </row>
    <row r="17" spans="1:15" x14ac:dyDescent="0.2">
      <c r="A17" s="2326" t="s">
        <v>929</v>
      </c>
      <c r="B17" s="2326"/>
      <c r="C17" s="2326"/>
      <c r="D17" s="2326"/>
      <c r="E17" s="2327"/>
      <c r="F17" s="636"/>
      <c r="G17" s="1759"/>
      <c r="H17" s="1760"/>
      <c r="I17" s="1760"/>
      <c r="J17" s="1761"/>
      <c r="K17" s="1762"/>
    </row>
    <row r="18" spans="1:15" x14ac:dyDescent="0.2">
      <c r="A18" s="2323" t="s">
        <v>365</v>
      </c>
      <c r="B18" s="2324"/>
      <c r="C18" s="2324"/>
      <c r="D18" s="2324"/>
      <c r="E18" s="2325"/>
      <c r="F18" s="635" t="s">
        <v>926</v>
      </c>
      <c r="G18" s="1753"/>
      <c r="H18" s="1753"/>
      <c r="I18" s="1753"/>
      <c r="J18" s="1745"/>
      <c r="K18" s="1763"/>
    </row>
    <row r="19" spans="1:15" ht="21.75" customHeight="1" x14ac:dyDescent="0.2">
      <c r="A19" s="2321" t="s">
        <v>1789</v>
      </c>
      <c r="B19" s="2321"/>
      <c r="C19" s="2321"/>
      <c r="D19" s="2321"/>
      <c r="E19" s="2322"/>
      <c r="F19" s="635" t="s">
        <v>927</v>
      </c>
      <c r="G19" s="1753"/>
      <c r="H19" s="1753"/>
      <c r="I19" s="1753"/>
      <c r="J19" s="1745"/>
      <c r="K19" s="1763"/>
    </row>
    <row r="20" spans="1:15" x14ac:dyDescent="0.2">
      <c r="A20" s="2323" t="s">
        <v>1794</v>
      </c>
      <c r="B20" s="2324"/>
      <c r="C20" s="2324"/>
      <c r="D20" s="2324"/>
      <c r="E20" s="2325"/>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1" t="s">
        <v>1795</v>
      </c>
      <c r="B22" s="2321"/>
      <c r="C22" s="2321"/>
      <c r="D22" s="2321"/>
      <c r="E22" s="2332"/>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32591</v>
      </c>
      <c r="I23" s="1755">
        <f>SUM(I14:I16,I21,I22)</f>
        <v>0</v>
      </c>
      <c r="J23" s="1755">
        <f>SUM(J14:J16,J21,J22)</f>
        <v>77710</v>
      </c>
      <c r="K23" s="1755">
        <f>SUM(K14:K16,K21,K22)</f>
        <v>6828</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174709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174709</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1161</v>
      </c>
      <c r="B33" s="341"/>
      <c r="C33" s="341"/>
      <c r="D33" s="341"/>
      <c r="E33" s="341"/>
      <c r="F33" s="341"/>
      <c r="G33" s="653"/>
      <c r="H33" s="2336"/>
      <c r="I33" s="2335"/>
      <c r="J33" s="2335"/>
      <c r="K33" s="233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sheet="1" objects="1" scenarios="1"/>
  <mergeCells count="22">
    <mergeCell ref="A13:E13"/>
    <mergeCell ref="A18:E18"/>
    <mergeCell ref="A12:E12"/>
    <mergeCell ref="A21:E21"/>
    <mergeCell ref="A23:E23"/>
    <mergeCell ref="A24:E24"/>
    <mergeCell ref="H31:K33"/>
    <mergeCell ref="A14:E14"/>
    <mergeCell ref="A15:E15"/>
    <mergeCell ref="A16:E16"/>
    <mergeCell ref="A22:E22"/>
    <mergeCell ref="A41:F41"/>
    <mergeCell ref="A19:E19"/>
    <mergeCell ref="A20:E20"/>
    <mergeCell ref="A17:E17"/>
    <mergeCell ref="A1:G1"/>
    <mergeCell ref="A5:E5"/>
    <mergeCell ref="A11:E11"/>
    <mergeCell ref="A10:E10"/>
    <mergeCell ref="A2:E2"/>
    <mergeCell ref="A3:E3"/>
    <mergeCell ref="A4:E4"/>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1878</v>
      </c>
      <c r="B1" s="2362"/>
      <c r="C1" s="2363"/>
      <c r="D1" s="666"/>
      <c r="E1" s="667"/>
      <c r="F1" s="667"/>
      <c r="G1" s="668"/>
      <c r="H1" s="669"/>
      <c r="I1" s="670"/>
      <c r="J1" s="2359"/>
      <c r="K1" s="2360"/>
      <c r="L1" s="2360"/>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32340</v>
      </c>
      <c r="D5" s="1770"/>
      <c r="E5" s="1770"/>
      <c r="F5" s="1765">
        <f>(C5+D5)-E5</f>
        <v>32340</v>
      </c>
      <c r="G5" s="676"/>
      <c r="H5" s="680"/>
      <c r="I5" s="680"/>
      <c r="J5" s="680"/>
      <c r="K5" s="637"/>
      <c r="L5" s="1442">
        <f>F5-K5</f>
        <v>32340</v>
      </c>
    </row>
    <row r="6" spans="1:14" ht="14.25" thickTop="1" thickBot="1" x14ac:dyDescent="0.25">
      <c r="A6" s="629" t="s">
        <v>1109</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2958930</v>
      </c>
      <c r="D8" s="1771">
        <v>69518</v>
      </c>
      <c r="E8" s="1771"/>
      <c r="F8" s="1765">
        <f>(C8+D8)-E8</f>
        <v>3028448</v>
      </c>
      <c r="G8" s="681">
        <v>50</v>
      </c>
      <c r="H8" s="619">
        <v>2010823</v>
      </c>
      <c r="I8" s="619">
        <v>60569</v>
      </c>
      <c r="J8" s="619"/>
      <c r="K8" s="1442">
        <f>(H8+I8)-J8</f>
        <v>2071392</v>
      </c>
      <c r="L8" s="1442">
        <f>F8-K8</f>
        <v>957056</v>
      </c>
    </row>
    <row r="9" spans="1:14" ht="14.25" thickTop="1" thickBot="1" x14ac:dyDescent="0.25">
      <c r="A9" s="629" t="s">
        <v>1111</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1112</v>
      </c>
      <c r="B10" s="679">
        <v>240</v>
      </c>
      <c r="C10" s="1772">
        <v>302906</v>
      </c>
      <c r="D10" s="1772"/>
      <c r="E10" s="1772"/>
      <c r="F10" s="1773">
        <f>(C10+D10)-E10</f>
        <v>302906</v>
      </c>
      <c r="G10" s="681">
        <v>20</v>
      </c>
      <c r="H10" s="683">
        <v>196129</v>
      </c>
      <c r="I10" s="683">
        <v>7486</v>
      </c>
      <c r="J10" s="683"/>
      <c r="K10" s="1442">
        <f>(H10+I10)-J10</f>
        <v>203615</v>
      </c>
      <c r="L10" s="1442">
        <f>F10-K10</f>
        <v>99291</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1658966</v>
      </c>
      <c r="D12" s="1771">
        <v>21370</v>
      </c>
      <c r="E12" s="1771"/>
      <c r="F12" s="1765">
        <f>(C12+D12)-E12</f>
        <v>1680336</v>
      </c>
      <c r="G12" s="681">
        <v>10</v>
      </c>
      <c r="H12" s="619">
        <v>1491967</v>
      </c>
      <c r="I12" s="619">
        <v>35838</v>
      </c>
      <c r="J12" s="619"/>
      <c r="K12" s="1442">
        <f>(H12+I12)-J12</f>
        <v>1527805</v>
      </c>
      <c r="L12" s="1442">
        <f>F12-K12</f>
        <v>152531</v>
      </c>
    </row>
    <row r="13" spans="1:14" ht="14.25" thickTop="1" thickBot="1" x14ac:dyDescent="0.25">
      <c r="A13" s="684" t="s">
        <v>1114</v>
      </c>
      <c r="B13" s="679">
        <v>252</v>
      </c>
      <c r="C13" s="1771">
        <v>815780</v>
      </c>
      <c r="D13" s="1771"/>
      <c r="E13" s="1771"/>
      <c r="F13" s="1765">
        <f>(C13+D13)-E13</f>
        <v>815780</v>
      </c>
      <c r="G13" s="681">
        <v>5</v>
      </c>
      <c r="H13" s="619">
        <v>731084</v>
      </c>
      <c r="I13" s="619">
        <f>2042+23401</f>
        <v>25443</v>
      </c>
      <c r="J13" s="619"/>
      <c r="K13" s="1442">
        <f>(H13+I13)-J13</f>
        <v>756527</v>
      </c>
      <c r="L13" s="1442">
        <f>F13-K13</f>
        <v>59253</v>
      </c>
    </row>
    <row r="14" spans="1:14" ht="14.25" thickTop="1" thickBot="1" x14ac:dyDescent="0.25">
      <c r="A14" s="684" t="s">
        <v>1115</v>
      </c>
      <c r="B14" s="679">
        <v>253</v>
      </c>
      <c r="C14" s="1745">
        <v>0</v>
      </c>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v>0</v>
      </c>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5768922</v>
      </c>
      <c r="D16" s="1765">
        <f>SUM(D3,D5:D6,D8:D10,D12:D15)</f>
        <v>90888</v>
      </c>
      <c r="E16" s="1765">
        <f>SUM(E3,E5:E6,E8:E10,E12:E15)</f>
        <v>0</v>
      </c>
      <c r="F16" s="1765">
        <f>SUM(F3,F5:F6,F8:F10,F12:F15)</f>
        <v>5859810</v>
      </c>
      <c r="G16" s="681"/>
      <c r="H16" s="1435">
        <f>SUM(H3,H6,H8:H10,H12:H14,)</f>
        <v>4430003</v>
      </c>
      <c r="I16" s="1435">
        <f>SUM(I3,I6,I8:I10,I12:I14,)</f>
        <v>129336</v>
      </c>
      <c r="J16" s="1435">
        <f>SUM(J3,J6,J8:J10,J12:J14,)</f>
        <v>0</v>
      </c>
      <c r="K16" s="1435">
        <f>(H16+I16)-J16</f>
        <v>4559339</v>
      </c>
      <c r="L16" s="1435">
        <f>F16-K16</f>
        <v>1300471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20196</v>
      </c>
      <c r="G17" s="676">
        <v>10</v>
      </c>
      <c r="H17" s="621"/>
      <c r="I17" s="1442">
        <f>F17/G17</f>
        <v>2019.6</v>
      </c>
      <c r="J17" s="621"/>
      <c r="K17" s="638"/>
      <c r="L17" s="638"/>
    </row>
    <row r="18" spans="1:12" ht="14.25" thickTop="1" thickBot="1" x14ac:dyDescent="0.25">
      <c r="A18" s="1440" t="s">
        <v>680</v>
      </c>
      <c r="B18" s="1441"/>
      <c r="C18" s="623"/>
      <c r="D18" s="623"/>
      <c r="E18" s="623"/>
      <c r="F18" s="686"/>
      <c r="G18" s="687"/>
      <c r="H18" s="624"/>
      <c r="I18" s="1435">
        <f>SUM(I16,I17)</f>
        <v>131355.6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167" activePane="bottomLeft" state="frozen"/>
      <selection activeCell="A47" sqref="A4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3764322</v>
      </c>
      <c r="G8" s="701"/>
    </row>
    <row r="9" spans="1:9" x14ac:dyDescent="0.2">
      <c r="A9" s="705" t="s">
        <v>457</v>
      </c>
      <c r="B9" s="706" t="s">
        <v>1851</v>
      </c>
      <c r="C9" s="707"/>
      <c r="D9" s="705" t="s">
        <v>498</v>
      </c>
      <c r="E9" s="704"/>
      <c r="F9" s="1775">
        <f>'Expenditures 15-22'!K151</f>
        <v>327020</v>
      </c>
      <c r="G9" s="708"/>
    </row>
    <row r="10" spans="1:9" x14ac:dyDescent="0.2">
      <c r="A10" s="705" t="s">
        <v>496</v>
      </c>
      <c r="B10" s="706" t="s">
        <v>1852</v>
      </c>
      <c r="C10" s="707"/>
      <c r="D10" s="705" t="s">
        <v>498</v>
      </c>
      <c r="E10" s="704"/>
      <c r="F10" s="1775">
        <f>'Expenditures 15-22'!K174</f>
        <v>183200</v>
      </c>
      <c r="G10" s="708"/>
    </row>
    <row r="11" spans="1:9" x14ac:dyDescent="0.2">
      <c r="A11" s="705" t="s">
        <v>458</v>
      </c>
      <c r="B11" s="706" t="s">
        <v>1853</v>
      </c>
      <c r="C11" s="707"/>
      <c r="D11" s="705" t="s">
        <v>498</v>
      </c>
      <c r="E11" s="704"/>
      <c r="F11" s="1775">
        <f>'Expenditures 15-22'!K210</f>
        <v>389009</v>
      </c>
      <c r="G11" s="708"/>
    </row>
    <row r="12" spans="1:9" x14ac:dyDescent="0.2">
      <c r="A12" s="705" t="s">
        <v>459</v>
      </c>
      <c r="B12" s="706" t="s">
        <v>1854</v>
      </c>
      <c r="C12" s="707"/>
      <c r="D12" s="705" t="s">
        <v>498</v>
      </c>
      <c r="E12" s="704"/>
      <c r="F12" s="1775">
        <f>'Expenditures 15-22'!K295</f>
        <v>132010</v>
      </c>
      <c r="G12" s="708"/>
    </row>
    <row r="13" spans="1:9" x14ac:dyDescent="0.2">
      <c r="A13" s="705" t="s">
        <v>106</v>
      </c>
      <c r="B13" s="706" t="s">
        <v>1855</v>
      </c>
      <c r="C13" s="707"/>
      <c r="D13" s="705" t="s">
        <v>498</v>
      </c>
      <c r="E13" s="704"/>
      <c r="F13" s="1775">
        <f>'Expenditures 15-22'!K342</f>
        <v>156174</v>
      </c>
      <c r="G13" s="709"/>
    </row>
    <row r="14" spans="1:9" ht="12" customHeight="1" thickBot="1" x14ac:dyDescent="0.25">
      <c r="A14" s="1443"/>
      <c r="B14" s="1444"/>
      <c r="C14" s="1445"/>
      <c r="D14" s="1446" t="s">
        <v>498</v>
      </c>
      <c r="E14" s="1447" t="s">
        <v>952</v>
      </c>
      <c r="F14" s="1776">
        <f>SUM(F8:F13)</f>
        <v>4951735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192307</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250926</v>
      </c>
      <c r="G53" s="701"/>
    </row>
    <row r="54" spans="1:7" x14ac:dyDescent="0.2">
      <c r="A54" s="705" t="s">
        <v>456</v>
      </c>
      <c r="B54" s="705" t="s">
        <v>1462</v>
      </c>
      <c r="C54" s="724" t="s">
        <v>975</v>
      </c>
      <c r="D54" s="720" t="s">
        <v>1088</v>
      </c>
      <c r="E54" s="704"/>
      <c r="F54" s="1782">
        <f>'Expenditures 15-22'!G114</f>
        <v>13364</v>
      </c>
      <c r="G54" s="701"/>
    </row>
    <row r="55" spans="1:7" x14ac:dyDescent="0.2">
      <c r="A55" s="705" t="s">
        <v>456</v>
      </c>
      <c r="B55" s="705" t="s">
        <v>1463</v>
      </c>
      <c r="C55" s="724" t="s">
        <v>975</v>
      </c>
      <c r="D55" s="720" t="s">
        <v>288</v>
      </c>
      <c r="E55" s="704"/>
      <c r="F55" s="1782">
        <f>'Expenditures 15-22'!I114</f>
        <v>20196</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7565</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153000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6504</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643862</v>
      </c>
      <c r="G77" s="701"/>
    </row>
    <row r="78" spans="1:9" s="728" customFormat="1" ht="12" customHeight="1" thickTop="1" thickBot="1" x14ac:dyDescent="0.25">
      <c r="A78" s="1450"/>
      <c r="B78" s="1448"/>
      <c r="C78" s="1445"/>
      <c r="D78" s="1449" t="s">
        <v>2015</v>
      </c>
      <c r="E78" s="1447"/>
      <c r="F78" s="1788">
        <f>(F14-F77)</f>
        <v>4307873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322.3</v>
      </c>
      <c r="G79" s="733"/>
      <c r="H79" s="705"/>
      <c r="I79" s="705"/>
    </row>
    <row r="80" spans="1:9" s="728" customFormat="1" ht="12" customHeight="1" thickBot="1" x14ac:dyDescent="0.25">
      <c r="A80" s="1452"/>
      <c r="B80" s="1448"/>
      <c r="C80" s="1445"/>
      <c r="D80" s="1449" t="s">
        <v>2016</v>
      </c>
      <c r="E80" s="1447" t="s">
        <v>952</v>
      </c>
      <c r="F80" s="1790">
        <f>IF(F79&gt;0,F78/F79," Complete Line 79")</f>
        <v>13366.034750232702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38060</v>
      </c>
      <c r="G95" s="745"/>
    </row>
    <row r="96" spans="1:7" x14ac:dyDescent="0.2">
      <c r="A96" s="741" t="s">
        <v>139</v>
      </c>
      <c r="B96" s="741" t="s">
        <v>174</v>
      </c>
      <c r="C96" s="743">
        <v>1700</v>
      </c>
      <c r="D96" s="751" t="str">
        <f>'Revenues 9-14'!A82</f>
        <v>Total District/School Activity Income</v>
      </c>
      <c r="E96" s="739"/>
      <c r="F96" s="1793">
        <f>SUM('Revenues 9-14'!C82,'Revenues 9-14'!D82)</f>
        <v>44265</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22871</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109794</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10413</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14708</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854</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3378</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173268</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3243</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69010</v>
      </c>
      <c r="G126" s="763"/>
    </row>
    <row r="127" spans="1:7" x14ac:dyDescent="0.2">
      <c r="A127" s="760" t="s">
        <v>663</v>
      </c>
      <c r="B127" s="760" t="s">
        <v>1934</v>
      </c>
      <c r="C127" s="765">
        <v>4300</v>
      </c>
      <c r="D127" s="766" t="str">
        <f>'Revenues 9-14'!A204</f>
        <v>Total Title I</v>
      </c>
      <c r="E127" s="739"/>
      <c r="F127" s="1793">
        <f>SUM('Revenues 9-14'!C204,'Revenues 9-14'!D204,'Revenues 9-14'!F204,'Revenues 9-14'!G204)</f>
        <v>56750</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3692</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9000</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13905</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24800</v>
      </c>
      <c r="G171" s="760"/>
    </row>
    <row r="172" spans="1:7" x14ac:dyDescent="0.2">
      <c r="A172" s="1529" t="s">
        <v>5</v>
      </c>
      <c r="B172" s="1530" t="s">
        <v>1888</v>
      </c>
      <c r="C172" s="1531">
        <v>3100</v>
      </c>
      <c r="D172" s="1532" t="s">
        <v>1890</v>
      </c>
      <c r="E172" s="739"/>
      <c r="F172" s="1794">
        <v>146600</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744611</v>
      </c>
    </row>
    <row r="176" spans="1:7" ht="12" customHeight="1" x14ac:dyDescent="0.2">
      <c r="A176" s="1443"/>
      <c r="B176" s="1453"/>
      <c r="C176" s="1454"/>
      <c r="D176" s="1455" t="s">
        <v>2017</v>
      </c>
      <c r="E176" s="1456"/>
      <c r="F176" s="1793">
        <f>'PCTC-OEPP 27-28'!F78-F175</f>
        <v>3563262</v>
      </c>
    </row>
    <row r="177" spans="1:9" ht="12" customHeight="1" x14ac:dyDescent="0.2">
      <c r="A177" s="1443"/>
      <c r="B177" s="1453"/>
      <c r="C177" s="1454"/>
      <c r="D177" s="1455" t="s">
        <v>1797</v>
      </c>
      <c r="E177" s="1456"/>
      <c r="F177" s="1793">
        <f>'Cap Outlay Deprec 26'!I18</f>
        <v>131355.6</v>
      </c>
    </row>
    <row r="178" spans="1:9" ht="12" customHeight="1" x14ac:dyDescent="0.2">
      <c r="A178" s="1443"/>
      <c r="B178" s="1453"/>
      <c r="C178" s="1454"/>
      <c r="D178" s="1455" t="s">
        <v>2018</v>
      </c>
      <c r="E178" s="1456"/>
      <c r="F178" s="1793">
        <f>F176+F177</f>
        <v>3694617.6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322.3</v>
      </c>
      <c r="G179" s="763"/>
      <c r="I179" s="701"/>
    </row>
    <row r="180" spans="1:9" ht="12" customHeight="1" thickBot="1" x14ac:dyDescent="0.25">
      <c r="A180" s="1443"/>
      <c r="B180" s="1457"/>
      <c r="C180" s="1454"/>
      <c r="D180" s="1455" t="s">
        <v>2020</v>
      </c>
      <c r="E180" s="1456" t="s">
        <v>1531</v>
      </c>
      <c r="F180" s="1798">
        <f>F178/F179</f>
        <v>11463.287620229599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zoomScaleNormal="100" workbookViewId="0">
      <selection activeCell="A26" sqref="A26:IV30"/>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1810</v>
      </c>
      <c r="B1" s="1860"/>
      <c r="C1" s="1861"/>
      <c r="D1" s="1861"/>
      <c r="E1" s="1861"/>
      <c r="F1" s="1861"/>
    </row>
    <row r="2" spans="1:6" x14ac:dyDescent="0.25">
      <c r="A2" s="1863"/>
      <c r="B2" s="1864"/>
      <c r="C2" s="1912" t="s">
        <v>2006</v>
      </c>
      <c r="D2" s="1863"/>
      <c r="E2" s="1863"/>
      <c r="F2" s="1863"/>
    </row>
    <row r="3" spans="1:6" ht="5.25" customHeight="1" x14ac:dyDescent="0.25">
      <c r="A3" s="1865"/>
      <c r="B3" s="1866"/>
      <c r="C3" s="1865"/>
      <c r="D3" s="1865"/>
      <c r="E3" s="1865"/>
      <c r="F3" s="1865"/>
    </row>
    <row r="4" spans="1:6" ht="18.75" customHeight="1" x14ac:dyDescent="0.25">
      <c r="A4" s="2378" t="s">
        <v>1798</v>
      </c>
      <c r="B4" s="2379"/>
      <c r="C4" s="2379"/>
      <c r="D4" s="2379"/>
      <c r="E4" s="2379"/>
      <c r="F4" s="2380"/>
    </row>
    <row r="5" spans="1:6" x14ac:dyDescent="0.25">
      <c r="A5" s="2381"/>
      <c r="B5" s="2382"/>
      <c r="C5" s="2382"/>
      <c r="D5" s="2382"/>
      <c r="E5" s="2382"/>
      <c r="F5" s="2383"/>
    </row>
    <row r="6" spans="1:6" ht="18.75" x14ac:dyDescent="0.25">
      <c r="A6" s="1867" t="s">
        <v>1799</v>
      </c>
      <c r="B6" s="1868"/>
      <c r="C6" s="1869"/>
      <c r="D6" s="1869"/>
      <c r="E6" s="1869"/>
      <c r="F6" s="1870"/>
    </row>
    <row r="7" spans="1:6" ht="47.25" customHeight="1" x14ac:dyDescent="0.25">
      <c r="A7" s="2384" t="s">
        <v>1988</v>
      </c>
      <c r="B7" s="2385"/>
      <c r="C7" s="2385"/>
      <c r="D7" s="2385"/>
      <c r="E7" s="2385"/>
      <c r="F7" s="2386"/>
    </row>
    <row r="8" spans="1:6" ht="20.25" customHeight="1" x14ac:dyDescent="0.25">
      <c r="A8" s="1901" t="s">
        <v>1990</v>
      </c>
      <c r="B8" s="1902"/>
      <c r="C8" s="1902"/>
      <c r="D8" s="1902"/>
      <c r="E8" s="1871"/>
      <c r="F8" s="1872"/>
    </row>
    <row r="9" spans="1:6" ht="18" customHeight="1" x14ac:dyDescent="0.25">
      <c r="A9" s="1873" t="s">
        <v>1987</v>
      </c>
      <c r="B9" s="1875"/>
      <c r="C9" s="1875"/>
      <c r="D9" s="1875"/>
      <c r="E9" s="1871"/>
      <c r="F9" s="1872"/>
    </row>
    <row r="10" spans="1:6" ht="15.75" customHeight="1" x14ac:dyDescent="0.25">
      <c r="A10" s="2387" t="s">
        <v>1984</v>
      </c>
      <c r="B10" s="2388"/>
      <c r="C10" s="2388"/>
      <c r="D10" s="2388"/>
      <c r="E10" s="2388"/>
      <c r="F10" s="2389"/>
    </row>
    <row r="11" spans="1:6" ht="33" customHeight="1" x14ac:dyDescent="0.25">
      <c r="A11" s="2384" t="s">
        <v>1989</v>
      </c>
      <c r="B11" s="2385"/>
      <c r="C11" s="2385"/>
      <c r="D11" s="2385"/>
      <c r="E11" s="2385"/>
      <c r="F11" s="2386"/>
    </row>
    <row r="12" spans="1:6" ht="15" customHeight="1" x14ac:dyDescent="0.25">
      <c r="A12" s="1873" t="s">
        <v>1985</v>
      </c>
      <c r="B12" s="1874"/>
      <c r="C12" s="1875"/>
      <c r="D12" s="1875"/>
      <c r="E12" s="1875"/>
      <c r="F12" s="1876"/>
    </row>
    <row r="13" spans="1:6" ht="17.25" customHeight="1" x14ac:dyDescent="0.25">
      <c r="A13" s="2384" t="s">
        <v>1986</v>
      </c>
      <c r="B13" s="2385"/>
      <c r="C13" s="2385"/>
      <c r="D13" s="2385"/>
      <c r="E13" s="2385"/>
      <c r="F13" s="2386"/>
    </row>
    <row r="14" spans="1:6" ht="15" customHeight="1" x14ac:dyDescent="0.25">
      <c r="A14" s="1873" t="s">
        <v>1803</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6" t="s">
        <v>1802</v>
      </c>
      <c r="C17" s="1881" t="s">
        <v>1800</v>
      </c>
      <c r="D17" s="1882">
        <v>500000</v>
      </c>
      <c r="E17" s="1882" t="str">
        <f>IF(D17&lt;25000,D17,"25,000")</f>
        <v>25,000</v>
      </c>
      <c r="F17" s="1883">
        <f>IF(D17&gt;=25000,(D17-E17),"0")</f>
        <v>475000</v>
      </c>
    </row>
    <row r="18" spans="1:7" x14ac:dyDescent="0.25">
      <c r="A18" s="1929" t="s">
        <v>2041</v>
      </c>
      <c r="B18" s="1907"/>
      <c r="C18" s="1913"/>
      <c r="D18" s="1885"/>
      <c r="E18" s="1905">
        <f t="shared" ref="E18:E35" si="0">IF(D18&lt;25000,D18,"25,000")</f>
        <v>0</v>
      </c>
      <c r="F18" s="1905" t="str">
        <f t="shared" ref="F18:F35"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8"/>
      <c r="C30" s="1888"/>
      <c r="D30" s="1885"/>
      <c r="E30" s="1905">
        <f t="shared" si="0"/>
        <v>0</v>
      </c>
      <c r="F30" s="1905" t="str">
        <f t="shared" si="1"/>
        <v>0</v>
      </c>
    </row>
    <row r="31" spans="1:7" x14ac:dyDescent="0.25">
      <c r="A31" s="1887"/>
      <c r="B31" s="1908"/>
      <c r="C31" s="1888"/>
      <c r="D31" s="1885"/>
      <c r="E31" s="1905">
        <f t="shared" si="0"/>
        <v>0</v>
      </c>
      <c r="F31" s="1905" t="str">
        <f t="shared" si="1"/>
        <v>0</v>
      </c>
    </row>
    <row r="32" spans="1:7" x14ac:dyDescent="0.25">
      <c r="A32" s="1887"/>
      <c r="B32" s="1908"/>
      <c r="C32" s="1888"/>
      <c r="D32" s="1885"/>
      <c r="E32" s="1905">
        <f t="shared" si="0"/>
        <v>0</v>
      </c>
      <c r="F32" s="1905" t="str">
        <f t="shared" si="1"/>
        <v>0</v>
      </c>
    </row>
    <row r="33" spans="1:6" x14ac:dyDescent="0.25">
      <c r="A33" s="1887"/>
      <c r="B33" s="1908"/>
      <c r="C33" s="1888"/>
      <c r="D33" s="1885"/>
      <c r="E33" s="1905">
        <f t="shared" si="0"/>
        <v>0</v>
      </c>
      <c r="F33" s="1905" t="str">
        <f t="shared" si="1"/>
        <v>0</v>
      </c>
    </row>
    <row r="34" spans="1:6" x14ac:dyDescent="0.25">
      <c r="A34" s="1887"/>
      <c r="B34" s="1908"/>
      <c r="C34" s="1888"/>
      <c r="D34" s="1885"/>
      <c r="E34" s="1905">
        <f t="shared" si="0"/>
        <v>0</v>
      </c>
      <c r="F34" s="1905" t="str">
        <f t="shared" si="1"/>
        <v>0</v>
      </c>
    </row>
    <row r="35" spans="1:6" x14ac:dyDescent="0.25">
      <c r="A35" s="1887"/>
      <c r="B35" s="1908"/>
      <c r="C35" s="1888"/>
      <c r="D35" s="1885"/>
      <c r="E35" s="1905">
        <f t="shared" si="0"/>
        <v>0</v>
      </c>
      <c r="F35" s="1905" t="str">
        <f t="shared" si="1"/>
        <v>0</v>
      </c>
    </row>
    <row r="36" spans="1:6" x14ac:dyDescent="0.25">
      <c r="A36" s="1887"/>
      <c r="B36" s="1909"/>
      <c r="C36" s="1888"/>
      <c r="D36" s="1885"/>
      <c r="E36" s="1905">
        <f>IF(D36&lt;25000,D36,"25,000")</f>
        <v>0</v>
      </c>
      <c r="F36" s="1905" t="str">
        <f>IF(D36&gt;=25000,(D36-E36),"0")</f>
        <v>0</v>
      </c>
    </row>
    <row r="37" spans="1:6" x14ac:dyDescent="0.25">
      <c r="A37" s="1889" t="s">
        <v>155</v>
      </c>
      <c r="B37" s="1910"/>
      <c r="C37" s="1890"/>
      <c r="D37" s="1891">
        <f>SUM(D18:D36)</f>
        <v>0</v>
      </c>
      <c r="E37" s="1892">
        <f>SUM(E18:E36)</f>
        <v>0</v>
      </c>
      <c r="F37" s="1893">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2797069</v>
      </c>
      <c r="F19" s="1802"/>
      <c r="G19" s="1804">
        <f>'Expenditures 15-22'!K33-SUM('Expenditures 15-22'!G33,'Expenditures 15-22'!I33)+'Expenditures 15-22'!D229</f>
        <v>2797069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67406</v>
      </c>
      <c r="F21" s="1805"/>
      <c r="G21" s="1808">
        <f>'Expenditures 15-22'!K42-SUM('Expenditures 15-22'!G42,'Expenditures 15-22'!I42)+'Expenditures 15-22'!K120-SUM('Expenditures 15-22'!G120,'Expenditures 15-22'!I120)+'Expenditures 15-22'!K180-SUM('Expenditures 15-22'!G180,'Expenditures 15-22'!I180)+'Expenditures 15-22'!D238</f>
        <v>67406</v>
      </c>
      <c r="H21" s="817"/>
      <c r="I21" s="157"/>
    </row>
    <row r="22" spans="1:9" s="542" customFormat="1" ht="12" customHeight="1" x14ac:dyDescent="0.2">
      <c r="A22" s="824" t="s">
        <v>560</v>
      </c>
      <c r="B22" s="825"/>
      <c r="C22" s="823">
        <v>2200</v>
      </c>
      <c r="D22" s="1805"/>
      <c r="E22" s="1807">
        <f>'Expenditures 15-22'!K47-SUM('Expenditures 15-22'!G47,'Expenditures 15-22'!I47)+'Expenditures 15-22'!D243</f>
        <v>69902</v>
      </c>
      <c r="F22" s="1805"/>
      <c r="G22" s="1808">
        <f>'Expenditures 15-22'!K47-SUM('Expenditures 15-22'!G47,'Expenditures 15-22'!I47)+'Expenditures 15-22'!D243</f>
        <v>69902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294652</v>
      </c>
      <c r="F23" s="1805"/>
      <c r="G23" s="1807">
        <f>'Expenditures 15-22'!K53-SUM('Expenditures 15-22'!G53,'Expenditures 15-22'!I53)+'Expenditures 15-22'!D257+'Expenditures 15-22'!K330-SUM('Expenditures 15-22'!G330,'Expenditures 15-22'!I330)</f>
        <v>294652</v>
      </c>
      <c r="H23" s="817"/>
      <c r="I23" s="157"/>
    </row>
    <row r="24" spans="1:9" s="542" customFormat="1" ht="12" customHeight="1" x14ac:dyDescent="0.2">
      <c r="A24" s="824" t="s">
        <v>562</v>
      </c>
      <c r="B24" s="825"/>
      <c r="C24" s="823">
        <v>2400</v>
      </c>
      <c r="D24" s="1805"/>
      <c r="E24" s="1807">
        <f>'Expenditures 15-22'!K57-SUM('Expenditures 15-22'!G57,'Expenditures 15-22'!I57)+'Expenditures 15-22'!D261</f>
        <v>266587</v>
      </c>
      <c r="F24" s="1805"/>
      <c r="G24" s="1808">
        <f>'Expenditures 15-22'!K57-SUM('Expenditures 15-22'!G57,'Expenditures 15-22'!I57)+'Expenditures 15-22'!D261</f>
        <v>266587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83376</v>
      </c>
      <c r="E27" s="1807">
        <f>E8</f>
        <v>0</v>
      </c>
      <c r="F27" s="1807">
        <f>'Expenditures 15-22'!K60-SUM('Expenditures 15-22'!G60,'Expenditures 15-22'!I60)+'Expenditures 15-22'!D264-E8</f>
        <v>83376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341523</v>
      </c>
      <c r="F28" s="1809">
        <f>'Expenditures 15-22'!K61-SUM('Expenditures 15-22'!G61,'Expenditures 15-22'!I61)+'Expenditures 15-22'!K124-SUM('Expenditures 15-22'!G124,'Expenditures 15-22'!I124)+'Expenditures 15-22'!D266-E9</f>
        <v>341523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401940</v>
      </c>
      <c r="F29" s="1805"/>
      <c r="G29" s="1808">
        <f>'Expenditures 15-22'!K62-SUM('Expenditures 15-22'!G62,'Expenditures 15-22'!I62)+'Expenditures 15-22'!K125-SUM('Expenditures 15-22'!G125,'Expenditures 15-22'!I125)+'Expenditures 15-22'!K182-SUM('Expenditures 15-22'!G182,'Expenditures 15-22'!I182)+'Expenditures 15-22'!D267</f>
        <v>401940</v>
      </c>
      <c r="H29" s="815"/>
    </row>
    <row r="30" spans="1:9" ht="12" customHeight="1" x14ac:dyDescent="0.2">
      <c r="A30" s="824" t="s">
        <v>100</v>
      </c>
      <c r="B30" s="827"/>
      <c r="C30" s="823">
        <v>2560</v>
      </c>
      <c r="D30" s="1805"/>
      <c r="E30" s="1807">
        <f>'Expenditures 15-22'!K63-SUM('Expenditures 15-22'!G63,'Expenditures 15-22'!I63)+'Expenditures 15-22'!D268-E10</f>
        <v>154029</v>
      </c>
      <c r="F30" s="1805"/>
      <c r="G30" s="1807">
        <f>'Expenditures 15-22'!K63-SUM('Expenditures 15-22'!G63,'Expenditures 15-22'!I63)+'Expenditures 15-22'!D268-E10</f>
        <v>154029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29'!F37</f>
        <v>0</v>
      </c>
      <c r="F40" s="1805"/>
      <c r="G40" s="1809">
        <f>-'Contracts Paid in CY 29'!F37</f>
        <v>0</v>
      </c>
    </row>
    <row r="41" spans="1:7" ht="12" customHeight="1" x14ac:dyDescent="0.2">
      <c r="A41" s="828" t="s">
        <v>155</v>
      </c>
      <c r="B41" s="829"/>
      <c r="C41" s="830"/>
      <c r="D41" s="1809">
        <f>SUM(D19:D39)</f>
        <v>83376</v>
      </c>
      <c r="E41" s="1809">
        <f>SUM(E19:E40)</f>
        <v>4393108</v>
      </c>
      <c r="F41" s="1809">
        <f>SUM(F19:F39)</f>
        <v>424899</v>
      </c>
      <c r="G41" s="1809">
        <f>SUM(G19:G40)</f>
        <v>4051585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83376</v>
      </c>
      <c r="F43" s="1458" t="s">
        <v>470</v>
      </c>
      <c r="G43" s="1810">
        <f>F41</f>
        <v>424899</v>
      </c>
    </row>
    <row r="44" spans="1:7" ht="12" customHeight="1" x14ac:dyDescent="0.2">
      <c r="A44" s="817"/>
      <c r="B44" s="157"/>
      <c r="C44" s="831"/>
      <c r="D44" s="1458" t="s">
        <v>471</v>
      </c>
      <c r="E44" s="1810">
        <f>E41</f>
        <v>4393108</v>
      </c>
      <c r="F44" s="1458" t="s">
        <v>471</v>
      </c>
      <c r="G44" s="1810">
        <f>G41</f>
        <v>4051585</v>
      </c>
    </row>
    <row r="45" spans="1:7" ht="12" customHeight="1" x14ac:dyDescent="0.2">
      <c r="A45" s="817"/>
      <c r="B45" s="157"/>
      <c r="C45" s="157"/>
      <c r="D45" s="1459" t="s">
        <v>999</v>
      </c>
      <c r="E45" s="1811">
        <f>(E43/E44)</f>
        <v>1.8978818640470484E-2</v>
      </c>
      <c r="F45" s="1459" t="s">
        <v>999</v>
      </c>
      <c r="G45" s="1811">
        <f>(G43/G44)</f>
        <v>0.10487229072079199</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15" sqref="F15"/>
    </sheetView>
  </sheetViews>
  <sheetFormatPr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1365</v>
      </c>
      <c r="B1" s="2412"/>
      <c r="C1" s="2412"/>
      <c r="D1" s="2412"/>
      <c r="E1" s="2412"/>
      <c r="F1" s="2412"/>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1532</v>
      </c>
      <c r="B5" s="2414"/>
      <c r="C5" s="2415"/>
      <c r="D5" s="2415"/>
      <c r="E5" s="2415"/>
      <c r="F5" s="2415"/>
      <c r="G5" s="1507"/>
      <c r="L5" s="1507"/>
      <c r="M5" s="1855"/>
      <c r="N5" s="1855"/>
      <c r="O5" s="1855"/>
    </row>
    <row r="6" spans="1:15" ht="12" customHeight="1" x14ac:dyDescent="0.25">
      <c r="A6" s="1480"/>
      <c r="B6" s="1481"/>
      <c r="C6" s="2416" t="str">
        <f>COVER!A17</f>
        <v xml:space="preserve"> Flanagan-Cornell U 74</v>
      </c>
      <c r="D6" s="2416"/>
      <c r="E6" s="2416"/>
      <c r="F6" s="1482"/>
      <c r="G6" s="1507"/>
      <c r="L6" s="1507"/>
      <c r="M6" s="1855"/>
      <c r="N6" s="1855"/>
      <c r="O6" s="1855"/>
    </row>
    <row r="7" spans="1:15" ht="11.25" customHeight="1" thickBot="1" x14ac:dyDescent="0.3">
      <c r="A7" s="1480"/>
      <c r="B7" s="1481"/>
      <c r="C7" s="2417">
        <f>COVER!A13</f>
        <v>17053074027</v>
      </c>
      <c r="D7" s="2417"/>
      <c r="E7" s="2417"/>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t="s">
        <v>2030</v>
      </c>
      <c r="D14" s="1495" t="s">
        <v>2030</v>
      </c>
      <c r="E14" s="1498" t="s">
        <v>2030</v>
      </c>
      <c r="F14" s="1497" t="s">
        <v>2042</v>
      </c>
      <c r="G14" s="1507"/>
      <c r="H14" s="1507">
        <f t="shared" si="0"/>
        <v>5</v>
      </c>
      <c r="I14" s="1507">
        <f t="shared" si="1"/>
        <v>5</v>
      </c>
      <c r="J14" s="1507">
        <f t="shared" si="2"/>
        <v>5</v>
      </c>
      <c r="L14" s="1507"/>
      <c r="M14" s="1855"/>
      <c r="N14" s="1855"/>
      <c r="O14" s="1855"/>
    </row>
    <row r="15" spans="1:15" ht="12" customHeight="1" x14ac:dyDescent="0.2">
      <c r="A15" s="1493" t="s">
        <v>1373</v>
      </c>
      <c r="B15" s="1494"/>
      <c r="C15" s="1495" t="s">
        <v>2030</v>
      </c>
      <c r="D15" s="1495" t="s">
        <v>2030</v>
      </c>
      <c r="E15" s="1498" t="s">
        <v>2030</v>
      </c>
      <c r="F15" s="1497" t="s">
        <v>2043</v>
      </c>
      <c r="G15" s="1507"/>
      <c r="H15" s="1507">
        <f t="shared" si="0"/>
        <v>5</v>
      </c>
      <c r="I15" s="1507">
        <f t="shared" si="1"/>
        <v>5</v>
      </c>
      <c r="J15" s="1507">
        <f t="shared" si="2"/>
        <v>5</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2030</v>
      </c>
      <c r="D19" s="1495" t="s">
        <v>2030</v>
      </c>
      <c r="E19" s="1498" t="s">
        <v>2030</v>
      </c>
      <c r="F19" s="1497" t="s">
        <v>2044</v>
      </c>
      <c r="G19" s="1507"/>
      <c r="H19" s="1507">
        <f t="shared" si="0"/>
        <v>5</v>
      </c>
      <c r="I19" s="1507">
        <f t="shared" si="1"/>
        <v>5</v>
      </c>
      <c r="J19" s="1507">
        <f t="shared" si="2"/>
        <v>5</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t="s">
        <v>2030</v>
      </c>
      <c r="D21" s="1495" t="s">
        <v>2030</v>
      </c>
      <c r="E21" s="1498" t="s">
        <v>2030</v>
      </c>
      <c r="F21" s="1497" t="s">
        <v>2045</v>
      </c>
      <c r="G21" s="1507"/>
      <c r="H21" s="1507">
        <f t="shared" si="0"/>
        <v>5</v>
      </c>
      <c r="I21" s="1507">
        <f t="shared" si="1"/>
        <v>5</v>
      </c>
      <c r="J21" s="1507">
        <f t="shared" si="2"/>
        <v>5</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t="s">
        <v>2030</v>
      </c>
      <c r="D25" s="1495" t="s">
        <v>2030</v>
      </c>
      <c r="E25" s="1498" t="s">
        <v>2030</v>
      </c>
      <c r="F25" s="1497" t="s">
        <v>2046</v>
      </c>
      <c r="G25" s="1507"/>
      <c r="H25" s="1507">
        <f t="shared" si="0"/>
        <v>5</v>
      </c>
      <c r="I25" s="1507">
        <f t="shared" si="1"/>
        <v>5</v>
      </c>
      <c r="J25" s="1507">
        <f t="shared" si="2"/>
        <v>5</v>
      </c>
      <c r="L25" s="1507"/>
      <c r="M25" s="1855"/>
      <c r="N25" s="1855"/>
      <c r="O25" s="1855"/>
    </row>
    <row r="26" spans="1:15" ht="12" customHeight="1" x14ac:dyDescent="0.2">
      <c r="A26" s="1493" t="s">
        <v>1520</v>
      </c>
      <c r="B26" s="1494"/>
      <c r="C26" s="1495" t="s">
        <v>2030</v>
      </c>
      <c r="D26" s="1495" t="s">
        <v>2030</v>
      </c>
      <c r="E26" s="1498" t="s">
        <v>2030</v>
      </c>
      <c r="F26" s="1497" t="s">
        <v>2047</v>
      </c>
      <c r="G26" s="1507"/>
      <c r="H26" s="1507">
        <f t="shared" si="0"/>
        <v>5</v>
      </c>
      <c r="I26" s="1507">
        <f t="shared" si="1"/>
        <v>5</v>
      </c>
      <c r="J26" s="1507">
        <f t="shared" si="2"/>
        <v>5</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2030</v>
      </c>
      <c r="D31" s="1495" t="s">
        <v>2030</v>
      </c>
      <c r="E31" s="1498" t="s">
        <v>2030</v>
      </c>
      <c r="F31" s="1497" t="s">
        <v>2046</v>
      </c>
      <c r="G31" s="1507"/>
      <c r="H31" s="1507">
        <f t="shared" si="0"/>
        <v>5</v>
      </c>
      <c r="I31" s="1507">
        <f t="shared" si="1"/>
        <v>5</v>
      </c>
      <c r="J31" s="1507">
        <f t="shared" si="2"/>
        <v>5</v>
      </c>
      <c r="L31" s="1856"/>
      <c r="M31" s="1855"/>
      <c r="N31" s="1855"/>
      <c r="O31" s="1855"/>
    </row>
    <row r="32" spans="1:15" ht="12" customHeight="1" x14ac:dyDescent="0.2">
      <c r="A32" s="1493" t="s">
        <v>1526</v>
      </c>
      <c r="B32" s="1494"/>
      <c r="C32" s="1495" t="s">
        <v>2030</v>
      </c>
      <c r="D32" s="1495" t="s">
        <v>2030</v>
      </c>
      <c r="E32" s="1498" t="s">
        <v>2030</v>
      </c>
      <c r="F32" s="1497" t="s">
        <v>2048</v>
      </c>
      <c r="G32" s="1507"/>
      <c r="H32" s="1507">
        <f t="shared" si="0"/>
        <v>5</v>
      </c>
      <c r="I32" s="1507">
        <f t="shared" si="1"/>
        <v>5</v>
      </c>
      <c r="J32" s="1507">
        <f t="shared" si="2"/>
        <v>5</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40</v>
      </c>
      <c r="K34" s="1507">
        <f>SUM(H34:J34)</f>
        <v>120</v>
      </c>
      <c r="L34" s="1507"/>
      <c r="M34" s="1855"/>
      <c r="N34" s="1855"/>
      <c r="O34" s="1855"/>
    </row>
    <row r="35" spans="1:15" ht="12" customHeight="1" x14ac:dyDescent="0.2">
      <c r="A35" s="1500" t="s">
        <v>1378</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1377</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41"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8.5703125" customWidth="1"/>
  </cols>
  <sheetData>
    <row r="1" spans="1:14" x14ac:dyDescent="0.2">
      <c r="A1" s="1930"/>
      <c r="B1" s="1931"/>
      <c r="C1" s="1931"/>
      <c r="D1" s="1931"/>
      <c r="E1" s="1931"/>
      <c r="F1" s="1931"/>
      <c r="G1" s="1932" t="s">
        <v>402</v>
      </c>
      <c r="H1" s="1933"/>
      <c r="I1" s="1931"/>
      <c r="J1" s="1931"/>
      <c r="K1" s="1931"/>
      <c r="L1" s="1931"/>
      <c r="M1" s="1931"/>
      <c r="N1" s="1934"/>
    </row>
    <row r="2" spans="1:14" x14ac:dyDescent="0.2">
      <c r="A2" s="1935"/>
      <c r="B2" s="838"/>
      <c r="C2" s="838"/>
      <c r="D2" s="838"/>
      <c r="E2" s="838"/>
      <c r="F2" s="838"/>
      <c r="G2" s="1936" t="s">
        <v>2005</v>
      </c>
      <c r="H2" s="1937"/>
      <c r="I2" s="838"/>
      <c r="J2" s="838"/>
      <c r="K2" s="838"/>
      <c r="L2" s="838"/>
      <c r="M2" s="838"/>
      <c r="N2" s="1938"/>
    </row>
    <row r="3" spans="1:14" x14ac:dyDescent="0.2">
      <c r="A3" s="1935"/>
      <c r="B3" s="838"/>
      <c r="C3" s="838"/>
      <c r="D3" s="838"/>
      <c r="E3" s="838"/>
      <c r="F3" s="838"/>
      <c r="G3" s="1936" t="s">
        <v>403</v>
      </c>
      <c r="H3" s="838"/>
      <c r="I3" s="838"/>
      <c r="J3" s="838"/>
      <c r="K3" s="838"/>
      <c r="L3" s="838"/>
      <c r="M3" s="838"/>
      <c r="N3" s="1938"/>
    </row>
    <row r="4" spans="1:14" x14ac:dyDescent="0.2">
      <c r="A4" s="1935"/>
      <c r="B4" s="838"/>
      <c r="C4" s="838"/>
      <c r="D4" s="838"/>
      <c r="E4" s="838"/>
      <c r="F4" s="838"/>
      <c r="G4" s="1936" t="s">
        <v>863</v>
      </c>
      <c r="H4" s="838"/>
      <c r="I4" s="838"/>
      <c r="J4" s="838"/>
      <c r="K4" s="838"/>
      <c r="L4" s="838"/>
      <c r="M4" s="838"/>
      <c r="N4" s="1938"/>
    </row>
    <row r="5" spans="1:14" x14ac:dyDescent="0.2">
      <c r="A5" s="1935"/>
      <c r="B5" s="838"/>
      <c r="C5" s="838"/>
      <c r="D5" s="838"/>
      <c r="E5" s="838"/>
      <c r="F5" s="1936"/>
      <c r="G5" s="1936"/>
      <c r="H5" s="838"/>
      <c r="I5" s="838"/>
      <c r="J5" s="838"/>
      <c r="K5" s="838"/>
      <c r="L5" s="838"/>
      <c r="M5" s="838"/>
      <c r="N5" s="1938"/>
    </row>
    <row r="6" spans="1:14" x14ac:dyDescent="0.2">
      <c r="A6" s="1939" t="s">
        <v>667</v>
      </c>
      <c r="B6" s="1377"/>
      <c r="C6" s="1377"/>
      <c r="D6" s="1377"/>
      <c r="E6" s="1378"/>
      <c r="F6" s="1940"/>
      <c r="G6" s="1936"/>
      <c r="H6" s="838"/>
      <c r="I6" s="1941" t="s">
        <v>1021</v>
      </c>
      <c r="J6" s="2463" t="str">
        <f>+COVER!A17</f>
        <v xml:space="preserve"> Flanagan-Cornell U 74</v>
      </c>
      <c r="K6" s="2463"/>
      <c r="L6" s="2464"/>
      <c r="M6" s="838"/>
      <c r="N6" s="1938"/>
    </row>
    <row r="7" spans="1:14" x14ac:dyDescent="0.2">
      <c r="A7" s="2465" t="s">
        <v>864</v>
      </c>
      <c r="B7" s="2466"/>
      <c r="C7" s="2466"/>
      <c r="D7" s="2466"/>
      <c r="E7" s="2467"/>
      <c r="F7" s="839"/>
      <c r="G7" s="838"/>
      <c r="H7" s="838"/>
      <c r="I7" s="1941" t="s">
        <v>369</v>
      </c>
      <c r="J7" s="2468">
        <f>+COVER!A13</f>
        <v>17053074027</v>
      </c>
      <c r="K7" s="2468"/>
      <c r="L7" s="2468"/>
      <c r="M7" s="838"/>
      <c r="N7" s="1938"/>
    </row>
    <row r="8" spans="1:14" x14ac:dyDescent="0.2">
      <c r="A8" s="1942"/>
      <c r="B8" s="1943"/>
      <c r="C8" s="1943"/>
      <c r="D8" s="1943"/>
      <c r="E8" s="1944"/>
      <c r="F8" s="1945"/>
      <c r="G8" s="1911"/>
      <c r="H8" s="1911"/>
      <c r="I8" s="1911"/>
      <c r="J8" s="1911"/>
      <c r="K8" s="1911"/>
      <c r="L8" s="1911"/>
      <c r="M8" s="838"/>
      <c r="N8" s="1938"/>
    </row>
    <row r="9" spans="1:14" x14ac:dyDescent="0.2">
      <c r="A9" s="1946"/>
      <c r="B9" s="840"/>
      <c r="C9" s="840"/>
      <c r="D9" s="841"/>
      <c r="E9" s="1947" t="s">
        <v>2049</v>
      </c>
      <c r="F9" s="1857"/>
      <c r="G9" s="1857"/>
      <c r="H9" s="1857"/>
      <c r="I9" s="1948" t="s">
        <v>2050</v>
      </c>
      <c r="J9" s="1857"/>
      <c r="K9" s="1857"/>
      <c r="L9" s="1858"/>
      <c r="M9" s="838"/>
      <c r="N9" s="1938"/>
    </row>
    <row r="10" spans="1:14" x14ac:dyDescent="0.2">
      <c r="A10" s="1949"/>
      <c r="B10" s="1950"/>
      <c r="C10" s="1951"/>
      <c r="D10" s="1952"/>
      <c r="E10" s="1953" t="s">
        <v>422</v>
      </c>
      <c r="F10" s="1954" t="s">
        <v>423</v>
      </c>
      <c r="G10" s="1955" t="s">
        <v>429</v>
      </c>
      <c r="H10" s="1956"/>
      <c r="I10" s="1954" t="s">
        <v>422</v>
      </c>
      <c r="J10" s="1954" t="s">
        <v>423</v>
      </c>
      <c r="K10" s="1955" t="s">
        <v>429</v>
      </c>
      <c r="L10" s="1954"/>
      <c r="M10" s="838"/>
      <c r="N10" s="1938"/>
    </row>
    <row r="11" spans="1:14" ht="51" x14ac:dyDescent="0.2">
      <c r="A11" s="2469" t="s">
        <v>478</v>
      </c>
      <c r="B11" s="2470"/>
      <c r="C11" s="2471"/>
      <c r="D11" s="1957" t="s">
        <v>866</v>
      </c>
      <c r="E11" s="1957" t="s">
        <v>64</v>
      </c>
      <c r="F11" s="1957" t="s">
        <v>6</v>
      </c>
      <c r="G11" s="1958" t="s">
        <v>2051</v>
      </c>
      <c r="H11" s="1959" t="s">
        <v>155</v>
      </c>
      <c r="I11" s="1957" t="s">
        <v>64</v>
      </c>
      <c r="J11" s="1957" t="s">
        <v>6</v>
      </c>
      <c r="K11" s="1958" t="s">
        <v>2004</v>
      </c>
      <c r="L11" s="1959" t="s">
        <v>155</v>
      </c>
      <c r="M11" s="838"/>
      <c r="N11" s="1938"/>
    </row>
    <row r="12" spans="1:14" x14ac:dyDescent="0.2">
      <c r="A12" s="1960">
        <v>1</v>
      </c>
      <c r="B12" s="1961" t="s">
        <v>813</v>
      </c>
      <c r="C12" s="842"/>
      <c r="D12" s="1962">
        <v>2320</v>
      </c>
      <c r="E12" s="1963">
        <f>+'Expenditures 15-22'!K50</f>
        <v>105396</v>
      </c>
      <c r="F12" s="1964"/>
      <c r="G12" s="1965">
        <f>G68</f>
        <v>0</v>
      </c>
      <c r="H12" s="1966">
        <f t="shared" ref="H12:H18" si="0">SUM(E12:G12)</f>
        <v>105396</v>
      </c>
      <c r="I12" s="1967">
        <v>81500</v>
      </c>
      <c r="J12" s="1964"/>
      <c r="K12" s="1967"/>
      <c r="L12" s="1966">
        <f t="shared" ref="L12:L18" si="1">SUM(I12:K12)</f>
        <v>81500</v>
      </c>
      <c r="M12" s="838"/>
      <c r="N12" s="1938"/>
    </row>
    <row r="13" spans="1:14" x14ac:dyDescent="0.2">
      <c r="A13" s="1960">
        <v>2</v>
      </c>
      <c r="B13" s="1961" t="s">
        <v>42</v>
      </c>
      <c r="C13" s="842"/>
      <c r="D13" s="1962">
        <v>2330</v>
      </c>
      <c r="E13" s="1963">
        <f>+'Expenditures 15-22'!K51</f>
        <v>0</v>
      </c>
      <c r="F13" s="1964"/>
      <c r="G13" s="1965">
        <f>H68</f>
        <v>0</v>
      </c>
      <c r="H13" s="1966">
        <f t="shared" si="0"/>
        <v>0</v>
      </c>
      <c r="I13" s="1967"/>
      <c r="J13" s="1964"/>
      <c r="K13" s="1967"/>
      <c r="L13" s="1966">
        <f t="shared" si="1"/>
        <v>0</v>
      </c>
      <c r="M13" s="838"/>
      <c r="N13" s="1938"/>
    </row>
    <row r="14" spans="1:14" x14ac:dyDescent="0.2">
      <c r="A14" s="1960">
        <v>3</v>
      </c>
      <c r="B14" s="1961" t="s">
        <v>43</v>
      </c>
      <c r="C14" s="842"/>
      <c r="D14" s="1968">
        <v>2490</v>
      </c>
      <c r="E14" s="1963">
        <f>+'Expenditures 15-22'!K56</f>
        <v>0</v>
      </c>
      <c r="F14" s="1964"/>
      <c r="G14" s="1965">
        <f>I68</f>
        <v>0</v>
      </c>
      <c r="H14" s="1966">
        <f t="shared" si="0"/>
        <v>0</v>
      </c>
      <c r="I14" s="1967"/>
      <c r="J14" s="1964"/>
      <c r="K14" s="1967"/>
      <c r="L14" s="1966">
        <f t="shared" si="1"/>
        <v>0</v>
      </c>
      <c r="M14" s="838"/>
      <c r="N14" s="1938"/>
    </row>
    <row r="15" spans="1:14" x14ac:dyDescent="0.2">
      <c r="A15" s="1960">
        <v>4</v>
      </c>
      <c r="B15" s="1961" t="s">
        <v>1061</v>
      </c>
      <c r="C15" s="842"/>
      <c r="D15" s="1962">
        <v>2510</v>
      </c>
      <c r="E15" s="1963">
        <f>+'Expenditures 15-22'!K59</f>
        <v>0</v>
      </c>
      <c r="F15" s="1963">
        <f>+'Expenditures 15-22'!K122</f>
        <v>0</v>
      </c>
      <c r="G15" s="1965">
        <f>J68</f>
        <v>0</v>
      </c>
      <c r="H15" s="1966">
        <f t="shared" si="0"/>
        <v>0</v>
      </c>
      <c r="I15" s="1967"/>
      <c r="J15" s="1967"/>
      <c r="K15" s="1967"/>
      <c r="L15" s="1966">
        <f t="shared" si="1"/>
        <v>0</v>
      </c>
      <c r="M15" s="838"/>
      <c r="N15" s="1938"/>
    </row>
    <row r="16" spans="1:14" x14ac:dyDescent="0.2">
      <c r="A16" s="1960">
        <v>5</v>
      </c>
      <c r="B16" s="1961" t="s">
        <v>101</v>
      </c>
      <c r="C16" s="842"/>
      <c r="D16" s="1962">
        <v>2570</v>
      </c>
      <c r="E16" s="1963">
        <f>+'Expenditures 15-22'!K64</f>
        <v>0</v>
      </c>
      <c r="F16" s="1964"/>
      <c r="G16" s="1965">
        <f>K68</f>
        <v>0</v>
      </c>
      <c r="H16" s="1966">
        <f t="shared" si="0"/>
        <v>0</v>
      </c>
      <c r="I16" s="1967"/>
      <c r="J16" s="1964"/>
      <c r="K16" s="1967"/>
      <c r="L16" s="1966">
        <f t="shared" si="1"/>
        <v>0</v>
      </c>
      <c r="M16" s="838"/>
      <c r="N16" s="1938"/>
    </row>
    <row r="17" spans="1:14" x14ac:dyDescent="0.2">
      <c r="A17" s="1960">
        <v>6</v>
      </c>
      <c r="B17" s="1961" t="s">
        <v>1053</v>
      </c>
      <c r="C17" s="842"/>
      <c r="D17" s="1962">
        <v>2610</v>
      </c>
      <c r="E17" s="1963">
        <f>+'Expenditures 15-22'!K67</f>
        <v>0</v>
      </c>
      <c r="F17" s="1964"/>
      <c r="G17" s="1965">
        <f>L68</f>
        <v>0</v>
      </c>
      <c r="H17" s="1966">
        <f t="shared" si="0"/>
        <v>0</v>
      </c>
      <c r="I17" s="1967"/>
      <c r="J17" s="1964"/>
      <c r="K17" s="1967"/>
      <c r="L17" s="1966">
        <f t="shared" si="1"/>
        <v>0</v>
      </c>
      <c r="M17" s="838"/>
      <c r="N17" s="1938"/>
    </row>
    <row r="18" spans="1:14" ht="28.5" customHeight="1" x14ac:dyDescent="0.2">
      <c r="A18" s="1969">
        <v>7</v>
      </c>
      <c r="B18" s="2472" t="s">
        <v>7</v>
      </c>
      <c r="C18" s="2473"/>
      <c r="D18" s="2474"/>
      <c r="E18" s="1970"/>
      <c r="F18" s="1970"/>
      <c r="G18" s="1967"/>
      <c r="H18" s="1971">
        <f t="shared" si="0"/>
        <v>0</v>
      </c>
      <c r="I18" s="1967"/>
      <c r="J18" s="1967"/>
      <c r="K18" s="1967"/>
      <c r="L18" s="1966">
        <f t="shared" si="1"/>
        <v>0</v>
      </c>
      <c r="M18" s="838"/>
      <c r="N18" s="1938"/>
    </row>
    <row r="19" spans="1:14" ht="13.5" thickBot="1" x14ac:dyDescent="0.25">
      <c r="A19" s="1960">
        <v>8</v>
      </c>
      <c r="B19" s="1972" t="s">
        <v>1153</v>
      </c>
      <c r="C19" s="838"/>
      <c r="D19" s="1973"/>
      <c r="E19" s="1974">
        <f t="shared" ref="E19:L19" si="2">SUM(E12:E17)-E18</f>
        <v>105396</v>
      </c>
      <c r="F19" s="1974">
        <f t="shared" si="2"/>
        <v>0</v>
      </c>
      <c r="G19" s="1974">
        <f>SUM(G12:G17)-G18</f>
        <v>0</v>
      </c>
      <c r="H19" s="1974">
        <f t="shared" si="2"/>
        <v>105396</v>
      </c>
      <c r="I19" s="1974">
        <f t="shared" si="2"/>
        <v>81500</v>
      </c>
      <c r="J19" s="1974">
        <f t="shared" si="2"/>
        <v>0</v>
      </c>
      <c r="K19" s="1974">
        <f t="shared" si="2"/>
        <v>0</v>
      </c>
      <c r="L19" s="1974">
        <f t="shared" si="2"/>
        <v>81500</v>
      </c>
      <c r="M19" s="838"/>
      <c r="N19" s="1938"/>
    </row>
    <row r="20" spans="1:14" ht="13.5" thickTop="1" x14ac:dyDescent="0.2">
      <c r="A20" s="1960">
        <v>9</v>
      </c>
      <c r="B20" s="2461" t="s">
        <v>2052</v>
      </c>
      <c r="C20" s="2461"/>
      <c r="D20" s="2462"/>
      <c r="E20" s="1975"/>
      <c r="F20" s="1975"/>
      <c r="G20" s="1975"/>
      <c r="H20" s="1975"/>
      <c r="I20" s="1975"/>
      <c r="J20" s="1975"/>
      <c r="K20" s="1975"/>
      <c r="L20" s="1976">
        <f>IF(AND(H19&gt;0,L19&gt;0),(((L19-H19)/H19)),"Enter Budget Data")</f>
        <v>-0.22672587194959962</v>
      </c>
      <c r="M20" s="838"/>
      <c r="N20" s="1938"/>
    </row>
    <row r="21" spans="1:14" x14ac:dyDescent="0.2">
      <c r="A21" s="1977" t="s">
        <v>194</v>
      </c>
      <c r="B21" s="1978" t="s">
        <v>2053</v>
      </c>
      <c r="C21" s="838"/>
      <c r="D21" s="1979"/>
      <c r="E21" s="1980"/>
      <c r="F21" s="1981"/>
      <c r="G21" s="1981"/>
      <c r="H21" s="1981"/>
      <c r="I21" s="1981"/>
      <c r="J21" s="1981"/>
      <c r="K21" s="1981"/>
      <c r="L21" s="1982"/>
      <c r="M21" s="838"/>
      <c r="N21" s="1938"/>
    </row>
    <row r="22" spans="1:14" x14ac:dyDescent="0.2">
      <c r="A22" s="1935"/>
      <c r="B22" s="1983"/>
      <c r="C22" s="838"/>
      <c r="D22" s="838"/>
      <c r="E22" s="838"/>
      <c r="F22" s="838"/>
      <c r="G22" s="838"/>
      <c r="H22" s="838"/>
      <c r="I22" s="838"/>
      <c r="J22" s="838"/>
      <c r="K22" s="838"/>
      <c r="L22" s="838"/>
      <c r="M22" s="838"/>
      <c r="N22" s="1938"/>
    </row>
    <row r="23" spans="1:14" x14ac:dyDescent="0.2">
      <c r="A23" s="1984" t="s">
        <v>132</v>
      </c>
      <c r="B23" s="1983"/>
      <c r="C23" s="838"/>
      <c r="D23" s="838"/>
      <c r="E23" s="838"/>
      <c r="F23" s="838"/>
      <c r="G23" s="838"/>
      <c r="H23" s="838"/>
      <c r="I23" s="838"/>
      <c r="J23" s="838"/>
      <c r="K23" s="838"/>
      <c r="L23" s="838"/>
      <c r="M23" s="838"/>
      <c r="N23" s="1938"/>
    </row>
    <row r="24" spans="1:14" x14ac:dyDescent="0.2">
      <c r="A24" s="1985" t="s">
        <v>2054</v>
      </c>
      <c r="B24" s="1986"/>
      <c r="C24" s="1987"/>
      <c r="D24" s="1987"/>
      <c r="E24" s="1987"/>
      <c r="F24" s="1987"/>
      <c r="G24" s="1987"/>
      <c r="H24" s="1987"/>
      <c r="I24" s="1987"/>
      <c r="J24" s="1987"/>
      <c r="K24" s="1987"/>
      <c r="L24" s="838"/>
      <c r="M24" s="838"/>
      <c r="N24" s="1938"/>
    </row>
    <row r="25" spans="1:14" x14ac:dyDescent="0.2">
      <c r="A25" s="1985" t="s">
        <v>2055</v>
      </c>
      <c r="B25" s="1986"/>
      <c r="C25" s="1987"/>
      <c r="D25" s="1987"/>
      <c r="E25" s="1987"/>
      <c r="F25" s="1987"/>
      <c r="G25" s="1987"/>
      <c r="H25" s="1987"/>
      <c r="I25" s="1987"/>
      <c r="J25" s="1987"/>
      <c r="K25" s="1987"/>
      <c r="L25" s="838"/>
      <c r="M25" s="838"/>
      <c r="N25" s="1938"/>
    </row>
    <row r="26" spans="1:14" x14ac:dyDescent="0.2">
      <c r="A26" s="1988"/>
      <c r="B26" s="1983"/>
      <c r="C26" s="838"/>
      <c r="D26" s="838"/>
      <c r="E26" s="838"/>
      <c r="F26" s="838"/>
      <c r="G26" s="838"/>
      <c r="H26" s="838"/>
      <c r="I26" s="838"/>
      <c r="J26" s="838"/>
      <c r="K26" s="838"/>
      <c r="L26" s="838"/>
      <c r="M26" s="838"/>
      <c r="N26" s="1938"/>
    </row>
    <row r="27" spans="1:14" x14ac:dyDescent="0.2">
      <c r="A27" s="1935"/>
      <c r="B27" s="1983"/>
      <c r="C27" s="2452"/>
      <c r="D27" s="2452"/>
      <c r="E27" s="843"/>
      <c r="F27" s="2453"/>
      <c r="G27" s="2453"/>
      <c r="H27" s="2453"/>
      <c r="I27" s="838"/>
      <c r="J27" s="838"/>
      <c r="K27" s="838"/>
      <c r="L27" s="838"/>
      <c r="M27" s="838"/>
      <c r="N27" s="1938"/>
    </row>
    <row r="28" spans="1:14" x14ac:dyDescent="0.2">
      <c r="A28" s="1935"/>
      <c r="B28" s="1983"/>
      <c r="C28" s="1989" t="s">
        <v>1026</v>
      </c>
      <c r="D28" s="844"/>
      <c r="E28" s="1990"/>
      <c r="F28" s="2454" t="s">
        <v>1495</v>
      </c>
      <c r="G28" s="2454"/>
      <c r="H28" s="2454"/>
      <c r="I28" s="838"/>
      <c r="J28" s="838"/>
      <c r="K28" s="838"/>
      <c r="L28" s="838"/>
      <c r="M28" s="838"/>
      <c r="N28" s="1938"/>
    </row>
    <row r="29" spans="1:14" x14ac:dyDescent="0.2">
      <c r="A29" s="1935"/>
      <c r="B29" s="1983"/>
      <c r="C29" s="2455"/>
      <c r="D29" s="2455"/>
      <c r="E29" s="845"/>
      <c r="F29" s="2455"/>
      <c r="G29" s="2455"/>
      <c r="H29" s="2455"/>
      <c r="I29" s="838"/>
      <c r="J29" s="838"/>
      <c r="K29" s="838"/>
      <c r="L29" s="838"/>
      <c r="M29" s="838"/>
      <c r="N29" s="1938"/>
    </row>
    <row r="30" spans="1:14" x14ac:dyDescent="0.2">
      <c r="A30" s="1935"/>
      <c r="B30" s="1983"/>
      <c r="C30" s="1991" t="s">
        <v>1547</v>
      </c>
      <c r="D30" s="838"/>
      <c r="E30" s="1992"/>
      <c r="F30" s="2456" t="s">
        <v>1496</v>
      </c>
      <c r="G30" s="2456"/>
      <c r="H30" s="2456"/>
      <c r="I30" s="838"/>
      <c r="J30" s="838"/>
      <c r="K30" s="838"/>
      <c r="L30" s="838"/>
      <c r="M30" s="838"/>
      <c r="N30" s="1938"/>
    </row>
    <row r="31" spans="1:14" x14ac:dyDescent="0.2">
      <c r="A31" s="1935"/>
      <c r="B31" s="1983"/>
      <c r="C31" s="1993"/>
      <c r="D31" s="838"/>
      <c r="E31" s="1979"/>
      <c r="F31" s="1980"/>
      <c r="G31" s="1980"/>
      <c r="H31" s="1980"/>
      <c r="I31" s="838"/>
      <c r="J31" s="838"/>
      <c r="K31" s="838"/>
      <c r="L31" s="838"/>
      <c r="M31" s="838"/>
      <c r="N31" s="1938"/>
    </row>
    <row r="32" spans="1:14" x14ac:dyDescent="0.2">
      <c r="A32" s="1935"/>
      <c r="B32" s="1994" t="s">
        <v>1027</v>
      </c>
      <c r="C32" s="838"/>
      <c r="D32" s="838"/>
      <c r="E32" s="838"/>
      <c r="F32" s="838"/>
      <c r="G32" s="838"/>
      <c r="H32" s="838"/>
      <c r="I32" s="838"/>
      <c r="J32" s="838"/>
      <c r="K32" s="838"/>
      <c r="L32" s="838"/>
      <c r="M32" s="838"/>
      <c r="N32" s="1938"/>
    </row>
    <row r="33" spans="1:14" x14ac:dyDescent="0.2">
      <c r="A33" s="1935"/>
      <c r="B33" s="1995"/>
      <c r="C33" s="838"/>
      <c r="D33" s="838"/>
      <c r="E33" s="838"/>
      <c r="F33" s="838"/>
      <c r="G33" s="838"/>
      <c r="H33" s="838"/>
      <c r="I33" s="838"/>
      <c r="J33" s="838"/>
      <c r="K33" s="838"/>
      <c r="L33" s="838"/>
      <c r="M33" s="838"/>
      <c r="N33" s="1938"/>
    </row>
    <row r="34" spans="1:14" x14ac:dyDescent="0.2">
      <c r="A34" s="1935"/>
      <c r="B34" s="846"/>
      <c r="C34" s="2457" t="s">
        <v>2056</v>
      </c>
      <c r="D34" s="2458"/>
      <c r="E34" s="2458"/>
      <c r="F34" s="2458"/>
      <c r="G34" s="2458"/>
      <c r="H34" s="2458"/>
      <c r="I34" s="2458"/>
      <c r="J34" s="2458"/>
      <c r="K34" s="1996"/>
      <c r="L34" s="838"/>
      <c r="M34" s="838"/>
      <c r="N34" s="1938"/>
    </row>
    <row r="35" spans="1:14" x14ac:dyDescent="0.2">
      <c r="A35" s="1935"/>
      <c r="B35" s="838"/>
      <c r="C35" s="2458"/>
      <c r="D35" s="2458"/>
      <c r="E35" s="2458"/>
      <c r="F35" s="2458"/>
      <c r="G35" s="2458"/>
      <c r="H35" s="2458"/>
      <c r="I35" s="2458"/>
      <c r="J35" s="2458"/>
      <c r="K35" s="1996"/>
      <c r="L35" s="838"/>
      <c r="M35" s="838"/>
      <c r="N35" s="1938"/>
    </row>
    <row r="36" spans="1:14" x14ac:dyDescent="0.2">
      <c r="A36" s="1935"/>
      <c r="B36" s="838"/>
      <c r="C36" s="1997"/>
      <c r="D36" s="838"/>
      <c r="E36" s="838"/>
      <c r="F36" s="838"/>
      <c r="G36" s="838"/>
      <c r="H36" s="838"/>
      <c r="I36" s="838"/>
      <c r="J36" s="838"/>
      <c r="K36" s="838"/>
      <c r="L36" s="838"/>
      <c r="M36" s="838"/>
      <c r="N36" s="1938"/>
    </row>
    <row r="37" spans="1:14" x14ac:dyDescent="0.2">
      <c r="A37" s="1935"/>
      <c r="B37" s="846"/>
      <c r="C37" s="2457" t="s">
        <v>2057</v>
      </c>
      <c r="D37" s="2458"/>
      <c r="E37" s="2458"/>
      <c r="F37" s="2458"/>
      <c r="G37" s="2458"/>
      <c r="H37" s="2458"/>
      <c r="I37" s="2458"/>
      <c r="J37" s="2458"/>
      <c r="K37" s="1996"/>
      <c r="L37" s="1998"/>
      <c r="M37" s="838"/>
      <c r="N37" s="1938"/>
    </row>
    <row r="38" spans="1:14" x14ac:dyDescent="0.2">
      <c r="A38" s="1935"/>
      <c r="B38" s="838"/>
      <c r="C38" s="2458"/>
      <c r="D38" s="2458"/>
      <c r="E38" s="2458"/>
      <c r="F38" s="2458"/>
      <c r="G38" s="2458"/>
      <c r="H38" s="2458"/>
      <c r="I38" s="2458"/>
      <c r="J38" s="2458"/>
      <c r="K38" s="1996"/>
      <c r="L38" s="1998"/>
      <c r="M38" s="838"/>
      <c r="N38" s="1938"/>
    </row>
    <row r="39" spans="1:14" x14ac:dyDescent="0.2">
      <c r="A39" s="1935"/>
      <c r="B39" s="838"/>
      <c r="C39" s="1997"/>
      <c r="D39" s="838"/>
      <c r="E39" s="1999"/>
      <c r="F39" s="2000"/>
      <c r="G39" s="2000"/>
      <c r="H39" s="1999"/>
      <c r="I39" s="838"/>
      <c r="J39" s="838"/>
      <c r="K39" s="838"/>
      <c r="L39" s="838"/>
      <c r="M39" s="838"/>
      <c r="N39" s="1938"/>
    </row>
    <row r="40" spans="1:14" x14ac:dyDescent="0.2">
      <c r="A40" s="1935"/>
      <c r="B40" s="846"/>
      <c r="C40" s="2459" t="s">
        <v>2058</v>
      </c>
      <c r="D40" s="2460"/>
      <c r="E40" s="2460"/>
      <c r="F40" s="2460"/>
      <c r="G40" s="2460"/>
      <c r="H40" s="2460"/>
      <c r="I40" s="2460"/>
      <c r="J40" s="2460"/>
      <c r="K40" s="2001"/>
      <c r="L40" s="838"/>
      <c r="M40" s="838"/>
      <c r="N40" s="1938"/>
    </row>
    <row r="41" spans="1:14" x14ac:dyDescent="0.2">
      <c r="A41" s="1935"/>
      <c r="B41" s="838"/>
      <c r="C41" s="2002"/>
      <c r="D41" s="2002"/>
      <c r="E41" s="2002"/>
      <c r="F41" s="2002"/>
      <c r="G41" s="2002"/>
      <c r="H41" s="2002"/>
      <c r="I41" s="2002"/>
      <c r="J41" s="2002"/>
      <c r="K41" s="2002"/>
      <c r="L41" s="838"/>
      <c r="M41" s="838"/>
      <c r="N41" s="1938"/>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33" t="s">
        <v>2059</v>
      </c>
      <c r="B43" s="2434"/>
      <c r="C43" s="2434"/>
      <c r="D43" s="2434"/>
      <c r="E43" s="2434"/>
      <c r="F43" s="2434"/>
      <c r="G43" s="2434"/>
      <c r="H43" s="2434"/>
      <c r="I43" s="2434"/>
      <c r="J43" s="2434"/>
      <c r="K43" s="2434"/>
      <c r="L43" s="2434"/>
      <c r="M43" s="2434"/>
      <c r="N43" s="2435"/>
    </row>
    <row r="44" spans="1:14" x14ac:dyDescent="0.2">
      <c r="A44" s="2006"/>
      <c r="B44" s="2007"/>
      <c r="C44" s="2007"/>
      <c r="D44" s="2007"/>
      <c r="E44" s="2007"/>
      <c r="F44" s="2007"/>
      <c r="G44" s="2007"/>
      <c r="H44" s="2007"/>
      <c r="I44" s="2007"/>
      <c r="J44" s="2007"/>
      <c r="K44" s="2007"/>
      <c r="L44" s="2007"/>
      <c r="M44" s="2007"/>
      <c r="N44" s="2008"/>
    </row>
    <row r="45" spans="1:14" x14ac:dyDescent="0.2">
      <c r="A45" s="2006" t="s">
        <v>2060</v>
      </c>
      <c r="B45" s="2007"/>
      <c r="C45" s="2007"/>
      <c r="D45" s="2007"/>
      <c r="E45" s="2007"/>
      <c r="F45" s="2007"/>
      <c r="G45" s="2007"/>
      <c r="H45" s="2007"/>
      <c r="I45" s="2007"/>
      <c r="J45" s="2007"/>
      <c r="K45" s="2007"/>
      <c r="L45" s="2007"/>
      <c r="M45" s="2007"/>
      <c r="N45" s="2008"/>
    </row>
    <row r="46" spans="1:14" x14ac:dyDescent="0.2">
      <c r="A46" s="2436" t="s">
        <v>2061</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2009"/>
      <c r="B48" s="2007"/>
      <c r="C48" s="2007"/>
      <c r="D48" s="2010"/>
      <c r="E48" s="2010"/>
      <c r="F48" s="2010"/>
      <c r="G48" s="2010"/>
      <c r="H48" s="2010"/>
      <c r="I48" s="2010"/>
      <c r="J48" s="2010"/>
      <c r="K48" s="2010"/>
      <c r="L48" s="2010"/>
      <c r="M48" s="2010"/>
      <c r="N48" s="2011"/>
    </row>
    <row r="49" spans="1:14" ht="15.75" x14ac:dyDescent="0.25">
      <c r="A49" s="2012" t="s">
        <v>2062</v>
      </c>
      <c r="B49" s="2013"/>
      <c r="C49" s="2013"/>
      <c r="D49" s="2014"/>
      <c r="E49" s="2014"/>
      <c r="F49" s="2014"/>
      <c r="G49" s="2014"/>
      <c r="H49" s="2014"/>
      <c r="I49" s="2014"/>
      <c r="J49" s="2014"/>
      <c r="K49" s="2014"/>
      <c r="L49" s="2014"/>
      <c r="M49" s="2014"/>
      <c r="N49" s="2015"/>
    </row>
    <row r="50" spans="1:14" ht="15" x14ac:dyDescent="0.25">
      <c r="A50" s="2012" t="s">
        <v>2063</v>
      </c>
      <c r="B50" s="2007"/>
      <c r="C50" s="2007"/>
      <c r="D50" s="2007"/>
      <c r="E50" s="2007"/>
      <c r="F50" s="2007"/>
      <c r="G50" s="2007"/>
      <c r="H50" s="2007"/>
      <c r="I50" s="2007"/>
      <c r="J50" s="2007"/>
      <c r="K50" s="2007"/>
      <c r="L50" s="2007"/>
      <c r="M50" s="2007"/>
      <c r="N50" s="2008"/>
    </row>
    <row r="51" spans="1:14" x14ac:dyDescent="0.2">
      <c r="A51" s="2006"/>
      <c r="B51" s="2007"/>
      <c r="C51" s="2007"/>
      <c r="D51" s="2007"/>
      <c r="E51" s="2007"/>
      <c r="F51" s="2007"/>
      <c r="G51" s="2007"/>
      <c r="H51" s="2007"/>
      <c r="I51" s="2007"/>
      <c r="J51" s="2007"/>
      <c r="K51" s="2007"/>
      <c r="L51" s="2007"/>
      <c r="M51" s="2007"/>
      <c r="N51" s="2008"/>
    </row>
    <row r="52" spans="1:14" x14ac:dyDescent="0.2">
      <c r="A52" s="2006"/>
      <c r="B52" s="2007"/>
      <c r="C52" s="2007"/>
      <c r="D52" s="2007"/>
      <c r="E52" s="2007"/>
      <c r="F52" s="2007"/>
      <c r="G52" s="2007"/>
      <c r="H52" s="2007"/>
      <c r="I52" s="2007"/>
      <c r="J52" s="2007"/>
      <c r="K52" s="1941" t="s">
        <v>1021</v>
      </c>
      <c r="L52" s="2450" t="str">
        <f>J6</f>
        <v xml:space="preserve"> Flanagan-Cornell U 74</v>
      </c>
      <c r="M52" s="2450"/>
      <c r="N52" s="2451"/>
    </row>
    <row r="53" spans="1:14" x14ac:dyDescent="0.2">
      <c r="A53" s="2006"/>
      <c r="B53" s="2007"/>
      <c r="C53" s="2007"/>
      <c r="D53" s="2007"/>
      <c r="E53" s="2007"/>
      <c r="F53" s="2007"/>
      <c r="G53" s="2007"/>
      <c r="H53" s="2007"/>
      <c r="I53" s="2007"/>
      <c r="J53" s="2007"/>
      <c r="K53" s="1941" t="s">
        <v>369</v>
      </c>
      <c r="L53" s="2439">
        <f>J7</f>
        <v>17053074027</v>
      </c>
      <c r="M53" s="2439"/>
      <c r="N53" s="2440"/>
    </row>
    <row r="54" spans="1:14" ht="13.5" thickBot="1" x14ac:dyDescent="0.25">
      <c r="A54" s="2006"/>
      <c r="B54" s="2007"/>
      <c r="C54" s="2007"/>
      <c r="D54" s="2007"/>
      <c r="E54" s="2007"/>
      <c r="F54" s="2007"/>
      <c r="G54" s="2007"/>
      <c r="H54" s="2007"/>
      <c r="I54" s="2007"/>
      <c r="J54" s="2007"/>
      <c r="K54" s="2007"/>
      <c r="L54" s="2007"/>
      <c r="M54" s="2007"/>
      <c r="N54" s="2008"/>
    </row>
    <row r="55" spans="1:14" x14ac:dyDescent="0.2">
      <c r="A55" s="2441"/>
      <c r="B55" s="2442"/>
      <c r="C55" s="2442"/>
      <c r="D55" s="2016"/>
      <c r="E55" s="2016"/>
      <c r="F55" s="2016"/>
      <c r="G55" s="2443" t="s">
        <v>2064</v>
      </c>
      <c r="H55" s="2443"/>
      <c r="I55" s="2443"/>
      <c r="J55" s="2443"/>
      <c r="K55" s="2443"/>
      <c r="L55" s="2443"/>
      <c r="M55" s="2443"/>
      <c r="N55" s="2444"/>
    </row>
    <row r="56" spans="1:14" ht="63.75" x14ac:dyDescent="0.2">
      <c r="A56" s="2445" t="s">
        <v>2065</v>
      </c>
      <c r="B56" s="2446"/>
      <c r="C56" s="2447"/>
      <c r="D56" s="2017" t="s">
        <v>2066</v>
      </c>
      <c r="E56" s="2017" t="s">
        <v>2067</v>
      </c>
      <c r="F56" s="2018"/>
      <c r="G56" s="2017" t="s">
        <v>2068</v>
      </c>
      <c r="H56" s="2017" t="s">
        <v>2069</v>
      </c>
      <c r="I56" s="2017" t="s">
        <v>2070</v>
      </c>
      <c r="J56" s="2017" t="s">
        <v>2071</v>
      </c>
      <c r="K56" s="2017" t="s">
        <v>2072</v>
      </c>
      <c r="L56" s="2017" t="s">
        <v>2073</v>
      </c>
      <c r="M56" s="2017" t="s">
        <v>2074</v>
      </c>
      <c r="N56" s="2019" t="s">
        <v>2075</v>
      </c>
    </row>
    <row r="57" spans="1:14" ht="24" customHeight="1" x14ac:dyDescent="0.2">
      <c r="A57" s="2448" t="s">
        <v>296</v>
      </c>
      <c r="B57" s="2449"/>
      <c r="C57" s="2449"/>
      <c r="D57" s="2020">
        <v>2361</v>
      </c>
      <c r="E57" s="2021">
        <f>+'Expenditures 15-22'!K319</f>
        <v>0</v>
      </c>
      <c r="F57" s="2022"/>
      <c r="G57" s="2023"/>
      <c r="H57" s="2024"/>
      <c r="I57" s="2024"/>
      <c r="J57" s="2024"/>
      <c r="K57" s="2024"/>
      <c r="L57" s="2024"/>
      <c r="M57" s="2024"/>
      <c r="N57" s="2025">
        <f>IF((SUM(G57:M57))=E57,SUM(G57:M57),"Column N does not agree with Column E")</f>
        <v>0</v>
      </c>
    </row>
    <row r="58" spans="1:14" ht="24.75" customHeight="1" x14ac:dyDescent="0.2">
      <c r="A58" s="2428" t="s">
        <v>2076</v>
      </c>
      <c r="B58" s="2429"/>
      <c r="C58" s="2429"/>
      <c r="D58" s="2026">
        <v>2362</v>
      </c>
      <c r="E58" s="2021">
        <f>+'Expenditures 15-22'!K320</f>
        <v>0</v>
      </c>
      <c r="F58" s="2022"/>
      <c r="G58" s="2027"/>
      <c r="H58" s="2028"/>
      <c r="I58" s="2028"/>
      <c r="J58" s="2028"/>
      <c r="K58" s="2028"/>
      <c r="L58" s="2028"/>
      <c r="M58" s="2028"/>
      <c r="N58" s="2025">
        <f>IF((SUM(G58:M58))=E58,SUM(G58:M58),"Column N does not agree with Column E")</f>
        <v>0</v>
      </c>
    </row>
    <row r="59" spans="1:14" ht="24.75" customHeight="1" x14ac:dyDescent="0.2">
      <c r="A59" s="2421" t="s">
        <v>297</v>
      </c>
      <c r="B59" s="2422"/>
      <c r="C59" s="2422"/>
      <c r="D59" s="2026">
        <v>2363</v>
      </c>
      <c r="E59" s="2021">
        <f>+'Expenditures 15-22'!K321</f>
        <v>0</v>
      </c>
      <c r="F59" s="2022"/>
      <c r="G59" s="2027"/>
      <c r="H59" s="2028"/>
      <c r="I59" s="2028"/>
      <c r="J59" s="2028"/>
      <c r="K59" s="2028"/>
      <c r="L59" s="2028"/>
      <c r="M59" s="2028"/>
      <c r="N59" s="2025">
        <f t="shared" ref="N59:N67" si="3">IF((SUM(G59:M59))=E59,SUM(G59:M59),"Column N does not agree with Column E")</f>
        <v>0</v>
      </c>
    </row>
    <row r="60" spans="1:14" ht="24.75" customHeight="1" x14ac:dyDescent="0.2">
      <c r="A60" s="2421" t="s">
        <v>236</v>
      </c>
      <c r="B60" s="2422"/>
      <c r="C60" s="2422"/>
      <c r="D60" s="2026">
        <v>2364</v>
      </c>
      <c r="E60" s="2021">
        <f>+'Expenditures 15-22'!K322</f>
        <v>48904</v>
      </c>
      <c r="F60" s="2022"/>
      <c r="G60" s="2027"/>
      <c r="H60" s="2028"/>
      <c r="I60" s="2028"/>
      <c r="J60" s="2028"/>
      <c r="K60" s="2028"/>
      <c r="L60" s="2028"/>
      <c r="M60" s="2028">
        <v>48904</v>
      </c>
      <c r="N60" s="2025">
        <f t="shared" si="3"/>
        <v>48904</v>
      </c>
    </row>
    <row r="61" spans="1:14" ht="24.75" customHeight="1" x14ac:dyDescent="0.2">
      <c r="A61" s="2421" t="s">
        <v>697</v>
      </c>
      <c r="B61" s="2422"/>
      <c r="C61" s="2422"/>
      <c r="D61" s="2026">
        <v>2365</v>
      </c>
      <c r="E61" s="2021">
        <f>+'Expenditures 15-22'!K323</f>
        <v>0</v>
      </c>
      <c r="F61" s="2022"/>
      <c r="G61" s="2027"/>
      <c r="H61" s="2028"/>
      <c r="I61" s="2028"/>
      <c r="J61" s="2028"/>
      <c r="K61" s="2028"/>
      <c r="L61" s="2028"/>
      <c r="M61" s="2028"/>
      <c r="N61" s="2025">
        <f t="shared" si="3"/>
        <v>0</v>
      </c>
    </row>
    <row r="62" spans="1:14" ht="24.75" customHeight="1" x14ac:dyDescent="0.2">
      <c r="A62" s="2421" t="s">
        <v>237</v>
      </c>
      <c r="B62" s="2422"/>
      <c r="C62" s="2422"/>
      <c r="D62" s="2026">
        <v>2366</v>
      </c>
      <c r="E62" s="2021">
        <f>+'Expenditures 15-22'!K324</f>
        <v>0</v>
      </c>
      <c r="F62" s="2022"/>
      <c r="G62" s="2027"/>
      <c r="H62" s="2028"/>
      <c r="I62" s="2028"/>
      <c r="J62" s="2028"/>
      <c r="K62" s="2028"/>
      <c r="L62" s="2028"/>
      <c r="M62" s="2028"/>
      <c r="N62" s="2025">
        <f t="shared" si="3"/>
        <v>0</v>
      </c>
    </row>
    <row r="63" spans="1:14" ht="24.75" customHeight="1" x14ac:dyDescent="0.2">
      <c r="A63" s="2428" t="s">
        <v>1022</v>
      </c>
      <c r="B63" s="2429"/>
      <c r="C63" s="2429"/>
      <c r="D63" s="2026">
        <v>2367</v>
      </c>
      <c r="E63" s="2021">
        <f>+'Expenditures 15-22'!K325</f>
        <v>0</v>
      </c>
      <c r="F63" s="2022"/>
      <c r="G63" s="2027"/>
      <c r="H63" s="2028"/>
      <c r="I63" s="2028"/>
      <c r="J63" s="2028"/>
      <c r="K63" s="2028"/>
      <c r="L63" s="2028"/>
      <c r="M63" s="2028"/>
      <c r="N63" s="2025">
        <f t="shared" si="3"/>
        <v>0</v>
      </c>
    </row>
    <row r="64" spans="1:14" ht="24.75" customHeight="1" x14ac:dyDescent="0.2">
      <c r="A64" s="2421" t="s">
        <v>1023</v>
      </c>
      <c r="B64" s="2422"/>
      <c r="C64" s="2422"/>
      <c r="D64" s="2026">
        <v>2368</v>
      </c>
      <c r="E64" s="2021">
        <f>+'Expenditures 15-22'!K326</f>
        <v>0</v>
      </c>
      <c r="F64" s="2022"/>
      <c r="G64" s="2027"/>
      <c r="H64" s="2028"/>
      <c r="I64" s="2028"/>
      <c r="J64" s="2028"/>
      <c r="K64" s="2028"/>
      <c r="L64" s="2028"/>
      <c r="M64" s="2028"/>
      <c r="N64" s="2025">
        <f t="shared" si="3"/>
        <v>0</v>
      </c>
    </row>
    <row r="65" spans="1:14" ht="24" customHeight="1" x14ac:dyDescent="0.2">
      <c r="A65" s="2421" t="s">
        <v>965</v>
      </c>
      <c r="B65" s="2422"/>
      <c r="C65" s="2422"/>
      <c r="D65" s="2026">
        <v>2369</v>
      </c>
      <c r="E65" s="2021">
        <f>+'Expenditures 15-22'!K327</f>
        <v>0</v>
      </c>
      <c r="F65" s="2022"/>
      <c r="G65" s="2027"/>
      <c r="H65" s="2028"/>
      <c r="I65" s="2028"/>
      <c r="J65" s="2028"/>
      <c r="K65" s="2028"/>
      <c r="L65" s="2028"/>
      <c r="M65" s="2028"/>
      <c r="N65" s="2025">
        <f t="shared" si="3"/>
        <v>0</v>
      </c>
    </row>
    <row r="66" spans="1:14" ht="24.75" customHeight="1" x14ac:dyDescent="0.2">
      <c r="A66" s="2421" t="s">
        <v>469</v>
      </c>
      <c r="B66" s="2422"/>
      <c r="C66" s="2422"/>
      <c r="D66" s="2026">
        <v>2371</v>
      </c>
      <c r="E66" s="2021">
        <f>+'Expenditures 15-22'!K328</f>
        <v>107270</v>
      </c>
      <c r="F66" s="2022"/>
      <c r="G66" s="2027"/>
      <c r="H66" s="2028"/>
      <c r="I66" s="2028"/>
      <c r="J66" s="2028"/>
      <c r="K66" s="2028"/>
      <c r="L66" s="2028"/>
      <c r="M66" s="2028">
        <v>107270</v>
      </c>
      <c r="N66" s="2025">
        <f t="shared" si="3"/>
        <v>107270</v>
      </c>
    </row>
    <row r="67" spans="1:14" ht="24.75" customHeight="1" x14ac:dyDescent="0.2">
      <c r="A67" s="2423" t="s">
        <v>2077</v>
      </c>
      <c r="B67" s="2424"/>
      <c r="C67" s="2424"/>
      <c r="D67" s="2029">
        <v>2372</v>
      </c>
      <c r="E67" s="2021">
        <f>+'Expenditures 15-22'!K329</f>
        <v>0</v>
      </c>
      <c r="F67" s="2022"/>
      <c r="G67" s="2030"/>
      <c r="H67" s="2031"/>
      <c r="I67" s="2031"/>
      <c r="J67" s="2031"/>
      <c r="K67" s="2031"/>
      <c r="L67" s="2031"/>
      <c r="M67" s="2031"/>
      <c r="N67" s="2025">
        <f t="shared" si="3"/>
        <v>0</v>
      </c>
    </row>
    <row r="68" spans="1:14" x14ac:dyDescent="0.2">
      <c r="A68" s="2425" t="s">
        <v>1153</v>
      </c>
      <c r="B68" s="2426"/>
      <c r="C68" s="2426"/>
      <c r="D68" s="2016"/>
      <c r="E68" s="2032">
        <f>SUM(E57:E67)</f>
        <v>156174</v>
      </c>
      <c r="F68" s="2033"/>
      <c r="G68" s="2032">
        <f t="shared" ref="G68:N68" si="4">SUM(G57:G67)</f>
        <v>0</v>
      </c>
      <c r="H68" s="2032">
        <f t="shared" si="4"/>
        <v>0</v>
      </c>
      <c r="I68" s="2032">
        <f t="shared" si="4"/>
        <v>0</v>
      </c>
      <c r="J68" s="2032">
        <f t="shared" si="4"/>
        <v>0</v>
      </c>
      <c r="K68" s="2032">
        <f t="shared" si="4"/>
        <v>0</v>
      </c>
      <c r="L68" s="2032">
        <f t="shared" si="4"/>
        <v>0</v>
      </c>
      <c r="M68" s="2032">
        <f t="shared" si="4"/>
        <v>156174</v>
      </c>
      <c r="N68" s="2034">
        <f t="shared" si="4"/>
        <v>156174</v>
      </c>
    </row>
    <row r="69" spans="1:14" x14ac:dyDescent="0.2">
      <c r="A69" s="2035"/>
      <c r="B69" s="2036"/>
      <c r="C69" s="2036"/>
      <c r="D69" s="2036"/>
      <c r="E69" s="2036"/>
      <c r="F69" s="2036"/>
      <c r="G69" s="2036"/>
      <c r="H69" s="2037" t="s">
        <v>2078</v>
      </c>
      <c r="I69" s="2036"/>
      <c r="J69" s="2036"/>
      <c r="K69" s="2036"/>
      <c r="L69" s="2037" t="s">
        <v>2079</v>
      </c>
      <c r="M69" s="2036"/>
      <c r="N69" s="2038"/>
    </row>
    <row r="70" spans="1:14" ht="46.5" customHeight="1" x14ac:dyDescent="0.25">
      <c r="A70" s="2039" t="s">
        <v>2080</v>
      </c>
      <c r="B70" s="2036"/>
      <c r="C70" s="2036"/>
      <c r="D70" s="2036"/>
      <c r="E70" s="2036"/>
      <c r="F70" s="2036"/>
      <c r="G70" s="2036"/>
      <c r="H70" s="2427" t="s">
        <v>2081</v>
      </c>
      <c r="I70" s="2427"/>
      <c r="J70" s="2427"/>
      <c r="K70" s="2036"/>
      <c r="L70" s="2427" t="s">
        <v>2082</v>
      </c>
      <c r="M70" s="2427"/>
      <c r="N70" s="2432"/>
    </row>
    <row r="71" spans="1:14" ht="42.75" customHeight="1" x14ac:dyDescent="0.2">
      <c r="A71" s="2035"/>
      <c r="B71" s="2036"/>
      <c r="C71" s="2036"/>
      <c r="D71" s="2036"/>
      <c r="E71" s="2036"/>
      <c r="F71" s="2036"/>
      <c r="G71" s="2036"/>
      <c r="H71" s="2427" t="s">
        <v>2083</v>
      </c>
      <c r="I71" s="2427"/>
      <c r="J71" s="2427"/>
      <c r="K71" s="2036"/>
      <c r="L71" s="2430" t="s">
        <v>2084</v>
      </c>
      <c r="M71" s="2430"/>
      <c r="N71" s="2431"/>
    </row>
    <row r="72" spans="1:14" ht="52.5" customHeight="1" thickBot="1" x14ac:dyDescent="0.25">
      <c r="A72" s="2040"/>
      <c r="B72" s="2041"/>
      <c r="C72" s="2041"/>
      <c r="D72" s="2041"/>
      <c r="E72" s="2041"/>
      <c r="F72" s="2041"/>
      <c r="G72" s="2041"/>
      <c r="H72" s="2420" t="s">
        <v>2085</v>
      </c>
      <c r="I72" s="2420"/>
      <c r="J72" s="2420"/>
      <c r="K72" s="2041"/>
      <c r="L72" s="2041"/>
      <c r="M72" s="2041"/>
      <c r="N72" s="2042"/>
    </row>
  </sheetData>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L70:N70"/>
    <mergeCell ref="H72:J72"/>
    <mergeCell ref="A65:C65"/>
    <mergeCell ref="A66:C66"/>
    <mergeCell ref="A67:C67"/>
    <mergeCell ref="A68:C68"/>
    <mergeCell ref="H70:J70"/>
  </mergeCells>
  <dataValidations count="9">
    <dataValidation allowBlank="1" showInputMessage="1" showErrorMessage="1" prompt="Link cell K319 from &quot;Expenditures 15-22&quot; tab" sqref="E57:E67"/>
    <dataValidation allowBlank="1" showInputMessage="1" showErrorMessage="1" prompt="Link cell K122 from &quot;Expenditures 15-22&quot; tab" sqref="F15"/>
    <dataValidation allowBlank="1" showInputMessage="1" showErrorMessage="1" prompt="Link cell K67 from &quot;Expenditures 15-22&quot; tab" sqref="E17"/>
    <dataValidation allowBlank="1" showInputMessage="1" showErrorMessage="1" prompt="Link cell K64 from &quot;Expenditures 15-22&quot; tab" sqref="E16"/>
    <dataValidation allowBlank="1" showInputMessage="1" showErrorMessage="1" prompt="Link cell K59 from &quot;Expenditures 15-22&quot; tab" sqref="E15"/>
    <dataValidation allowBlank="1" showInputMessage="1" showErrorMessage="1" prompt="Link cell K56 from &quot;Expenditures 15-22&quot; tab" sqref="E14"/>
    <dataValidation allowBlank="1" showInputMessage="1" showErrorMessage="1" prompt="Link cell K50 from &quot;Expenditures 15-22&quot; tab " sqref="E12:E13"/>
    <dataValidation allowBlank="1" showInputMessage="1" showErrorMessage="1" prompt="Link cell A13 from &quot;Cover&quot; tab" sqref="J7:L7"/>
    <dataValidation allowBlank="1" showInputMessage="1" showErrorMessage="1" prompt="Link cell A17 from &quot;Cover&quot; tab" sqref="J6:L6"/>
  </dataValidations>
  <pageMargins left="0.7" right="0.28000000000000003" top="0.75" bottom="0.36" header="0.47" footer="0.3"/>
  <pageSetup paperSize="9" scale="57" orientation="portrait" r:id="rId1"/>
  <headerFooter>
    <oddHeader xml:space="preserve">&amp;LPage 32&amp;RPage 32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Flanagan-Cornell U 74</v>
      </c>
    </row>
    <row r="65" spans="2:2" x14ac:dyDescent="0.2">
      <c r="B65" s="849">
        <f>COVER!A13</f>
        <v>17053074027</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5" t="s">
        <v>1668</v>
      </c>
      <c r="B18" s="2475"/>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5057" r:id="rId4">
          <objectPr defaultSize="0" r:id="rId5">
            <anchor moveWithCells="1">
              <from>
                <xdr:col>0</xdr:col>
                <xdr:colOff>0</xdr:colOff>
                <xdr:row>0</xdr:row>
                <xdr:rowOff>0</xdr:rowOff>
              </from>
              <to>
                <xdr:col>1</xdr:col>
                <xdr:colOff>809625</xdr:colOff>
                <xdr:row>3</xdr:row>
                <xdr:rowOff>28575</xdr:rowOff>
              </to>
            </anchor>
          </objectPr>
        </oleObject>
      </mc:Choice>
      <mc:Fallback>
        <oleObject progId="Packager Shell Objec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1975</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3651947</v>
      </c>
      <c r="C8" s="1813">
        <f>'Acct Summary 7-8'!D8</f>
        <v>341515</v>
      </c>
      <c r="D8" s="1813">
        <f>'Acct Summary 7-8'!F8</f>
        <v>779767</v>
      </c>
      <c r="E8" s="1813">
        <f>'Acct Summary 7-8'!I8</f>
        <v>37511</v>
      </c>
      <c r="F8" s="1813">
        <f>SUM(B8:E8)</f>
        <v>4810740</v>
      </c>
    </row>
    <row r="9" spans="1:8" s="858" customFormat="1" ht="14.25" customHeight="1" thickBot="1" x14ac:dyDescent="0.25">
      <c r="A9" s="857" t="s">
        <v>1355</v>
      </c>
      <c r="B9" s="1814">
        <f>'Acct Summary 7-8'!C17</f>
        <v>3764322</v>
      </c>
      <c r="C9" s="1814">
        <f>'Acct Summary 7-8'!D17</f>
        <v>327020</v>
      </c>
      <c r="D9" s="1814">
        <f>'Acct Summary 7-8'!F17</f>
        <v>389009</v>
      </c>
      <c r="E9" s="1813"/>
      <c r="F9" s="1813">
        <f>SUM(B9:E9)</f>
        <v>4480351</v>
      </c>
    </row>
    <row r="10" spans="1:8" s="858" customFormat="1" ht="14.25" thickTop="1" thickBot="1" x14ac:dyDescent="0.25">
      <c r="A10" s="859" t="s">
        <v>1356</v>
      </c>
      <c r="B10" s="1815">
        <f>(B8-B9)</f>
        <v>-112375</v>
      </c>
      <c r="C10" s="1815">
        <f>(C8-C9)</f>
        <v>14495</v>
      </c>
      <c r="D10" s="1815">
        <f>(D8-D9)</f>
        <v>390758</v>
      </c>
      <c r="E10" s="1814">
        <f>(E8-E9)</f>
        <v>37511</v>
      </c>
      <c r="F10" s="1816">
        <f>SUM(F8-F9)</f>
        <v>330389</v>
      </c>
    </row>
    <row r="11" spans="1:8" s="858" customFormat="1" ht="14.25" thickTop="1" thickBot="1" x14ac:dyDescent="0.25">
      <c r="A11" s="860" t="s">
        <v>1906</v>
      </c>
      <c r="B11" s="1817">
        <f>'Acct Summary 7-8'!C81</f>
        <v>1102115</v>
      </c>
      <c r="C11" s="1817">
        <f>'Acct Summary 7-8'!D81</f>
        <v>474851</v>
      </c>
      <c r="D11" s="1817">
        <f>'Acct Summary 7-8'!F81</f>
        <v>1010636</v>
      </c>
      <c r="E11" s="1817">
        <f>'Acct Summary 7-8'!I81</f>
        <v>25435</v>
      </c>
      <c r="F11" s="1818">
        <f>SUM(B11:E11)</f>
        <v>2613037</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50" colorId="8" zoomScale="110" zoomScaleNormal="110" workbookViewId="0">
      <selection activeCell="C59" sqref="C59"/>
    </sheetView>
  </sheetViews>
  <sheetFormatPr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5" t="s">
        <v>311</v>
      </c>
      <c r="D21" s="2516"/>
    </row>
    <row r="22" spans="1:10" ht="12.75" x14ac:dyDescent="0.2">
      <c r="A22" s="918"/>
      <c r="B22" s="919">
        <v>2</v>
      </c>
      <c r="C22" s="2514" t="s">
        <v>1510</v>
      </c>
      <c r="D22" s="231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900"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f>COVER!A13</f>
        <v>17053074027</v>
      </c>
      <c r="E2" s="1542">
        <v>2020</v>
      </c>
      <c r="F2" s="1542">
        <v>1</v>
      </c>
      <c r="G2" s="1898">
        <v>101000300</v>
      </c>
    </row>
    <row r="3" spans="1:7" ht="15" x14ac:dyDescent="0.25">
      <c r="A3" t="s">
        <v>950</v>
      </c>
      <c r="B3" s="135" t="str">
        <f>COVER!A15</f>
        <v>Livingston</v>
      </c>
      <c r="E3" s="1830" t="s">
        <v>1974</v>
      </c>
      <c r="F3" s="1830" t="s">
        <v>1973</v>
      </c>
      <c r="G3" s="1898">
        <v>101000400</v>
      </c>
    </row>
    <row r="4" spans="1:7" ht="15" x14ac:dyDescent="0.25">
      <c r="A4" t="s">
        <v>1000</v>
      </c>
      <c r="B4" s="135" t="str">
        <f>COVER!A17</f>
        <v xml:space="preserve"> Flanagan-Cornell U 74</v>
      </c>
      <c r="E4" s="1828">
        <v>44119</v>
      </c>
      <c r="F4" s="1829">
        <v>44151</v>
      </c>
      <c r="G4" s="1898">
        <v>101000600</v>
      </c>
    </row>
    <row r="5" spans="1:7" ht="15" x14ac:dyDescent="0.25">
      <c r="A5" t="s">
        <v>699</v>
      </c>
      <c r="B5" s="135" t="str">
        <f>COVER!A38</f>
        <v>Jerry Farris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066-004933</v>
      </c>
      <c r="G15" s="1898">
        <v>402100400</v>
      </c>
    </row>
    <row r="16" spans="1:7" ht="15" x14ac:dyDescent="0.25">
      <c r="A16" t="s">
        <v>419</v>
      </c>
      <c r="B16" s="135" t="str">
        <f>COVER!T13</f>
        <v>PHILLIPS &amp; ASSOCIATES CPAS PC</v>
      </c>
      <c r="G16" s="1898">
        <v>402100600</v>
      </c>
    </row>
    <row r="17" spans="1:7" ht="15" x14ac:dyDescent="0.25">
      <c r="A17" t="s">
        <v>878</v>
      </c>
      <c r="B17" s="135" t="str">
        <f>COVER!T15</f>
        <v>RICHARD W PHILLIPS</v>
      </c>
      <c r="G17" s="1898">
        <v>402100800</v>
      </c>
    </row>
    <row r="18" spans="1:7" ht="15" x14ac:dyDescent="0.25">
      <c r="A18" t="s">
        <v>1142</v>
      </c>
      <c r="B18" s="135" t="str">
        <f>COVER!T17</f>
        <v>1600 HUNT DR, STE B</v>
      </c>
      <c r="G18" s="1898">
        <v>102200300</v>
      </c>
    </row>
    <row r="19" spans="1:7" ht="15" x14ac:dyDescent="0.25">
      <c r="A19" t="s">
        <v>880</v>
      </c>
      <c r="B19" s="135" t="str">
        <f>COVER!T25</f>
        <v>RWP6505@AOL.COM</v>
      </c>
      <c r="G19" s="1898">
        <v>102200400</v>
      </c>
    </row>
    <row r="20" spans="1:7" ht="15" x14ac:dyDescent="0.25">
      <c r="A20" t="s">
        <v>881</v>
      </c>
      <c r="B20" s="135" t="str">
        <f>COVER!T19</f>
        <v>NORMAL</v>
      </c>
      <c r="G20" s="1898">
        <v>102200600</v>
      </c>
    </row>
    <row r="21" spans="1:7" ht="15" x14ac:dyDescent="0.25">
      <c r="A21" t="s">
        <v>476</v>
      </c>
      <c r="B21" s="135" t="str">
        <f>COVER!X19</f>
        <v>IL</v>
      </c>
      <c r="G21" s="1898">
        <v>102200800</v>
      </c>
    </row>
    <row r="22" spans="1:7" ht="15" x14ac:dyDescent="0.25">
      <c r="A22" t="s">
        <v>882</v>
      </c>
      <c r="B22" s="135">
        <f>COVER!Z19</f>
        <v>61761</v>
      </c>
      <c r="G22" s="1898">
        <v>102300300</v>
      </c>
    </row>
    <row r="23" spans="1:7" ht="15" x14ac:dyDescent="0.25">
      <c r="A23" t="s">
        <v>1144</v>
      </c>
      <c r="B23" s="135">
        <f>COVER!T21</f>
        <v>3094522417</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0</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45940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1094957</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-7158</v>
      </c>
      <c r="C91" s="2" t="s">
        <v>569</v>
      </c>
      <c r="D91" s="2" t="str">
        <f t="shared" si="0"/>
        <v>Error?</v>
      </c>
      <c r="G91" s="1898">
        <v>102640400</v>
      </c>
    </row>
    <row r="92" spans="1:7" ht="15" x14ac:dyDescent="0.25">
      <c r="A92" s="5">
        <v>31</v>
      </c>
      <c r="B92" s="1832">
        <f>'Assets-Liab 5-6'!C39</f>
        <v>1102115</v>
      </c>
      <c r="D92" s="2" t="str">
        <f t="shared" si="0"/>
        <v>Error?</v>
      </c>
      <c r="G92" s="1898">
        <v>102640600</v>
      </c>
    </row>
    <row r="93" spans="1:7" ht="15" x14ac:dyDescent="0.25">
      <c r="A93" s="5">
        <v>32</v>
      </c>
      <c r="B93" s="1832">
        <f>'Assets-Liab 5-6'!C41</f>
        <v>1094957</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158485</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474851</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474851</v>
      </c>
      <c r="D123" s="2" t="str">
        <f t="shared" si="0"/>
        <v>Error?</v>
      </c>
      <c r="G123" s="1898">
        <v>203000400</v>
      </c>
    </row>
    <row r="124" spans="1:7" ht="15" x14ac:dyDescent="0.25">
      <c r="A124" s="5">
        <v>63</v>
      </c>
      <c r="B124" s="1832">
        <f>'Assets-Liab 5-6'!D41</f>
        <v>474851</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26552</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187227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187227</v>
      </c>
      <c r="D140" s="2" t="str">
        <f t="shared" si="1"/>
        <v>Error?</v>
      </c>
    </row>
    <row r="141" spans="1:7" x14ac:dyDescent="0.2">
      <c r="A141" s="5">
        <v>80</v>
      </c>
      <c r="B141" s="1832">
        <f>'Assets-Liab 5-6'!E41</f>
        <v>187227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46635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1010636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1010636</v>
      </c>
      <c r="D170" s="2" t="str">
        <f t="shared" si="1"/>
        <v>Error?</v>
      </c>
    </row>
    <row r="171" spans="1:4" x14ac:dyDescent="0.2">
      <c r="A171" s="5">
        <v>110</v>
      </c>
      <c r="B171" s="1832">
        <f>'Assets-Liab 5-6'!F41</f>
        <v>1010636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13742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57992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57992</v>
      </c>
      <c r="D189" s="2" t="str">
        <f t="shared" si="1"/>
        <v>Error?</v>
      </c>
    </row>
    <row r="190" spans="1:4" x14ac:dyDescent="0.2">
      <c r="A190" s="5">
        <v>129</v>
      </c>
      <c r="B190" s="1832">
        <f>'Assets-Liab 5-6'!G41</f>
        <v>57992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69631</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331224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156515</v>
      </c>
      <c r="D212" s="2" t="str">
        <f t="shared" si="2"/>
        <v>Error?</v>
      </c>
    </row>
    <row r="213" spans="1:4" x14ac:dyDescent="0.2">
      <c r="A213" s="12">
        <v>152</v>
      </c>
      <c r="B213" s="1832">
        <f>'Assets-Liab 5-6'!H41</f>
        <v>331224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32340</v>
      </c>
      <c r="D273" s="2" t="str">
        <f t="shared" si="3"/>
        <v>Error?</v>
      </c>
    </row>
    <row r="274" spans="1:4" x14ac:dyDescent="0.2">
      <c r="A274" s="5">
        <v>213</v>
      </c>
      <c r="B274" s="1832">
        <f>'Assets-Liab 5-6'!M17</f>
        <v>3028448</v>
      </c>
      <c r="D274" s="2" t="str">
        <f t="shared" si="3"/>
        <v>Error?</v>
      </c>
    </row>
    <row r="275" spans="1:4" x14ac:dyDescent="0.2">
      <c r="A275" s="5">
        <v>214</v>
      </c>
      <c r="B275" s="1832">
        <f>'Assets-Liab 5-6'!M18</f>
        <v>302906</v>
      </c>
      <c r="D275" s="2" t="str">
        <f t="shared" si="3"/>
        <v>Error?</v>
      </c>
    </row>
    <row r="276" spans="1:4" x14ac:dyDescent="0.2">
      <c r="A276" s="5">
        <v>215</v>
      </c>
      <c r="B276" s="1832">
        <f>'Assets-Liab 5-6'!M19</f>
        <v>2496116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5859810</v>
      </c>
      <c r="C279" s="2" t="s">
        <v>569</v>
      </c>
      <c r="D279" s="2" t="str">
        <f t="shared" si="3"/>
        <v>Error?</v>
      </c>
    </row>
    <row r="280" spans="1:4" x14ac:dyDescent="0.2">
      <c r="A280" s="5">
        <v>219</v>
      </c>
      <c r="B280" s="1832">
        <f>'Assets-Liab 5-6'!M40</f>
        <v>5859810</v>
      </c>
      <c r="D280" s="2" t="str">
        <f t="shared" si="3"/>
        <v>Error?</v>
      </c>
    </row>
    <row r="281" spans="1:4" x14ac:dyDescent="0.2">
      <c r="A281" s="5">
        <v>220</v>
      </c>
      <c r="B281" s="1832">
        <f>'Assets-Liab 5-6'!M41</f>
        <v>5859810</v>
      </c>
      <c r="C281" s="2" t="s">
        <v>569</v>
      </c>
      <c r="D281" s="2" t="str">
        <f t="shared" si="3"/>
        <v>Error?</v>
      </c>
    </row>
    <row r="282" spans="1:4" x14ac:dyDescent="0.2">
      <c r="A282" s="5">
        <v>221</v>
      </c>
      <c r="B282" s="1832">
        <f>'Assets-Liab 5-6'!N21</f>
        <v>187227</v>
      </c>
      <c r="D282" s="2" t="str">
        <f t="shared" si="3"/>
        <v>Error?</v>
      </c>
    </row>
    <row r="283" spans="1:4" x14ac:dyDescent="0.2">
      <c r="A283" s="5">
        <v>222</v>
      </c>
      <c r="B283" s="1832">
        <f>'Assets-Liab 5-6'!N22</f>
        <v>481054</v>
      </c>
      <c r="D283" s="2" t="str">
        <f t="shared" si="3"/>
        <v>Error?</v>
      </c>
    </row>
    <row r="284" spans="1:4" x14ac:dyDescent="0.2">
      <c r="A284" s="5">
        <v>223</v>
      </c>
      <c r="B284" s="1832">
        <f>'Assets-Liab 5-6'!N23</f>
        <v>668281</v>
      </c>
      <c r="C284" s="2" t="s">
        <v>569</v>
      </c>
      <c r="D284" s="2" t="str">
        <f t="shared" si="3"/>
        <v>Error?</v>
      </c>
    </row>
    <row r="285" spans="1:4" x14ac:dyDescent="0.2">
      <c r="A285" s="5">
        <v>224</v>
      </c>
      <c r="B285" s="1832">
        <f>'Assets-Liab 5-6'!N36</f>
        <v>668281</v>
      </c>
      <c r="D285" s="2" t="str">
        <f t="shared" si="3"/>
        <v>Error?</v>
      </c>
    </row>
    <row r="286" spans="1:4" x14ac:dyDescent="0.2">
      <c r="A286" s="10">
        <v>225</v>
      </c>
      <c r="B286" s="1832"/>
      <c r="D286" s="2" t="str">
        <f t="shared" si="3"/>
        <v>OK</v>
      </c>
    </row>
    <row r="287" spans="1:4" x14ac:dyDescent="0.2">
      <c r="A287" s="5">
        <v>226</v>
      </c>
      <c r="B287" s="1832">
        <f>'Assets-Liab 5-6'!N37</f>
        <v>668281</v>
      </c>
      <c r="C287" s="2" t="s">
        <v>569</v>
      </c>
      <c r="D287" s="2" t="str">
        <f t="shared" si="3"/>
        <v>Error?</v>
      </c>
    </row>
    <row r="288" spans="1:4" x14ac:dyDescent="0.2">
      <c r="A288" s="5">
        <v>227</v>
      </c>
      <c r="B288" s="1832">
        <f>'Assets-Liab 5-6'!N41</f>
        <v>668281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1302185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62865</v>
      </c>
      <c r="D717" s="2" t="str">
        <f t="shared" si="10"/>
        <v>Error?</v>
      </c>
    </row>
    <row r="718" spans="1:4" x14ac:dyDescent="0.2">
      <c r="A718" s="5">
        <v>657</v>
      </c>
      <c r="B718" s="1832">
        <f>'Expenditures 15-22'!C14</f>
        <v>105197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2076814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56910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56910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58119</v>
      </c>
      <c r="D729" s="2" t="str">
        <f t="shared" si="10"/>
        <v>Error?</v>
      </c>
    </row>
    <row r="730" spans="1:4" x14ac:dyDescent="0.2">
      <c r="A730" s="5">
        <v>669</v>
      </c>
      <c r="B730" s="1832">
        <f>'Expenditures 15-22'!C46</f>
        <v>1000</v>
      </c>
      <c r="D730" s="2" t="str">
        <f t="shared" si="10"/>
        <v>Error?</v>
      </c>
    </row>
    <row r="731" spans="1:4" x14ac:dyDescent="0.2">
      <c r="A731" s="5">
        <v>670</v>
      </c>
      <c r="B731" s="1832">
        <f>'Expenditures 15-22'!C47</f>
        <v>59119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74800</v>
      </c>
      <c r="D733" s="2" t="str">
        <f t="shared" si="10"/>
        <v>Error?</v>
      </c>
    </row>
    <row r="734" spans="1:4" x14ac:dyDescent="0.2">
      <c r="A734" s="5">
        <v>673</v>
      </c>
      <c r="B734" s="1832">
        <f>'Expenditures 15-22'!C53</f>
        <v>74800</v>
      </c>
      <c r="C734" s="2" t="s">
        <v>569</v>
      </c>
      <c r="D734" s="2" t="str">
        <f t="shared" si="10"/>
        <v>Error?</v>
      </c>
    </row>
    <row r="735" spans="1:4" x14ac:dyDescent="0.2">
      <c r="A735" s="5">
        <v>674</v>
      </c>
      <c r="B735" s="1832">
        <f>'Expenditures 15-22'!C55</f>
        <v>213327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213327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57846</v>
      </c>
      <c r="D739" s="2" t="str">
        <f t="shared" si="10"/>
        <v>Error?</v>
      </c>
    </row>
    <row r="740" spans="1:4" x14ac:dyDescent="0.2">
      <c r="A740" s="5">
        <v>679</v>
      </c>
      <c r="B740" s="1832">
        <f>'Expenditures 15-22'!C61</f>
        <v>3672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75217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136735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540891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2617705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226439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9422</v>
      </c>
      <c r="D775" s="2" t="str">
        <f t="shared" si="11"/>
        <v>Error?</v>
      </c>
    </row>
    <row r="776" spans="1:4" x14ac:dyDescent="0.2">
      <c r="A776" s="5">
        <v>715</v>
      </c>
      <c r="B776" s="1832">
        <f>'Expenditures 15-22'!D14</f>
        <v>14825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340279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9804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9804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5954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5954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23770</v>
      </c>
      <c r="D791" s="2" t="str">
        <f t="shared" si="11"/>
        <v>Error?</v>
      </c>
    </row>
    <row r="792" spans="1:4" x14ac:dyDescent="0.2">
      <c r="A792" s="5">
        <v>731</v>
      </c>
      <c r="B792" s="1832">
        <f>'Expenditures 15-22'!D53</f>
        <v>23770</v>
      </c>
      <c r="C792" s="2" t="s">
        <v>569</v>
      </c>
      <c r="D792" s="2" t="str">
        <f t="shared" si="11"/>
        <v>Error?</v>
      </c>
    </row>
    <row r="793" spans="1:4" x14ac:dyDescent="0.2">
      <c r="A793" s="5">
        <v>732</v>
      </c>
      <c r="B793" s="1832">
        <f>'Expenditures 15-22'!D55</f>
        <v>34735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34735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10406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10441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84704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424983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113546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2812</v>
      </c>
      <c r="D833" s="2" t="str">
        <f t="shared" si="12"/>
        <v>Error?</v>
      </c>
    </row>
    <row r="834" spans="1:4" x14ac:dyDescent="0.2">
      <c r="A834" s="5">
        <v>773</v>
      </c>
      <c r="B834" s="1832">
        <f>'Expenditures 15-22'!E14</f>
        <v>55184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196466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882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882</v>
      </c>
      <c r="C847" s="2" t="s">
        <v>569</v>
      </c>
      <c r="D847" s="2" t="str">
        <f t="shared" si="12"/>
        <v>Error?</v>
      </c>
    </row>
    <row r="848" spans="1:4" x14ac:dyDescent="0.2">
      <c r="A848" s="5">
        <v>787</v>
      </c>
      <c r="B848" s="1832">
        <f>'Expenditures 15-22'!E49</f>
        <v>20506</v>
      </c>
      <c r="D848" s="2" t="str">
        <f t="shared" si="12"/>
        <v>Error?</v>
      </c>
    </row>
    <row r="849" spans="1:4" x14ac:dyDescent="0.2">
      <c r="A849" s="5">
        <v>788</v>
      </c>
      <c r="B849" s="1832">
        <f>'Expenditures 15-22'!E50</f>
        <v>3323</v>
      </c>
      <c r="D849" s="2" t="str">
        <f t="shared" si="12"/>
        <v>Error?</v>
      </c>
    </row>
    <row r="850" spans="1:4" x14ac:dyDescent="0.2">
      <c r="A850" s="5">
        <v>789</v>
      </c>
      <c r="B850" s="1832">
        <f>'Expenditures 15-22'!E53</f>
        <v>23829</v>
      </c>
      <c r="C850" s="2" t="s">
        <v>569</v>
      </c>
      <c r="D850" s="2" t="str">
        <f t="shared" si="12"/>
        <v>Error?</v>
      </c>
    </row>
    <row r="851" spans="1:4" x14ac:dyDescent="0.2">
      <c r="A851" s="5">
        <v>790</v>
      </c>
      <c r="B851" s="1832">
        <f>'Expenditures 15-22'!E55</f>
        <v>5233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5233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15159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3396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18555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48499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267587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48321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2118</v>
      </c>
      <c r="D891" s="2" t="str">
        <f t="shared" si="12"/>
        <v>Error?</v>
      </c>
    </row>
    <row r="892" spans="1:4" x14ac:dyDescent="0.2">
      <c r="A892" s="5">
        <v>831</v>
      </c>
      <c r="B892" s="1832">
        <f>'Expenditures 15-22'!F14</f>
        <v>26062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103688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3104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3104</v>
      </c>
      <c r="C905" s="2" t="s">
        <v>569</v>
      </c>
      <c r="D905" s="2" t="str">
        <f t="shared" si="13"/>
        <v>Error?</v>
      </c>
    </row>
    <row r="906" spans="1:4" x14ac:dyDescent="0.2">
      <c r="A906" s="5">
        <v>845</v>
      </c>
      <c r="B906" s="1832">
        <f>'Expenditures 15-22'!F49</f>
        <v>3835</v>
      </c>
      <c r="D906" s="2" t="str">
        <f t="shared" si="13"/>
        <v>Error?</v>
      </c>
    </row>
    <row r="907" spans="1:4" x14ac:dyDescent="0.2">
      <c r="A907" s="5">
        <v>846</v>
      </c>
      <c r="B907" s="1832">
        <f>'Expenditures 15-22'!F50</f>
        <v>783</v>
      </c>
      <c r="D907" s="2" t="str">
        <f t="shared" si="13"/>
        <v>Error?</v>
      </c>
    </row>
    <row r="908" spans="1:4" x14ac:dyDescent="0.2">
      <c r="A908" s="5">
        <v>847</v>
      </c>
      <c r="B908" s="1832">
        <f>'Expenditures 15-22'!F53</f>
        <v>4618</v>
      </c>
      <c r="C908" s="2" t="s">
        <v>569</v>
      </c>
      <c r="D908" s="2" t="str">
        <f t="shared" si="13"/>
        <v>Error?</v>
      </c>
    </row>
    <row r="909" spans="1:4" x14ac:dyDescent="0.2">
      <c r="A909" s="5">
        <v>848</v>
      </c>
      <c r="B909" s="1832">
        <f>'Expenditures 15-22'!F55</f>
        <v>3116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3116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2308</v>
      </c>
      <c r="D913" s="2" t="str">
        <f t="shared" si="13"/>
        <v>Error?</v>
      </c>
    </row>
    <row r="914" spans="1:4" x14ac:dyDescent="0.2">
      <c r="A914" s="5">
        <v>853</v>
      </c>
      <c r="B914" s="1832">
        <f>'Expenditures 15-22'!F61</f>
        <v>3488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54680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60476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71418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175106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9906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9906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3458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3458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3458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13364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4963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335</v>
      </c>
      <c r="D1007" s="2" t="str">
        <f t="shared" si="14"/>
        <v>Error?</v>
      </c>
    </row>
    <row r="1008" spans="1:4" x14ac:dyDescent="0.2">
      <c r="A1008" s="5">
        <v>947</v>
      </c>
      <c r="B1008" s="1832">
        <f>'Expenditures 15-22'!H14</f>
        <v>136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5434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7709</v>
      </c>
      <c r="D1022" s="2" t="str">
        <f t="shared" si="14"/>
        <v>Error?</v>
      </c>
    </row>
    <row r="1023" spans="1:4" x14ac:dyDescent="0.2">
      <c r="A1023" s="5">
        <v>962</v>
      </c>
      <c r="B1023" s="1832">
        <f>'Expenditures 15-22'!H50</f>
        <v>2720</v>
      </c>
      <c r="D1023" s="2" t="str">
        <f t="shared" ref="D1023:D1086" si="15">IF(ISBLANK(B1023),"OK",IF(A1023-B1023=0,"OK","Error?"))</f>
        <v>Error?</v>
      </c>
    </row>
    <row r="1024" spans="1:4" x14ac:dyDescent="0.2">
      <c r="A1024" s="5">
        <v>963</v>
      </c>
      <c r="B1024" s="1832">
        <f>'Expenditures 15-22'!H53</f>
        <v>10429</v>
      </c>
      <c r="C1024" s="2" t="s">
        <v>569</v>
      </c>
      <c r="D1024" s="2" t="str">
        <f t="shared" si="15"/>
        <v>Error?</v>
      </c>
    </row>
    <row r="1025" spans="1:4" x14ac:dyDescent="0.2">
      <c r="A1025" s="5">
        <v>964</v>
      </c>
      <c r="B1025" s="1832">
        <f>'Expenditures 15-22'!H55</f>
        <v>1214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1214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11643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228304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245381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1705360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77552</v>
      </c>
      <c r="C1105" s="2" t="s">
        <v>569</v>
      </c>
      <c r="D1105" s="2" t="str">
        <f t="shared" si="16"/>
        <v>Error?</v>
      </c>
    </row>
    <row r="1106" spans="1:4" x14ac:dyDescent="0.2">
      <c r="A1106" s="5">
        <v>1045</v>
      </c>
      <c r="B1106" s="1832">
        <f>'Expenditures 15-22'!K14</f>
        <v>201404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2732587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66818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66818</v>
      </c>
      <c r="C1115" s="2" t="s">
        <v>569</v>
      </c>
      <c r="D1115" s="2" t="str">
        <f t="shared" si="16"/>
        <v>Error?</v>
      </c>
    </row>
    <row r="1116" spans="1:4" x14ac:dyDescent="0.2">
      <c r="A1116" s="5">
        <v>1055</v>
      </c>
      <c r="B1116" s="1832">
        <f>'Expenditures 15-22'!K44</f>
        <v>23654</v>
      </c>
      <c r="C1116" s="2" t="s">
        <v>569</v>
      </c>
      <c r="D1116" s="2" t="str">
        <f t="shared" si="16"/>
        <v>Error?</v>
      </c>
    </row>
    <row r="1117" spans="1:4" x14ac:dyDescent="0.2">
      <c r="A1117" s="5">
        <v>1056</v>
      </c>
      <c r="B1117" s="1832">
        <f>'Expenditures 15-22'!K45</f>
        <v>68059</v>
      </c>
      <c r="C1117" s="2" t="s">
        <v>569</v>
      </c>
      <c r="D1117" s="2" t="str">
        <f t="shared" si="16"/>
        <v>Error?</v>
      </c>
    </row>
    <row r="1118" spans="1:4" x14ac:dyDescent="0.2">
      <c r="A1118" s="5">
        <v>1057</v>
      </c>
      <c r="B1118" s="1832">
        <f>'Expenditures 15-22'!K46</f>
        <v>1000</v>
      </c>
      <c r="C1118" s="2" t="s">
        <v>569</v>
      </c>
      <c r="D1118" s="2" t="str">
        <f t="shared" si="16"/>
        <v>Error?</v>
      </c>
    </row>
    <row r="1119" spans="1:4" x14ac:dyDescent="0.2">
      <c r="A1119" s="5">
        <v>1058</v>
      </c>
      <c r="B1119" s="1832">
        <f>'Expenditures 15-22'!K47</f>
        <v>92713</v>
      </c>
      <c r="C1119" s="2" t="s">
        <v>569</v>
      </c>
      <c r="D1119" s="2" t="str">
        <f t="shared" si="16"/>
        <v>Error?</v>
      </c>
    </row>
    <row r="1120" spans="1:4" x14ac:dyDescent="0.2">
      <c r="A1120" s="5">
        <v>1059</v>
      </c>
      <c r="B1120" s="1832">
        <f>'Expenditures 15-22'!K49</f>
        <v>32050</v>
      </c>
      <c r="C1120" s="2" t="s">
        <v>569</v>
      </c>
      <c r="D1120" s="2" t="str">
        <f t="shared" si="16"/>
        <v>Error?</v>
      </c>
    </row>
    <row r="1121" spans="1:4" x14ac:dyDescent="0.2">
      <c r="A1121" s="5">
        <v>1060</v>
      </c>
      <c r="B1121" s="1832">
        <f>'Expenditures 15-22'!K50</f>
        <v>105396</v>
      </c>
      <c r="C1121" s="2" t="s">
        <v>569</v>
      </c>
      <c r="D1121" s="2" t="str">
        <f t="shared" si="16"/>
        <v>Error?</v>
      </c>
    </row>
    <row r="1122" spans="1:4" x14ac:dyDescent="0.2">
      <c r="A1122" s="5">
        <v>1061</v>
      </c>
      <c r="B1122" s="1832">
        <f>'Expenditures 15-22'!K53</f>
        <v>137446</v>
      </c>
      <c r="C1122" s="2" t="s">
        <v>569</v>
      </c>
      <c r="D1122" s="2" t="str">
        <f t="shared" si="16"/>
        <v>Error?</v>
      </c>
    </row>
    <row r="1123" spans="1:4" x14ac:dyDescent="0.2">
      <c r="A1123" s="5">
        <v>1062</v>
      </c>
      <c r="B1123" s="1832">
        <f>'Expenditures 15-22'!K55</f>
        <v>257625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257625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75348</v>
      </c>
      <c r="C1127" s="2" t="s">
        <v>569</v>
      </c>
      <c r="D1127" s="2" t="str">
        <f t="shared" si="16"/>
        <v>Error?</v>
      </c>
    </row>
    <row r="1128" spans="1:4" x14ac:dyDescent="0.2">
      <c r="A1128" s="5">
        <v>1067</v>
      </c>
      <c r="B1128" s="1832">
        <f>'Expenditures 15-22'!K61</f>
        <v>7160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143699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226207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780809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250926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3764322</v>
      </c>
      <c r="C1152" s="2" t="s">
        <v>569</v>
      </c>
      <c r="D1152" s="2" t="str">
        <f t="shared" si="17"/>
        <v>Error?</v>
      </c>
    </row>
    <row r="1153" spans="1:4" x14ac:dyDescent="0.2">
      <c r="A1153" s="5">
        <v>1092</v>
      </c>
      <c r="B1153" s="1832">
        <f>'Expenditures 15-22'!K115</f>
        <v>-112375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107488</v>
      </c>
      <c r="D1221" s="2" t="str">
        <f t="shared" si="18"/>
        <v>Error?</v>
      </c>
    </row>
    <row r="1222" spans="1:4" x14ac:dyDescent="0.2">
      <c r="A1222" s="10">
        <v>1161</v>
      </c>
      <c r="B1222" s="1832"/>
      <c r="D1222" s="2" t="str">
        <f t="shared" si="18"/>
        <v>OK</v>
      </c>
    </row>
    <row r="1223" spans="1:4" x14ac:dyDescent="0.2">
      <c r="A1223" s="5">
        <v>1162</v>
      </c>
      <c r="B1223" s="1832">
        <f>'Expenditures 15-22'!C127</f>
        <v>107488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107488</v>
      </c>
      <c r="C1225" s="2" t="s">
        <v>569</v>
      </c>
      <c r="D1225" s="2" t="str">
        <f t="shared" si="18"/>
        <v>Error?</v>
      </c>
    </row>
    <row r="1226" spans="1:4" x14ac:dyDescent="0.2">
      <c r="A1226" s="5">
        <v>1165</v>
      </c>
      <c r="B1226" s="1832">
        <f>'Expenditures 15-22'!C151</f>
        <v>107488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5773</v>
      </c>
      <c r="D1229" s="2" t="str">
        <f t="shared" si="18"/>
        <v>Error?</v>
      </c>
    </row>
    <row r="1230" spans="1:4" x14ac:dyDescent="0.2">
      <c r="A1230" s="10">
        <v>1169</v>
      </c>
      <c r="B1230" s="1832"/>
      <c r="D1230" s="2" t="str">
        <f t="shared" si="18"/>
        <v>OK</v>
      </c>
    </row>
    <row r="1231" spans="1:4" x14ac:dyDescent="0.2">
      <c r="A1231" s="5">
        <v>1170</v>
      </c>
      <c r="B1231" s="1832">
        <f>'Expenditures 15-22'!D127</f>
        <v>5773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5773</v>
      </c>
      <c r="C1233" s="2" t="s">
        <v>569</v>
      </c>
      <c r="D1233" s="2" t="str">
        <f t="shared" si="18"/>
        <v>Error?</v>
      </c>
    </row>
    <row r="1234" spans="1:4" x14ac:dyDescent="0.2">
      <c r="A1234" s="5">
        <v>1173</v>
      </c>
      <c r="B1234" s="1832">
        <f>'Expenditures 15-22'!D151</f>
        <v>5773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87021</v>
      </c>
      <c r="D1237" s="2" t="str">
        <f t="shared" si="18"/>
        <v>Error?</v>
      </c>
    </row>
    <row r="1238" spans="1:4" x14ac:dyDescent="0.2">
      <c r="A1238" s="10">
        <v>1177</v>
      </c>
      <c r="B1238" s="1832"/>
      <c r="D1238" s="2" t="str">
        <f t="shared" si="18"/>
        <v>OK</v>
      </c>
    </row>
    <row r="1239" spans="1:4" x14ac:dyDescent="0.2">
      <c r="A1239" s="5">
        <v>1178</v>
      </c>
      <c r="B1239" s="1832">
        <f>'Expenditures 15-22'!E127</f>
        <v>87021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87021</v>
      </c>
      <c r="C1241" s="2" t="s">
        <v>569</v>
      </c>
      <c r="D1241" s="2" t="str">
        <f t="shared" si="18"/>
        <v>Error?</v>
      </c>
    </row>
    <row r="1242" spans="1:4" x14ac:dyDescent="0.2">
      <c r="A1242" s="5">
        <v>1181</v>
      </c>
      <c r="B1242" s="1832">
        <f>'Expenditures 15-22'!E151</f>
        <v>87021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119173</v>
      </c>
      <c r="D1245" s="2" t="str">
        <f t="shared" si="18"/>
        <v>Error?</v>
      </c>
    </row>
    <row r="1246" spans="1:4" x14ac:dyDescent="0.2">
      <c r="A1246" s="10">
        <v>1185</v>
      </c>
      <c r="B1246" s="1832"/>
      <c r="D1246" s="2" t="str">
        <f t="shared" si="18"/>
        <v>OK</v>
      </c>
    </row>
    <row r="1247" spans="1:4" x14ac:dyDescent="0.2">
      <c r="A1247" s="5">
        <v>1186</v>
      </c>
      <c r="B1247" s="1832">
        <f>'Expenditures 15-22'!F127</f>
        <v>119173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119173</v>
      </c>
      <c r="C1249" s="2" t="s">
        <v>569</v>
      </c>
      <c r="D1249" s="2" t="str">
        <f t="shared" si="18"/>
        <v>Error?</v>
      </c>
    </row>
    <row r="1250" spans="1:4" x14ac:dyDescent="0.2">
      <c r="A1250" s="5">
        <v>1189</v>
      </c>
      <c r="B1250" s="1832">
        <f>'Expenditures 15-22'!F151</f>
        <v>119173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7565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7565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7565</v>
      </c>
      <c r="C1258" s="2" t="s">
        <v>569</v>
      </c>
      <c r="D1258" s="2" t="str">
        <f t="shared" si="18"/>
        <v>Error?</v>
      </c>
    </row>
    <row r="1259" spans="1:4" x14ac:dyDescent="0.2">
      <c r="A1259" s="5">
        <v>1198</v>
      </c>
      <c r="B1259" s="1832">
        <f>'Expenditures 15-22'!G151</f>
        <v>7565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327020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327020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327020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327020</v>
      </c>
      <c r="C1288" s="2" t="s">
        <v>569</v>
      </c>
      <c r="D1288" s="2" t="str">
        <f t="shared" si="19"/>
        <v>Error?</v>
      </c>
    </row>
    <row r="1289" spans="1:4" x14ac:dyDescent="0.2">
      <c r="A1289" s="5">
        <v>1228</v>
      </c>
      <c r="B1289" s="1832">
        <f>'Expenditures 15-22'!K152</f>
        <v>14495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30200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153000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183200</v>
      </c>
      <c r="C1317" s="2" t="s">
        <v>569</v>
      </c>
      <c r="D1317" s="2" t="str">
        <f t="shared" si="19"/>
        <v>Error?</v>
      </c>
    </row>
    <row r="1318" spans="1:4" x14ac:dyDescent="0.2">
      <c r="A1318" s="5">
        <v>1257</v>
      </c>
      <c r="B1318" s="1832">
        <f>'Expenditures 15-22'!H174</f>
        <v>183200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30200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153000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183200</v>
      </c>
      <c r="C1331" s="2" t="s">
        <v>569</v>
      </c>
      <c r="D1331" s="2" t="str">
        <f t="shared" si="19"/>
        <v>Error?</v>
      </c>
    </row>
    <row r="1332" spans="1:4" x14ac:dyDescent="0.2">
      <c r="A1332" s="5">
        <v>1271</v>
      </c>
      <c r="B1332" s="1832">
        <f>'Expenditures 15-22'!K174</f>
        <v>183200</v>
      </c>
      <c r="C1332" s="2" t="s">
        <v>569</v>
      </c>
      <c r="D1332" s="2" t="str">
        <f t="shared" si="19"/>
        <v>Error?</v>
      </c>
    </row>
    <row r="1333" spans="1:4" x14ac:dyDescent="0.2">
      <c r="A1333" s="5">
        <v>1272</v>
      </c>
      <c r="B1333" s="1832">
        <f>'Expenditures 15-22'!K175</f>
        <v>37014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234011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234011</v>
      </c>
      <c r="C1339" s="2" t="s">
        <v>569</v>
      </c>
      <c r="D1339" s="2" t="str">
        <f t="shared" si="19"/>
        <v>Error?</v>
      </c>
    </row>
    <row r="1340" spans="1:4" x14ac:dyDescent="0.2">
      <c r="A1340" s="5">
        <v>1279</v>
      </c>
      <c r="B1340" s="1832">
        <f>'Expenditures 15-22'!C210</f>
        <v>234011</v>
      </c>
      <c r="C1340" s="2" t="s">
        <v>569</v>
      </c>
      <c r="D1340" s="2" t="str">
        <f t="shared" si="19"/>
        <v>Error?</v>
      </c>
    </row>
    <row r="1341" spans="1:4" x14ac:dyDescent="0.2">
      <c r="A1341" s="5">
        <v>1280</v>
      </c>
      <c r="B1341" s="1832">
        <f>'Expenditures 15-22'!D182</f>
        <v>14805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14805</v>
      </c>
      <c r="C1345" s="2" t="s">
        <v>569</v>
      </c>
      <c r="D1345" s="2" t="str">
        <f t="shared" si="20"/>
        <v>Error?</v>
      </c>
    </row>
    <row r="1346" spans="1:4" x14ac:dyDescent="0.2">
      <c r="A1346" s="5">
        <v>1285</v>
      </c>
      <c r="B1346" s="1832">
        <f>'Expenditures 15-22'!D210</f>
        <v>14805</v>
      </c>
      <c r="C1346" s="2" t="s">
        <v>569</v>
      </c>
      <c r="D1346" s="2" t="str">
        <f t="shared" si="20"/>
        <v>Error?</v>
      </c>
    </row>
    <row r="1347" spans="1:4" x14ac:dyDescent="0.2">
      <c r="A1347" s="5">
        <v>1286</v>
      </c>
      <c r="B1347" s="1832">
        <f>'Expenditures 15-22'!E182</f>
        <v>84010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84010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84010</v>
      </c>
      <c r="C1353" s="2" t="s">
        <v>569</v>
      </c>
      <c r="D1353" s="2" t="str">
        <f t="shared" si="20"/>
        <v>Error?</v>
      </c>
    </row>
    <row r="1354" spans="1:4" x14ac:dyDescent="0.2">
      <c r="A1354" s="5">
        <v>1293</v>
      </c>
      <c r="B1354" s="1832">
        <f>'Expenditures 15-22'!F182</f>
        <v>56183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56183</v>
      </c>
      <c r="C1358" s="2" t="s">
        <v>569</v>
      </c>
      <c r="D1358" s="2" t="str">
        <f t="shared" si="20"/>
        <v>Error?</v>
      </c>
    </row>
    <row r="1359" spans="1:4" x14ac:dyDescent="0.2">
      <c r="A1359" s="5">
        <v>1298</v>
      </c>
      <c r="B1359" s="1832">
        <f>'Expenditures 15-22'!F210</f>
        <v>56183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389009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389009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389009</v>
      </c>
      <c r="C1388" s="2" t="s">
        <v>569</v>
      </c>
      <c r="D1388" s="2" t="str">
        <f t="shared" si="20"/>
        <v>Error?</v>
      </c>
    </row>
    <row r="1389" spans="1:4" x14ac:dyDescent="0.2">
      <c r="A1389" s="5">
        <v>1328</v>
      </c>
      <c r="B1389" s="1832">
        <f>'Expenditures 15-22'!K211</f>
        <v>390758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881</v>
      </c>
      <c r="D1407" s="2" t="str">
        <f t="shared" ref="D1407:D1470" si="21">IF(ISBLANK(B1407),"OK",IF(A1407-B1407=0,"OK","Error?"))</f>
        <v>Error?</v>
      </c>
    </row>
    <row r="1408" spans="1:4" x14ac:dyDescent="0.2">
      <c r="A1408" s="5">
        <v>1347</v>
      </c>
      <c r="B1408" s="1832">
        <f>'Expenditures 15-22'!D223</f>
        <v>4505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74388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588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588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843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843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1032</v>
      </c>
      <c r="D1423" s="2" t="str">
        <f t="shared" si="21"/>
        <v>Error?</v>
      </c>
    </row>
    <row r="1424" spans="1:4" x14ac:dyDescent="0.2">
      <c r="A1424" s="5">
        <v>1363</v>
      </c>
      <c r="B1424" s="1832">
        <f>'Expenditures 15-22'!D257</f>
        <v>1032</v>
      </c>
      <c r="C1424" s="2" t="s">
        <v>569</v>
      </c>
      <c r="D1424" s="2" t="str">
        <f t="shared" si="21"/>
        <v>Error?</v>
      </c>
    </row>
    <row r="1425" spans="1:4" x14ac:dyDescent="0.2">
      <c r="A1425" s="5">
        <v>1364</v>
      </c>
      <c r="B1425" s="1832">
        <f>'Expenditures 15-22'!D259</f>
        <v>8962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8962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8028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14908</v>
      </c>
      <c r="D1431" s="2" t="str">
        <f t="shared" si="21"/>
        <v>Error?</v>
      </c>
    </row>
    <row r="1432" spans="1:4" x14ac:dyDescent="0.2">
      <c r="A1432" s="5">
        <v>1371</v>
      </c>
      <c r="B1432" s="1832">
        <f>'Expenditures 15-22'!D267</f>
        <v>12931</v>
      </c>
      <c r="D1432" s="2" t="str">
        <f t="shared" si="21"/>
        <v>Error?</v>
      </c>
    </row>
    <row r="1433" spans="1:4" x14ac:dyDescent="0.2">
      <c r="A1433" s="5">
        <v>1372</v>
      </c>
      <c r="B1433" s="1832">
        <f>'Expenditures 15-22'!D268</f>
        <v>10330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46197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57622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132010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881</v>
      </c>
      <c r="C1471" s="2" t="s">
        <v>569</v>
      </c>
      <c r="D1471" s="2" t="str">
        <f t="shared" ref="D1471:D1534" si="22">IF(ISBLANK(B1471),"OK",IF(A1471-B1471=0,"OK","Error?"))</f>
        <v>Error?</v>
      </c>
    </row>
    <row r="1472" spans="1:4" x14ac:dyDescent="0.2">
      <c r="A1472" s="5">
        <v>1411</v>
      </c>
      <c r="B1472" s="1832">
        <f>'Expenditures 15-22'!K223</f>
        <v>4505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74388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588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588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843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843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1032</v>
      </c>
      <c r="C1487" s="2" t="s">
        <v>569</v>
      </c>
      <c r="D1487" s="2" t="str">
        <f t="shared" si="22"/>
        <v>Error?</v>
      </c>
    </row>
    <row r="1488" spans="1:4" x14ac:dyDescent="0.2">
      <c r="A1488" s="5">
        <v>1427</v>
      </c>
      <c r="B1488" s="1832">
        <f>'Expenditures 15-22'!K257</f>
        <v>1032</v>
      </c>
      <c r="C1488" s="2" t="s">
        <v>569</v>
      </c>
      <c r="D1488" s="2" t="str">
        <f t="shared" si="22"/>
        <v>Error?</v>
      </c>
    </row>
    <row r="1489" spans="1:4" x14ac:dyDescent="0.2">
      <c r="A1489" s="5">
        <v>1428</v>
      </c>
      <c r="B1489" s="1832">
        <f>'Expenditures 15-22'!K259</f>
        <v>8962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8962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8028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14908</v>
      </c>
      <c r="C1495" s="2" t="s">
        <v>569</v>
      </c>
      <c r="D1495" s="2" t="str">
        <f t="shared" si="22"/>
        <v>Error?</v>
      </c>
    </row>
    <row r="1496" spans="1:4" x14ac:dyDescent="0.2">
      <c r="A1496" s="5">
        <v>1435</v>
      </c>
      <c r="B1496" s="1832">
        <f>'Expenditures 15-22'!K267</f>
        <v>12931</v>
      </c>
      <c r="C1496" s="2" t="s">
        <v>569</v>
      </c>
      <c r="D1496" s="2" t="str">
        <f t="shared" si="22"/>
        <v>Error?</v>
      </c>
    </row>
    <row r="1497" spans="1:4" x14ac:dyDescent="0.2">
      <c r="A1497" s="5">
        <v>1436</v>
      </c>
      <c r="B1497" s="1832">
        <f>'Expenditures 15-22'!K268</f>
        <v>10330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46197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57622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132010</v>
      </c>
      <c r="C1517" s="2" t="s">
        <v>569</v>
      </c>
      <c r="D1517" s="2" t="str">
        <f t="shared" si="22"/>
        <v>Error?</v>
      </c>
    </row>
    <row r="1518" spans="1:4" x14ac:dyDescent="0.2">
      <c r="A1518" s="5">
        <v>1457</v>
      </c>
      <c r="B1518" s="1832">
        <f>'Expenditures 15-22'!K296</f>
        <v>-34333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2583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2583</v>
      </c>
      <c r="C1535" s="2" t="s">
        <v>569</v>
      </c>
      <c r="D1535" s="2" t="str">
        <f t="shared" ref="D1535:D1598" si="23">IF(ISBLANK(B1535),"OK",IF(A1535-B1535=0,"OK","Error?"))</f>
        <v>Error?</v>
      </c>
    </row>
    <row r="1536" spans="1:4" x14ac:dyDescent="0.2">
      <c r="A1536" s="5">
        <v>1475</v>
      </c>
      <c r="B1536" s="1832">
        <f>'Expenditures 15-22'!E312</f>
        <v>2583</v>
      </c>
      <c r="C1536" s="2" t="s">
        <v>569</v>
      </c>
      <c r="D1536" s="2" t="str">
        <f t="shared" si="23"/>
        <v>Error?</v>
      </c>
    </row>
    <row r="1537" spans="1:4" x14ac:dyDescent="0.2">
      <c r="A1537" s="5">
        <v>1476</v>
      </c>
      <c r="B1537" s="1832">
        <f>'Expenditures 15-22'!F301</f>
        <v>5009</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5009</v>
      </c>
      <c r="C1541" s="2" t="s">
        <v>569</v>
      </c>
      <c r="D1541" s="2" t="str">
        <f t="shared" si="23"/>
        <v>Error?</v>
      </c>
    </row>
    <row r="1542" spans="1:4" x14ac:dyDescent="0.2">
      <c r="A1542" s="5">
        <v>1481</v>
      </c>
      <c r="B1542" s="1832">
        <f>'Expenditures 15-22'!F312</f>
        <v>5009</v>
      </c>
      <c r="C1542" s="2" t="s">
        <v>569</v>
      </c>
      <c r="D1542" s="2" t="str">
        <f t="shared" si="23"/>
        <v>Error?</v>
      </c>
    </row>
    <row r="1543" spans="1:4" x14ac:dyDescent="0.2">
      <c r="A1543" s="5">
        <v>1482</v>
      </c>
      <c r="B1543" s="1832">
        <f>'Expenditures 15-22'!G301</f>
        <v>69518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69518</v>
      </c>
      <c r="C1547" s="2" t="s">
        <v>569</v>
      </c>
      <c r="D1547" s="2" t="str">
        <f t="shared" si="23"/>
        <v>Error?</v>
      </c>
    </row>
    <row r="1548" spans="1:4" x14ac:dyDescent="0.2">
      <c r="A1548" s="5">
        <v>1487</v>
      </c>
      <c r="B1548" s="1832">
        <f>'Expenditures 15-22'!G312</f>
        <v>69518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77110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77110</v>
      </c>
      <c r="C1559" s="2" t="s">
        <v>569</v>
      </c>
      <c r="D1559" s="2" t="str">
        <f t="shared" si="23"/>
        <v>Error?</v>
      </c>
    </row>
    <row r="1560" spans="1:4" x14ac:dyDescent="0.2">
      <c r="A1560" s="5">
        <v>1499</v>
      </c>
      <c r="B1560" s="1832">
        <f>'Expenditures 15-22'!K312</f>
        <v>77110</v>
      </c>
      <c r="C1560" s="2" t="s">
        <v>569</v>
      </c>
      <c r="D1560" s="2" t="str">
        <f t="shared" si="23"/>
        <v>Error?</v>
      </c>
    </row>
    <row r="1561" spans="1:4" x14ac:dyDescent="0.2">
      <c r="A1561" s="5">
        <v>1500</v>
      </c>
      <c r="B1561" s="1832">
        <f>'Expenditures 15-22'!K313</f>
        <v>152352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1214490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1102115</v>
      </c>
      <c r="C1630" s="2" t="s">
        <v>569</v>
      </c>
      <c r="D1630" s="2" t="str">
        <f t="shared" si="24"/>
        <v>Error?</v>
      </c>
    </row>
    <row r="1631" spans="1:4" x14ac:dyDescent="0.2">
      <c r="A1631" s="5">
        <v>1570</v>
      </c>
      <c r="B1631" s="1832">
        <f>'Acct Summary 7-8'!D79</f>
        <v>460356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474851</v>
      </c>
      <c r="C1644" s="2" t="s">
        <v>569</v>
      </c>
      <c r="D1644" s="2" t="str">
        <f t="shared" si="24"/>
        <v>Error?</v>
      </c>
    </row>
    <row r="1645" spans="1:4" x14ac:dyDescent="0.2">
      <c r="A1645" s="5">
        <v>1584</v>
      </c>
      <c r="B1645" s="1832">
        <f>'Acct Summary 7-8'!E79</f>
        <v>150213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187227</v>
      </c>
      <c r="C1658" s="2" t="s">
        <v>569</v>
      </c>
      <c r="D1658" s="2" t="str">
        <f t="shared" si="24"/>
        <v>Error?</v>
      </c>
    </row>
    <row r="1659" spans="1:4" x14ac:dyDescent="0.2">
      <c r="A1659" s="5">
        <v>1598</v>
      </c>
      <c r="B1659" s="1832">
        <f>'Acct Summary 7-8'!F79</f>
        <v>619878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1010636</v>
      </c>
      <c r="C1672" s="2" t="s">
        <v>569</v>
      </c>
      <c r="D1672" s="2" t="str">
        <f t="shared" si="25"/>
        <v>Error?</v>
      </c>
    </row>
    <row r="1673" spans="1:4" x14ac:dyDescent="0.2">
      <c r="A1673" s="5">
        <v>1612</v>
      </c>
      <c r="B1673" s="1832">
        <f>'Acct Summary 7-8'!G79</f>
        <v>92325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57992</v>
      </c>
      <c r="C1686" s="2" t="s">
        <v>569</v>
      </c>
      <c r="D1686" s="2" t="str">
        <f t="shared" si="25"/>
        <v>Error?</v>
      </c>
    </row>
    <row r="1687" spans="1:4" x14ac:dyDescent="0.2">
      <c r="A1687" s="5">
        <v>1626</v>
      </c>
      <c r="B1687" s="1832">
        <f>'Acct Summary 7-8'!H79</f>
        <v>178872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331224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2234199</v>
      </c>
      <c r="C1744" s="2" t="s">
        <v>569</v>
      </c>
      <c r="D1744" s="2" t="str">
        <f t="shared" si="26"/>
        <v>Error?</v>
      </c>
    </row>
    <row r="1745" spans="1:5" x14ac:dyDescent="0.2">
      <c r="A1745" s="5">
        <v>1684</v>
      </c>
      <c r="B1745" s="1832">
        <f>'Tax Sched 23'!B5</f>
        <v>271455</v>
      </c>
      <c r="C1745" s="2" t="s">
        <v>569</v>
      </c>
      <c r="D1745" s="2" t="str">
        <f t="shared" si="26"/>
        <v>Error?</v>
      </c>
    </row>
    <row r="1746" spans="1:5" x14ac:dyDescent="0.2">
      <c r="A1746" s="5">
        <v>1685</v>
      </c>
      <c r="B1746" s="1832">
        <f>'Tax Sched 23'!B6</f>
        <v>217531</v>
      </c>
      <c r="C1746" s="2" t="s">
        <v>569</v>
      </c>
      <c r="D1746" s="2" t="str">
        <f t="shared" si="26"/>
        <v>Error?</v>
      </c>
    </row>
    <row r="1747" spans="1:5" x14ac:dyDescent="0.2">
      <c r="A1747" s="5">
        <v>1686</v>
      </c>
      <c r="B1747" s="1832">
        <f>'Tax Sched 23'!B7</f>
        <v>500286</v>
      </c>
      <c r="C1747" s="2" t="s">
        <v>569</v>
      </c>
      <c r="D1747" s="2" t="str">
        <f t="shared" si="26"/>
        <v>Error?</v>
      </c>
    </row>
    <row r="1748" spans="1:5" x14ac:dyDescent="0.2">
      <c r="A1748" s="5">
        <v>1687</v>
      </c>
      <c r="B1748" s="1832">
        <f>'Tax Sched 23'!B8</f>
        <v>46512</v>
      </c>
      <c r="C1748" s="2" t="s">
        <v>569</v>
      </c>
      <c r="D1748" s="2" t="str">
        <f t="shared" si="26"/>
        <v>Error?</v>
      </c>
    </row>
    <row r="1749" spans="1:5" x14ac:dyDescent="0.2">
      <c r="A1749" s="5">
        <v>1688</v>
      </c>
      <c r="B1749" s="1832">
        <f>'Tax Sched 23'!B10</f>
        <v>35655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124786</v>
      </c>
      <c r="C1752" s="2" t="s">
        <v>569</v>
      </c>
      <c r="D1752" s="2" t="str">
        <f t="shared" si="26"/>
        <v>Error?</v>
      </c>
    </row>
    <row r="1753" spans="1:5" x14ac:dyDescent="0.2">
      <c r="A1753" s="5">
        <v>1692</v>
      </c>
      <c r="B1753" s="1832">
        <f>'Tax Sched 23'!B12</f>
        <v>5945</v>
      </c>
      <c r="C1753" s="2" t="s">
        <v>569</v>
      </c>
      <c r="D1753" s="2" t="str">
        <f t="shared" si="26"/>
        <v>Error?</v>
      </c>
    </row>
    <row r="1754" spans="1:5" x14ac:dyDescent="0.2">
      <c r="A1754" s="5">
        <v>1693</v>
      </c>
      <c r="B1754" s="1832">
        <f>'Tax Sched 23'!B14</f>
        <v>32579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3514401</v>
      </c>
      <c r="C1759" s="2" t="s">
        <v>569</v>
      </c>
      <c r="D1759" s="2" t="str">
        <f t="shared" si="26"/>
        <v>Error?</v>
      </c>
    </row>
    <row r="1760" spans="1:5" x14ac:dyDescent="0.2">
      <c r="A1760" s="5">
        <v>1699</v>
      </c>
      <c r="B1760" s="1832">
        <f>'Tax Sched 23'!D4</f>
        <v>2234199</v>
      </c>
      <c r="C1760" s="2" t="s">
        <v>569</v>
      </c>
      <c r="D1760" s="2" t="str">
        <f t="shared" si="26"/>
        <v>Error?</v>
      </c>
    </row>
    <row r="1761" spans="1:7" x14ac:dyDescent="0.2">
      <c r="A1761" s="5">
        <v>1700</v>
      </c>
      <c r="B1761" s="1832">
        <f>'Tax Sched 23'!D5</f>
        <v>271455</v>
      </c>
      <c r="C1761" s="2" t="s">
        <v>569</v>
      </c>
      <c r="D1761" s="2" t="str">
        <f t="shared" si="26"/>
        <v>Error?</v>
      </c>
    </row>
    <row r="1762" spans="1:7" s="8" customFormat="1" x14ac:dyDescent="0.2">
      <c r="A1762" s="5">
        <v>1701</v>
      </c>
      <c r="B1762" s="1832">
        <f>'Tax Sched 23'!D6</f>
        <v>217531</v>
      </c>
      <c r="C1762" s="2" t="s">
        <v>569</v>
      </c>
      <c r="D1762" s="2" t="str">
        <f t="shared" si="26"/>
        <v>Error?</v>
      </c>
      <c r="E1762" s="9"/>
      <c r="G1762"/>
    </row>
    <row r="1763" spans="1:7" x14ac:dyDescent="0.2">
      <c r="A1763" s="5">
        <v>1702</v>
      </c>
      <c r="B1763" s="1832">
        <f>'Tax Sched 23'!D7</f>
        <v>500286</v>
      </c>
      <c r="C1763" s="2" t="s">
        <v>569</v>
      </c>
      <c r="D1763" s="2" t="str">
        <f t="shared" si="26"/>
        <v>Error?</v>
      </c>
    </row>
    <row r="1764" spans="1:7" x14ac:dyDescent="0.2">
      <c r="A1764" s="5">
        <v>1703</v>
      </c>
      <c r="B1764" s="1832">
        <f>'Tax Sched 23'!D8</f>
        <v>46512</v>
      </c>
      <c r="C1764" s="2" t="s">
        <v>569</v>
      </c>
      <c r="D1764" s="2" t="str">
        <f t="shared" si="26"/>
        <v>Error?</v>
      </c>
    </row>
    <row r="1765" spans="1:7" x14ac:dyDescent="0.2">
      <c r="A1765" s="5">
        <v>1704</v>
      </c>
      <c r="B1765" s="1832">
        <f>'Tax Sched 23'!D10</f>
        <v>35655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124786</v>
      </c>
      <c r="C1768" s="2" t="s">
        <v>569</v>
      </c>
      <c r="D1768" s="2" t="str">
        <f t="shared" si="26"/>
        <v>Error?</v>
      </c>
    </row>
    <row r="1769" spans="1:7" x14ac:dyDescent="0.2">
      <c r="A1769" s="5">
        <v>1708</v>
      </c>
      <c r="B1769" s="1832">
        <f>'Tax Sched 23'!D12</f>
        <v>5945</v>
      </c>
      <c r="C1769" s="2" t="s">
        <v>569</v>
      </c>
      <c r="D1769" s="2" t="str">
        <f t="shared" si="26"/>
        <v>Error?</v>
      </c>
    </row>
    <row r="1770" spans="1:7" x14ac:dyDescent="0.2">
      <c r="A1770" s="5">
        <v>1709</v>
      </c>
      <c r="B1770" s="1832">
        <f>'Tax Sched 23'!D14</f>
        <v>32579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3514401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2299213</v>
      </c>
      <c r="C1792" s="2" t="s">
        <v>569</v>
      </c>
      <c r="D1792" s="2" t="str">
        <f t="shared" si="27"/>
        <v>Error?</v>
      </c>
    </row>
    <row r="1793" spans="1:4" x14ac:dyDescent="0.2">
      <c r="A1793" s="5">
        <v>1732</v>
      </c>
      <c r="B1793" s="1832">
        <f>'Tax Sched 23'!F5</f>
        <v>234244</v>
      </c>
      <c r="C1793" s="2" t="s">
        <v>569</v>
      </c>
      <c r="D1793" s="2" t="str">
        <f t="shared" si="27"/>
        <v>Error?</v>
      </c>
    </row>
    <row r="1794" spans="1:4" x14ac:dyDescent="0.2">
      <c r="A1794" s="5">
        <v>1733</v>
      </c>
      <c r="B1794" s="1832">
        <f>'Tax Sched 23'!F6</f>
        <v>174091</v>
      </c>
      <c r="C1794" s="2" t="s">
        <v>569</v>
      </c>
      <c r="D1794" s="2" t="str">
        <f t="shared" si="27"/>
        <v>Error?</v>
      </c>
    </row>
    <row r="1795" spans="1:4" x14ac:dyDescent="0.2">
      <c r="A1795" s="5">
        <v>1734</v>
      </c>
      <c r="B1795" s="1832">
        <f>'Tax Sched 23'!F7</f>
        <v>492381</v>
      </c>
      <c r="C1795" s="2" t="s">
        <v>569</v>
      </c>
      <c r="D1795" s="2" t="str">
        <f t="shared" si="27"/>
        <v>Error?</v>
      </c>
    </row>
    <row r="1796" spans="1:4" x14ac:dyDescent="0.2">
      <c r="A1796" s="5">
        <v>1735</v>
      </c>
      <c r="B1796" s="1832">
        <f>'Tax Sched 23'!F8</f>
        <v>94038</v>
      </c>
      <c r="C1796" s="2" t="s">
        <v>569</v>
      </c>
      <c r="D1796" s="2" t="str">
        <f t="shared" si="27"/>
        <v>Error?</v>
      </c>
    </row>
    <row r="1797" spans="1:4" x14ac:dyDescent="0.2">
      <c r="A1797" s="5">
        <v>1736</v>
      </c>
      <c r="B1797" s="1832">
        <f>'Tax Sched 23'!F10</f>
        <v>36990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139795</v>
      </c>
      <c r="C1800" s="2" t="s">
        <v>569</v>
      </c>
      <c r="D1800" s="2" t="str">
        <f t="shared" si="27"/>
        <v>Error?</v>
      </c>
    </row>
    <row r="1801" spans="1:4" x14ac:dyDescent="0.2">
      <c r="A1801" s="5">
        <v>1740</v>
      </c>
      <c r="B1801" s="1832">
        <f>'Tax Sched 23'!F12</f>
        <v>2989</v>
      </c>
      <c r="C1801" s="2" t="s">
        <v>569</v>
      </c>
      <c r="D1801" s="2" t="str">
        <f t="shared" si="27"/>
        <v>Error?</v>
      </c>
    </row>
    <row r="1802" spans="1:4" x14ac:dyDescent="0.2">
      <c r="A1802" s="5">
        <v>1741</v>
      </c>
      <c r="B1802" s="1832">
        <f>'Tax Sched 23'!F14</f>
        <v>37792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3584309</v>
      </c>
      <c r="C1807" s="2" t="s">
        <v>569</v>
      </c>
      <c r="D1807" s="2" t="str">
        <f t="shared" si="27"/>
        <v>Error?</v>
      </c>
    </row>
    <row r="1808" spans="1:4" x14ac:dyDescent="0.2">
      <c r="A1808" s="5">
        <v>1747</v>
      </c>
      <c r="B1808" s="1832">
        <f>'Tax Sched 23'!E4</f>
        <v>2299213</v>
      </c>
      <c r="D1808" s="2" t="str">
        <f t="shared" si="27"/>
        <v>Error?</v>
      </c>
    </row>
    <row r="1809" spans="1:4" x14ac:dyDescent="0.2">
      <c r="A1809" s="5">
        <v>1748</v>
      </c>
      <c r="B1809" s="1832">
        <f>'Tax Sched 23'!E5</f>
        <v>234244</v>
      </c>
      <c r="D1809" s="2" t="str">
        <f t="shared" si="27"/>
        <v>Error?</v>
      </c>
    </row>
    <row r="1810" spans="1:4" x14ac:dyDescent="0.2">
      <c r="A1810" s="5">
        <v>1749</v>
      </c>
      <c r="B1810" s="1832">
        <f>'Tax Sched 23'!E6</f>
        <v>174091</v>
      </c>
      <c r="D1810" s="2" t="str">
        <f t="shared" si="27"/>
        <v>Error?</v>
      </c>
    </row>
    <row r="1811" spans="1:4" x14ac:dyDescent="0.2">
      <c r="A1811" s="5">
        <v>1750</v>
      </c>
      <c r="B1811" s="1832">
        <f>'Tax Sched 23'!E7</f>
        <v>492381</v>
      </c>
      <c r="D1811" s="2" t="str">
        <f t="shared" si="27"/>
        <v>Error?</v>
      </c>
    </row>
    <row r="1812" spans="1:4" x14ac:dyDescent="0.2">
      <c r="A1812" s="5">
        <v>1751</v>
      </c>
      <c r="B1812" s="1832">
        <f>'Tax Sched 23'!E8</f>
        <v>94038</v>
      </c>
      <c r="D1812" s="2" t="str">
        <f t="shared" si="27"/>
        <v>Error?</v>
      </c>
    </row>
    <row r="1813" spans="1:4" x14ac:dyDescent="0.2">
      <c r="A1813" s="5">
        <v>1752</v>
      </c>
      <c r="B1813" s="1832">
        <f>'Tax Sched 23'!E10</f>
        <v>36990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139795</v>
      </c>
      <c r="D1816" s="2" t="str">
        <f t="shared" si="27"/>
        <v>Error?</v>
      </c>
    </row>
    <row r="1817" spans="1:4" x14ac:dyDescent="0.2">
      <c r="A1817" s="5">
        <v>1756</v>
      </c>
      <c r="B1817" s="1832">
        <f>'Tax Sched 23'!E12</f>
        <v>2989</v>
      </c>
      <c r="D1817" s="2" t="str">
        <f t="shared" si="27"/>
        <v>Error?</v>
      </c>
    </row>
    <row r="1818" spans="1:4" x14ac:dyDescent="0.2">
      <c r="A1818" s="5">
        <v>1757</v>
      </c>
      <c r="B1818" s="1832">
        <f>'Tax Sched 23'!E14</f>
        <v>37792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3584309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829523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32579</v>
      </c>
      <c r="D1972" s="2" t="str">
        <f t="shared" si="29"/>
        <v>Error?</v>
      </c>
    </row>
    <row r="1973" spans="1:5" x14ac:dyDescent="0.2">
      <c r="A1973" s="5">
        <v>1912</v>
      </c>
      <c r="B1973" s="1832">
        <f>'Rest Tax Levies-Tort Im 25'!H6</f>
        <v>12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32591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32591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32340</v>
      </c>
      <c r="D2008" s="2" t="str">
        <f t="shared" si="30"/>
        <v>Error?</v>
      </c>
    </row>
    <row r="2009" spans="1:4" x14ac:dyDescent="0.2">
      <c r="A2009" s="5">
        <v>1948</v>
      </c>
      <c r="B2009" s="1832">
        <f>'Cap Outlay Deprec 26'!C8</f>
        <v>2958930</v>
      </c>
      <c r="D2009" s="2" t="str">
        <f t="shared" si="30"/>
        <v>Error?</v>
      </c>
    </row>
    <row r="2010" spans="1:4" x14ac:dyDescent="0.2">
      <c r="A2010" s="5">
        <v>1949</v>
      </c>
      <c r="B2010" s="1832">
        <f>'Cap Outlay Deprec 26'!C10</f>
        <v>302906</v>
      </c>
      <c r="D2010" s="2" t="str">
        <f t="shared" si="30"/>
        <v>Error?</v>
      </c>
    </row>
    <row r="2011" spans="1:4" x14ac:dyDescent="0.2">
      <c r="A2011" s="5">
        <v>1950</v>
      </c>
      <c r="B2011" s="1832">
        <f>'Cap Outlay Deprec 26'!C12</f>
        <v>1658966</v>
      </c>
      <c r="D2011" s="2" t="str">
        <f t="shared" si="30"/>
        <v>Error?</v>
      </c>
    </row>
    <row r="2012" spans="1:4" x14ac:dyDescent="0.2">
      <c r="A2012" s="5">
        <v>1951</v>
      </c>
      <c r="B2012" s="1832">
        <f>'Cap Outlay Deprec 26'!C13</f>
        <v>815780</v>
      </c>
      <c r="D2012" s="2" t="str">
        <f t="shared" si="30"/>
        <v>Error?</v>
      </c>
    </row>
    <row r="2013" spans="1:4" x14ac:dyDescent="0.2">
      <c r="A2013" s="5">
        <v>1952</v>
      </c>
      <c r="B2013" s="1832">
        <f>'Cap Outlay Deprec 26'!C16</f>
        <v>5768922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69518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21370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90888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32340</v>
      </c>
      <c r="C2026" s="2" t="s">
        <v>569</v>
      </c>
      <c r="D2026" s="2" t="str">
        <f t="shared" si="30"/>
        <v>Error?</v>
      </c>
    </row>
    <row r="2027" spans="1:4" x14ac:dyDescent="0.2">
      <c r="A2027" s="5">
        <v>1966</v>
      </c>
      <c r="B2027" s="1832">
        <f>'Cap Outlay Deprec 26'!F8</f>
        <v>3028448</v>
      </c>
      <c r="C2027" s="2" t="s">
        <v>569</v>
      </c>
      <c r="D2027" s="2" t="str">
        <f t="shared" si="30"/>
        <v>Error?</v>
      </c>
    </row>
    <row r="2028" spans="1:4" x14ac:dyDescent="0.2">
      <c r="A2028" s="5">
        <v>1967</v>
      </c>
      <c r="B2028" s="1832">
        <f>'Cap Outlay Deprec 26'!F10</f>
        <v>302906</v>
      </c>
      <c r="C2028" s="2" t="s">
        <v>569</v>
      </c>
      <c r="D2028" s="2" t="str">
        <f t="shared" si="30"/>
        <v>Error?</v>
      </c>
    </row>
    <row r="2029" spans="1:4" x14ac:dyDescent="0.2">
      <c r="A2029" s="5">
        <v>1968</v>
      </c>
      <c r="B2029" s="1832">
        <f>'Cap Outlay Deprec 26'!F12</f>
        <v>1680336</v>
      </c>
      <c r="C2029" s="2" t="s">
        <v>569</v>
      </c>
      <c r="D2029" s="2" t="str">
        <f t="shared" si="30"/>
        <v>Error?</v>
      </c>
    </row>
    <row r="2030" spans="1:4" x14ac:dyDescent="0.2">
      <c r="A2030" s="5">
        <v>1969</v>
      </c>
      <c r="B2030" s="1832">
        <f>'Cap Outlay Deprec 26'!F13</f>
        <v>815780</v>
      </c>
      <c r="C2030" s="2" t="s">
        <v>569</v>
      </c>
      <c r="D2030" s="2" t="str">
        <f t="shared" si="30"/>
        <v>Error?</v>
      </c>
    </row>
    <row r="2031" spans="1:4" x14ac:dyDescent="0.2">
      <c r="A2031" s="5">
        <v>1970</v>
      </c>
      <c r="B2031" s="1832">
        <f>'Cap Outlay Deprec 26'!F16</f>
        <v>5859810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2010823</v>
      </c>
      <c r="D2033" s="2" t="str">
        <f t="shared" si="30"/>
        <v>Error?</v>
      </c>
    </row>
    <row r="2034" spans="1:4" x14ac:dyDescent="0.2">
      <c r="A2034" s="5">
        <v>1973</v>
      </c>
      <c r="B2034" s="1832">
        <f>'Cap Outlay Deprec 26'!H10</f>
        <v>196129</v>
      </c>
      <c r="D2034" s="2" t="str">
        <f t="shared" si="30"/>
        <v>Error?</v>
      </c>
    </row>
    <row r="2035" spans="1:4" x14ac:dyDescent="0.2">
      <c r="A2035" s="5">
        <v>1974</v>
      </c>
      <c r="B2035" s="1832">
        <f>'Cap Outlay Deprec 26'!H12</f>
        <v>1491967</v>
      </c>
      <c r="D2035" s="2" t="str">
        <f t="shared" si="30"/>
        <v>Error?</v>
      </c>
    </row>
    <row r="2036" spans="1:4" x14ac:dyDescent="0.2">
      <c r="A2036" s="5">
        <v>1975</v>
      </c>
      <c r="B2036" s="1832">
        <f>'Cap Outlay Deprec 26'!H13</f>
        <v>731084</v>
      </c>
      <c r="D2036" s="2" t="str">
        <f t="shared" si="30"/>
        <v>Error?</v>
      </c>
    </row>
    <row r="2037" spans="1:4" x14ac:dyDescent="0.2">
      <c r="A2037" s="5">
        <v>1976</v>
      </c>
      <c r="B2037" s="1832">
        <f>'Cap Outlay Deprec 26'!H16</f>
        <v>4430003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60569</v>
      </c>
      <c r="D2039" s="2" t="str">
        <f t="shared" si="30"/>
        <v>Error?</v>
      </c>
    </row>
    <row r="2040" spans="1:4" x14ac:dyDescent="0.2">
      <c r="A2040" s="5">
        <v>1979</v>
      </c>
      <c r="B2040" s="1832">
        <f>'Cap Outlay Deprec 26'!I10</f>
        <v>7486</v>
      </c>
      <c r="D2040" s="2" t="str">
        <f t="shared" si="30"/>
        <v>Error?</v>
      </c>
    </row>
    <row r="2041" spans="1:4" x14ac:dyDescent="0.2">
      <c r="A2041" s="5">
        <v>1980</v>
      </c>
      <c r="B2041" s="1832">
        <f>'Cap Outlay Deprec 26'!I12</f>
        <v>35838</v>
      </c>
      <c r="D2041" s="2" t="str">
        <f t="shared" si="30"/>
        <v>Error?</v>
      </c>
    </row>
    <row r="2042" spans="1:4" x14ac:dyDescent="0.2">
      <c r="A2042" s="5">
        <v>1981</v>
      </c>
      <c r="B2042" s="1832">
        <f>'Cap Outlay Deprec 26'!I13</f>
        <v>25443</v>
      </c>
      <c r="D2042" s="2" t="str">
        <f t="shared" si="30"/>
        <v>Error?</v>
      </c>
    </row>
    <row r="2043" spans="1:4" x14ac:dyDescent="0.2">
      <c r="A2043" s="5">
        <v>1982</v>
      </c>
      <c r="B2043" s="1832">
        <f>'Cap Outlay Deprec 26'!I16</f>
        <v>129336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2071392</v>
      </c>
      <c r="C2051" s="2" t="s">
        <v>569</v>
      </c>
      <c r="D2051" s="2" t="str">
        <f t="shared" si="31"/>
        <v>Error?</v>
      </c>
    </row>
    <row r="2052" spans="1:4" x14ac:dyDescent="0.2">
      <c r="A2052" s="5">
        <v>1991</v>
      </c>
      <c r="B2052" s="1832">
        <f>'Cap Outlay Deprec 26'!K10</f>
        <v>203615</v>
      </c>
      <c r="C2052" s="2" t="s">
        <v>569</v>
      </c>
      <c r="D2052" s="2" t="str">
        <f t="shared" si="31"/>
        <v>Error?</v>
      </c>
    </row>
    <row r="2053" spans="1:4" x14ac:dyDescent="0.2">
      <c r="A2053" s="5">
        <v>1992</v>
      </c>
      <c r="B2053" s="1832">
        <f>'Cap Outlay Deprec 26'!K12</f>
        <v>1527805</v>
      </c>
      <c r="C2053" s="2" t="s">
        <v>569</v>
      </c>
      <c r="D2053" s="2" t="str">
        <f t="shared" si="31"/>
        <v>Error?</v>
      </c>
    </row>
    <row r="2054" spans="1:4" x14ac:dyDescent="0.2">
      <c r="A2054" s="5">
        <v>1993</v>
      </c>
      <c r="B2054" s="1832">
        <f>'Cap Outlay Deprec 26'!K13</f>
        <v>756527</v>
      </c>
      <c r="C2054" s="2" t="s">
        <v>569</v>
      </c>
      <c r="D2054" s="2" t="str">
        <f t="shared" si="31"/>
        <v>Error?</v>
      </c>
    </row>
    <row r="2055" spans="1:4" x14ac:dyDescent="0.2">
      <c r="A2055" s="5">
        <v>1994</v>
      </c>
      <c r="B2055" s="1832">
        <f>'Cap Outlay Deprec 26'!K16</f>
        <v>4559339</v>
      </c>
      <c r="C2055" s="2" t="s">
        <v>569</v>
      </c>
      <c r="D2055" s="2" t="str">
        <f t="shared" si="31"/>
        <v>Error?</v>
      </c>
    </row>
    <row r="2056" spans="1:4" x14ac:dyDescent="0.2">
      <c r="A2056" s="5">
        <v>1995</v>
      </c>
      <c r="B2056" s="1832">
        <f>'Cap Outlay Deprec 26'!L5</f>
        <v>32340</v>
      </c>
      <c r="C2056" s="2" t="s">
        <v>569</v>
      </c>
      <c r="D2056" s="2" t="str">
        <f t="shared" si="31"/>
        <v>Error?</v>
      </c>
    </row>
    <row r="2057" spans="1:4" x14ac:dyDescent="0.2">
      <c r="A2057" s="5">
        <v>1996</v>
      </c>
      <c r="B2057" s="1832">
        <f>'Cap Outlay Deprec 26'!L8</f>
        <v>957056</v>
      </c>
      <c r="C2057" s="2" t="s">
        <v>569</v>
      </c>
      <c r="D2057" s="2" t="str">
        <f t="shared" si="31"/>
        <v>Error?</v>
      </c>
    </row>
    <row r="2058" spans="1:4" x14ac:dyDescent="0.2">
      <c r="A2058" s="5">
        <v>1997</v>
      </c>
      <c r="B2058" s="1832">
        <f>'Cap Outlay Deprec 26'!L10</f>
        <v>99291</v>
      </c>
      <c r="C2058" s="2" t="s">
        <v>569</v>
      </c>
      <c r="D2058" s="2" t="str">
        <f t="shared" si="31"/>
        <v>Error?</v>
      </c>
    </row>
    <row r="2059" spans="1:4" x14ac:dyDescent="0.2">
      <c r="A2059" s="5">
        <v>1998</v>
      </c>
      <c r="B2059" s="1832">
        <f>'Cap Outlay Deprec 26'!L12</f>
        <v>152531</v>
      </c>
      <c r="C2059" s="2" t="s">
        <v>569</v>
      </c>
      <c r="D2059" s="2" t="str">
        <f t="shared" si="31"/>
        <v>Error?</v>
      </c>
    </row>
    <row r="2060" spans="1:4" x14ac:dyDescent="0.2">
      <c r="A2060" s="5">
        <v>1999</v>
      </c>
      <c r="B2060" s="1832">
        <f>'Cap Outlay Deprec 26'!L13</f>
        <v>59253</v>
      </c>
      <c r="C2060" s="2" t="s">
        <v>569</v>
      </c>
      <c r="D2060" s="2" t="str">
        <f t="shared" si="31"/>
        <v>Error?</v>
      </c>
    </row>
    <row r="2061" spans="1:4" x14ac:dyDescent="0.2">
      <c r="A2061" s="5">
        <v>2000</v>
      </c>
      <c r="B2061" s="1832">
        <f>'Cap Outlay Deprec 26'!L16</f>
        <v>1300471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228304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228304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174709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2452202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1022588</v>
      </c>
      <c r="C2553" s="2" t="s">
        <v>569</v>
      </c>
      <c r="D2553" s="2" t="str">
        <f t="shared" si="38"/>
        <v>Error?</v>
      </c>
    </row>
    <row r="2554" spans="1:4" x14ac:dyDescent="0.2">
      <c r="A2554" s="5">
        <v>2493</v>
      </c>
      <c r="B2554" s="1832">
        <f>'Acct Summary 7-8'!C7</f>
        <v>177157</v>
      </c>
      <c r="C2554" s="2" t="s">
        <v>569</v>
      </c>
      <c r="D2554" s="2" t="str">
        <f t="shared" si="38"/>
        <v>Error?</v>
      </c>
    </row>
    <row r="2555" spans="1:4" x14ac:dyDescent="0.2">
      <c r="A2555" s="5">
        <v>2494</v>
      </c>
      <c r="B2555" s="1832">
        <f>'Acct Summary 7-8'!C8</f>
        <v>3651947</v>
      </c>
      <c r="C2555" s="2" t="s">
        <v>569</v>
      </c>
      <c r="D2555" s="2" t="str">
        <f t="shared" si="38"/>
        <v>Error?</v>
      </c>
    </row>
    <row r="2556" spans="1:4" x14ac:dyDescent="0.2">
      <c r="A2556" s="5">
        <v>2495</v>
      </c>
      <c r="B2556" s="1832">
        <f>'Acct Summary 7-8'!C12</f>
        <v>2732587</v>
      </c>
      <c r="C2556" s="2" t="s">
        <v>569</v>
      </c>
      <c r="D2556" s="2" t="str">
        <f t="shared" si="38"/>
        <v>Error?</v>
      </c>
    </row>
    <row r="2557" spans="1:4" x14ac:dyDescent="0.2">
      <c r="A2557" s="5">
        <v>2496</v>
      </c>
      <c r="B2557" s="1832">
        <f>'Acct Summary 7-8'!C13</f>
        <v>780809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250926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3764322</v>
      </c>
      <c r="C2561" s="2" t="s">
        <v>569</v>
      </c>
      <c r="D2561" s="2" t="str">
        <f t="shared" si="39"/>
        <v>Error?</v>
      </c>
    </row>
    <row r="2562" spans="1:4" x14ac:dyDescent="0.2">
      <c r="A2562" s="5">
        <v>2501</v>
      </c>
      <c r="B2562" s="1832">
        <f>'Acct Summary 7-8'!C20</f>
        <v>-112375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341515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341515</v>
      </c>
      <c r="C2568" s="2" t="s">
        <v>569</v>
      </c>
      <c r="D2568" s="2" t="str">
        <f t="shared" si="39"/>
        <v>Error?</v>
      </c>
    </row>
    <row r="2569" spans="1:4" x14ac:dyDescent="0.2">
      <c r="A2569" s="5">
        <v>2508</v>
      </c>
      <c r="B2569" s="1832">
        <f>'Acct Summary 7-8'!D13</f>
        <v>327020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327020</v>
      </c>
      <c r="C2573" s="2" t="s">
        <v>569</v>
      </c>
      <c r="D2573" s="2" t="str">
        <f t="shared" si="39"/>
        <v>Error?</v>
      </c>
    </row>
    <row r="2574" spans="1:4" x14ac:dyDescent="0.2">
      <c r="A2574" s="5">
        <v>2513</v>
      </c>
      <c r="B2574" s="1832">
        <f>'Acct Summary 7-8'!D20</f>
        <v>14495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606499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173268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779767</v>
      </c>
      <c r="C2595" s="2" t="s">
        <v>569</v>
      </c>
      <c r="D2595" s="2" t="str">
        <f t="shared" si="39"/>
        <v>Error?</v>
      </c>
    </row>
    <row r="2596" spans="1:4" x14ac:dyDescent="0.2">
      <c r="A2596" s="5">
        <v>2535</v>
      </c>
      <c r="B2596" s="1832">
        <f>'Acct Summary 7-8'!F13</f>
        <v>389009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389009</v>
      </c>
      <c r="C2600" s="2" t="s">
        <v>569</v>
      </c>
      <c r="D2600" s="2" t="str">
        <f t="shared" si="39"/>
        <v>Error?</v>
      </c>
    </row>
    <row r="2601" spans="1:4" x14ac:dyDescent="0.2">
      <c r="A2601" s="5">
        <v>2540</v>
      </c>
      <c r="B2601" s="1832">
        <f>'Acct Summary 7-8'!F20</f>
        <v>390758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97677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97677</v>
      </c>
      <c r="C2606" s="2" t="s">
        <v>569</v>
      </c>
      <c r="D2606" s="2" t="str">
        <f t="shared" si="39"/>
        <v>Error?</v>
      </c>
    </row>
    <row r="2607" spans="1:4" x14ac:dyDescent="0.2">
      <c r="A2607" s="5">
        <v>2546</v>
      </c>
      <c r="B2607" s="1832">
        <f>'Acct Summary 7-8'!G12</f>
        <v>74388</v>
      </c>
      <c r="C2607" s="2" t="s">
        <v>569</v>
      </c>
      <c r="D2607" s="2" t="str">
        <f t="shared" si="39"/>
        <v>Error?</v>
      </c>
    </row>
    <row r="2608" spans="1:4" x14ac:dyDescent="0.2">
      <c r="A2608" s="5">
        <v>2547</v>
      </c>
      <c r="B2608" s="1832">
        <f>'Acct Summary 7-8'!G13</f>
        <v>57622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132010</v>
      </c>
      <c r="C2612" s="2" t="s">
        <v>569</v>
      </c>
      <c r="D2612" s="2" t="str">
        <f t="shared" si="39"/>
        <v>Error?</v>
      </c>
    </row>
    <row r="2613" spans="1:4" x14ac:dyDescent="0.2">
      <c r="A2613" s="5">
        <v>2552</v>
      </c>
      <c r="B2613" s="1832">
        <f>'Acct Summary 7-8'!G20</f>
        <v>-34333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220214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220214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183200</v>
      </c>
      <c r="C2634" s="2" t="s">
        <v>569</v>
      </c>
      <c r="D2634" s="2" t="str">
        <f t="shared" si="40"/>
        <v>Error?</v>
      </c>
    </row>
    <row r="2635" spans="1:4" x14ac:dyDescent="0.2">
      <c r="A2635" s="5">
        <v>2574</v>
      </c>
      <c r="B2635" s="1832">
        <f>'Acct Summary 7-8'!E17</f>
        <v>183200</v>
      </c>
      <c r="C2635" s="2" t="s">
        <v>569</v>
      </c>
      <c r="D2635" s="2" t="str">
        <f t="shared" si="40"/>
        <v>Error?</v>
      </c>
    </row>
    <row r="2636" spans="1:4" x14ac:dyDescent="0.2">
      <c r="A2636" s="5">
        <v>2575</v>
      </c>
      <c r="B2636" s="1832">
        <f>'Acct Summary 7-8'!E20</f>
        <v>37014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179462</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229462</v>
      </c>
      <c r="C2658" s="2" t="s">
        <v>569</v>
      </c>
      <c r="D2658" s="2" t="str">
        <f t="shared" si="40"/>
        <v>Error?</v>
      </c>
    </row>
    <row r="2659" spans="1:4" x14ac:dyDescent="0.2">
      <c r="A2659" s="5">
        <v>2598</v>
      </c>
      <c r="B2659" s="1832">
        <f>'Acct Summary 7-8'!H13</f>
        <v>77110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77110</v>
      </c>
      <c r="C2661" s="2" t="s">
        <v>569</v>
      </c>
      <c r="D2661" s="2" t="str">
        <f t="shared" si="40"/>
        <v>Error?</v>
      </c>
    </row>
    <row r="2662" spans="1:4" x14ac:dyDescent="0.2">
      <c r="A2662" s="5">
        <v>2601</v>
      </c>
      <c r="B2662" s="1832">
        <f>'Acct Summary 7-8'!H20</f>
        <v>152352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22622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1843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25435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105337</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224046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25435</v>
      </c>
      <c r="D2912" s="2" t="str">
        <f t="shared" si="44"/>
        <v>Error?</v>
      </c>
    </row>
    <row r="2913" spans="1:4" x14ac:dyDescent="0.2">
      <c r="A2913" s="5">
        <v>2852</v>
      </c>
      <c r="B2913" s="1832">
        <f>'Assets-Liab 5-6'!I41</f>
        <v>25435</v>
      </c>
      <c r="C2913" s="2" t="s">
        <v>569</v>
      </c>
      <c r="D2913" s="2" t="str">
        <f t="shared" si="44"/>
        <v>Error?</v>
      </c>
    </row>
    <row r="2914" spans="1:4" x14ac:dyDescent="0.2">
      <c r="A2914" s="5">
        <v>2853</v>
      </c>
      <c r="B2914" s="1832">
        <f>'Assets-Liab 5-6'!L33</f>
        <v>224046</v>
      </c>
      <c r="D2914" s="2" t="str">
        <f t="shared" si="44"/>
        <v>Error?</v>
      </c>
    </row>
    <row r="2915" spans="1:4" x14ac:dyDescent="0.2">
      <c r="A2915" s="10">
        <v>2854</v>
      </c>
      <c r="B2915" s="1832"/>
      <c r="D2915" s="2" t="str">
        <f t="shared" si="44"/>
        <v>OK</v>
      </c>
    </row>
    <row r="2916" spans="1:4" x14ac:dyDescent="0.2">
      <c r="A2916" s="5">
        <v>2855</v>
      </c>
      <c r="B2916" s="1832">
        <f>'Assets-Liab 5-6'!L34</f>
        <v>224046</v>
      </c>
      <c r="C2916" s="2" t="s">
        <v>569</v>
      </c>
      <c r="D2916" s="2" t="str">
        <f t="shared" si="44"/>
        <v>Error?</v>
      </c>
    </row>
    <row r="2917" spans="1:4" x14ac:dyDescent="0.2">
      <c r="A2917" s="5">
        <v>2856</v>
      </c>
      <c r="B2917" s="1832">
        <f>'Assets-Liab 5-6'!L41</f>
        <v>224046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215829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12475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215829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12475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95780</v>
      </c>
      <c r="D3055" s="2" t="str">
        <f t="shared" si="46"/>
        <v>Error?</v>
      </c>
    </row>
    <row r="3056" spans="1:4" x14ac:dyDescent="0.2">
      <c r="A3056" s="5">
        <v>2995</v>
      </c>
      <c r="B3056" s="1832">
        <f>'Expenditures 15-22'!D10</f>
        <v>7577</v>
      </c>
      <c r="D3056" s="2" t="str">
        <f t="shared" si="46"/>
        <v>Error?</v>
      </c>
    </row>
    <row r="3057" spans="1:4" x14ac:dyDescent="0.2">
      <c r="A3057" s="5">
        <v>2996</v>
      </c>
      <c r="B3057" s="1832">
        <f>'Expenditures 15-22'!E10</f>
        <v>2200</v>
      </c>
      <c r="D3057" s="2" t="str">
        <f t="shared" si="46"/>
        <v>Error?</v>
      </c>
    </row>
    <row r="3058" spans="1:4" x14ac:dyDescent="0.2">
      <c r="A3058" s="5">
        <v>2997</v>
      </c>
      <c r="B3058" s="1832">
        <f>'Expenditures 15-22'!F10</f>
        <v>1710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107267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1343</v>
      </c>
      <c r="D3064" s="2" t="str">
        <f t="shared" si="46"/>
        <v>Error?</v>
      </c>
    </row>
    <row r="3065" spans="1:4" x14ac:dyDescent="0.2">
      <c r="A3065" s="5">
        <v>3004</v>
      </c>
      <c r="B3065" s="1832">
        <f>'Expenditures 15-22'!K219</f>
        <v>1343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37511</v>
      </c>
      <c r="C3225" s="2" t="s">
        <v>569</v>
      </c>
      <c r="D3225" s="2" t="str">
        <f t="shared" si="49"/>
        <v>Error?</v>
      </c>
    </row>
    <row r="3226" spans="1:4" x14ac:dyDescent="0.2">
      <c r="A3226" s="5">
        <v>3165</v>
      </c>
      <c r="B3226" s="1832">
        <f>'Acct Summary 7-8'!I8</f>
        <v>37511</v>
      </c>
      <c r="C3226" s="2" t="s">
        <v>569</v>
      </c>
      <c r="D3226" s="2" t="str">
        <f t="shared" si="49"/>
        <v>Error?</v>
      </c>
    </row>
    <row r="3227" spans="1:4" x14ac:dyDescent="0.2">
      <c r="A3227" s="5">
        <v>3166</v>
      </c>
      <c r="B3227" s="1832">
        <f>'Acct Summary 7-8'!I20</f>
        <v>37511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-112375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14495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390758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-34333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37014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152352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37511</v>
      </c>
      <c r="C3320" s="2" t="s">
        <v>569</v>
      </c>
      <c r="D3320" s="2" t="str">
        <f t="shared" si="50"/>
        <v>Error?</v>
      </c>
    </row>
    <row r="3321" spans="1:4" x14ac:dyDescent="0.2">
      <c r="A3321" s="5">
        <v>3260</v>
      </c>
      <c r="B3321" s="1832">
        <f>'Acct Summary 7-8'!I79</f>
        <v>-12076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25435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384150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58753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1602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4192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448697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30667</v>
      </c>
      <c r="D3387" s="2" t="str">
        <f t="shared" si="51"/>
        <v>Error?</v>
      </c>
    </row>
    <row r="3388" spans="1:4" x14ac:dyDescent="0.2">
      <c r="A3388" s="5">
        <v>3327</v>
      </c>
      <c r="B3388" s="1832">
        <f>'Expenditures 15-22'!D217</f>
        <v>30488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30667</v>
      </c>
      <c r="C3390" s="2" t="s">
        <v>569</v>
      </c>
      <c r="D3390" s="2" t="str">
        <f t="shared" si="51"/>
        <v>Error?</v>
      </c>
    </row>
    <row r="3391" spans="1:4" x14ac:dyDescent="0.2">
      <c r="A3391" s="5">
        <v>3330</v>
      </c>
      <c r="B3391" s="1832">
        <f>'Expenditures 15-22'!K217</f>
        <v>30488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979386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316366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160675</v>
      </c>
      <c r="D3417" s="2" t="str">
        <f t="shared" si="52"/>
        <v>Error?</v>
      </c>
    </row>
    <row r="3418" spans="1:4" x14ac:dyDescent="0.2">
      <c r="A3418" s="10">
        <v>3357</v>
      </c>
      <c r="B3418" s="1832"/>
      <c r="D3418" s="2" t="str">
        <f t="shared" si="52"/>
        <v>OK</v>
      </c>
    </row>
    <row r="3419" spans="1:4" x14ac:dyDescent="0.2">
      <c r="A3419" s="5">
        <v>3358</v>
      </c>
      <c r="B3419" s="1832">
        <f>'Assets-Liab 5-6'!F4</f>
        <v>964001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44250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261593</v>
      </c>
      <c r="D3425" s="2" t="str">
        <f t="shared" si="52"/>
        <v>Error?</v>
      </c>
    </row>
    <row r="3426" spans="1:4" x14ac:dyDescent="0.2">
      <c r="A3426" s="10">
        <v>3365</v>
      </c>
      <c r="B3426" s="1832"/>
      <c r="D3426" s="2" t="str">
        <f t="shared" si="52"/>
        <v>OK</v>
      </c>
    </row>
    <row r="3427" spans="1:4" x14ac:dyDescent="0.2">
      <c r="A3427" s="5">
        <v>3366</v>
      </c>
      <c r="B3427" s="1832">
        <f>'Assets-Liab 5-6'!I4</f>
        <v>23592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118709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34556</v>
      </c>
      <c r="C3446" s="2" t="s">
        <v>569</v>
      </c>
      <c r="D3446" s="2" t="str">
        <f t="shared" si="52"/>
        <v>Error?</v>
      </c>
    </row>
    <row r="3447" spans="1:4" x14ac:dyDescent="0.2">
      <c r="A3447" s="5">
        <v>3386</v>
      </c>
      <c r="B3447" s="1832">
        <f>'Tax Sched 23'!D16</f>
        <v>34556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61791</v>
      </c>
      <c r="C3449" s="2" t="s">
        <v>569</v>
      </c>
      <c r="D3449" s="2" t="str">
        <f t="shared" si="52"/>
        <v>Error?</v>
      </c>
    </row>
    <row r="3450" spans="1:4" x14ac:dyDescent="0.2">
      <c r="A3450" s="5">
        <v>3389</v>
      </c>
      <c r="B3450" s="1832">
        <f>'Tax Sched 23'!E16</f>
        <v>61791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33004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47981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80985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80985</v>
      </c>
      <c r="D3567" s="2" t="str">
        <f t="shared" si="54"/>
        <v>Error?</v>
      </c>
    </row>
    <row r="3568" spans="1:4" x14ac:dyDescent="0.2">
      <c r="A3568" s="5">
        <v>3507</v>
      </c>
      <c r="B3568" s="1832">
        <f>'Assets-Liab 5-6'!K41</f>
        <v>80985</v>
      </c>
      <c r="C3568" s="2" t="s">
        <v>569</v>
      </c>
      <c r="D3568" s="2" t="str">
        <f t="shared" si="54"/>
        <v>Error?</v>
      </c>
    </row>
    <row r="3569" spans="1:4" x14ac:dyDescent="0.2">
      <c r="A3569" s="5">
        <v>3508</v>
      </c>
      <c r="B3569" s="1832">
        <f>'Acct Summary 7-8'!K4</f>
        <v>5947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5947</v>
      </c>
      <c r="C3571" s="2" t="s">
        <v>569</v>
      </c>
      <c r="D3571" s="2" t="str">
        <f t="shared" si="54"/>
        <v>Error?</v>
      </c>
    </row>
    <row r="3572" spans="1:4" x14ac:dyDescent="0.2">
      <c r="A3572" s="5">
        <v>3511</v>
      </c>
      <c r="B3572" s="1832">
        <f>'Acct Summary 7-8'!K13</f>
        <v>4812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4812</v>
      </c>
      <c r="C3575" s="2" t="s">
        <v>569</v>
      </c>
      <c r="D3575" s="2" t="str">
        <f t="shared" si="54"/>
        <v>Error?</v>
      </c>
    </row>
    <row r="3576" spans="1:4" x14ac:dyDescent="0.2">
      <c r="A3576" s="5">
        <v>3515</v>
      </c>
      <c r="B3576" s="1832">
        <f>'Acct Summary 7-8'!K20</f>
        <v>1135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1135</v>
      </c>
      <c r="C3588" s="2" t="s">
        <v>569</v>
      </c>
      <c r="D3588" s="2" t="str">
        <f t="shared" si="55"/>
        <v>Error?</v>
      </c>
    </row>
    <row r="3589" spans="1:4" x14ac:dyDescent="0.2">
      <c r="A3589" s="5">
        <v>3528</v>
      </c>
      <c r="B3589" s="1832">
        <f>'Acct Summary 7-8'!K79</f>
        <v>79850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80985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4812</v>
      </c>
      <c r="D3632" s="2" t="str">
        <f t="shared" si="55"/>
        <v>Error?</v>
      </c>
    </row>
    <row r="3633" spans="1:4" x14ac:dyDescent="0.2">
      <c r="A3633" s="5">
        <v>3572</v>
      </c>
      <c r="B3633" s="1832">
        <f>'Expenditures 15-22'!E350</f>
        <v>4812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4812</v>
      </c>
      <c r="C3635" s="2" t="s">
        <v>569</v>
      </c>
      <c r="D3635" s="2" t="str">
        <f t="shared" si="55"/>
        <v>Error?</v>
      </c>
    </row>
    <row r="3636" spans="1:4" x14ac:dyDescent="0.2">
      <c r="A3636" s="5">
        <v>3575</v>
      </c>
      <c r="B3636" s="1832">
        <f>'Expenditures 15-22'!E367</f>
        <v>4812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4812</v>
      </c>
      <c r="C3669" s="2" t="s">
        <v>569</v>
      </c>
      <c r="D3669" s="2" t="str">
        <f t="shared" si="56"/>
        <v>Error?</v>
      </c>
    </row>
    <row r="3670" spans="1:4" x14ac:dyDescent="0.2">
      <c r="A3670" s="5">
        <v>3609</v>
      </c>
      <c r="B3670" s="1832">
        <f>'Expenditures 15-22'!K350</f>
        <v>4812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4812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4812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10897</v>
      </c>
      <c r="C3725" s="2" t="s">
        <v>569</v>
      </c>
      <c r="D3725" s="2" t="str">
        <f t="shared" si="57"/>
        <v>Error?</v>
      </c>
    </row>
    <row r="3726" spans="1:4" x14ac:dyDescent="0.2">
      <c r="A3726" s="5">
        <v>3665</v>
      </c>
      <c r="B3726" s="1832">
        <f>'Tax Sched 23'!D13</f>
        <v>10897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10985</v>
      </c>
      <c r="C3728" s="2" t="s">
        <v>569</v>
      </c>
      <c r="D3728" s="2" t="str">
        <f t="shared" si="57"/>
        <v>Error?</v>
      </c>
    </row>
    <row r="3729" spans="1:4" x14ac:dyDescent="0.2">
      <c r="A3729" s="5">
        <v>3668</v>
      </c>
      <c r="B3729" s="1832">
        <f>'Tax Sched 23'!E13</f>
        <v>10985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1662856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5314803</v>
      </c>
      <c r="C4122" s="2" t="s">
        <v>569</v>
      </c>
      <c r="D4122" s="2" t="str">
        <f t="shared" si="63"/>
        <v>Error?</v>
      </c>
    </row>
    <row r="4123" spans="1:4" x14ac:dyDescent="0.2">
      <c r="A4123" s="5">
        <v>4062</v>
      </c>
      <c r="B4123" s="1832">
        <f>'Acct Summary 7-8'!D10</f>
        <v>341515</v>
      </c>
      <c r="C4123" s="2" t="s">
        <v>569</v>
      </c>
      <c r="D4123" s="2" t="str">
        <f t="shared" si="63"/>
        <v>Error?</v>
      </c>
    </row>
    <row r="4124" spans="1:4" x14ac:dyDescent="0.2">
      <c r="A4124" s="5">
        <v>4063</v>
      </c>
      <c r="B4124" s="1832">
        <f>'Acct Summary 7-8'!E10</f>
        <v>220214</v>
      </c>
      <c r="C4124" s="2" t="s">
        <v>569</v>
      </c>
      <c r="D4124" s="2" t="str">
        <f t="shared" si="63"/>
        <v>Error?</v>
      </c>
    </row>
    <row r="4125" spans="1:4" x14ac:dyDescent="0.2">
      <c r="A4125" s="5">
        <v>4064</v>
      </c>
      <c r="B4125" s="1832">
        <f>'Acct Summary 7-8'!F10</f>
        <v>779767</v>
      </c>
      <c r="C4125" s="2" t="s">
        <v>569</v>
      </c>
      <c r="D4125" s="2" t="str">
        <f t="shared" si="63"/>
        <v>Error?</v>
      </c>
    </row>
    <row r="4126" spans="1:4" x14ac:dyDescent="0.2">
      <c r="A4126" s="5">
        <v>4065</v>
      </c>
      <c r="B4126" s="1832">
        <f>'Acct Summary 7-8'!G10</f>
        <v>97677</v>
      </c>
      <c r="C4126" s="2" t="s">
        <v>569</v>
      </c>
      <c r="D4126" s="2" t="str">
        <f t="shared" si="63"/>
        <v>Error?</v>
      </c>
    </row>
    <row r="4127" spans="1:4" x14ac:dyDescent="0.2">
      <c r="A4127" s="5">
        <v>4066</v>
      </c>
      <c r="B4127" s="1832">
        <f>'Acct Summary 7-8'!H10</f>
        <v>229462</v>
      </c>
      <c r="C4127" s="2" t="s">
        <v>569</v>
      </c>
      <c r="D4127" s="2" t="str">
        <f t="shared" si="63"/>
        <v>Error?</v>
      </c>
    </row>
    <row r="4128" spans="1:4" x14ac:dyDescent="0.2">
      <c r="A4128" s="5">
        <v>4067</v>
      </c>
      <c r="B4128" s="1832">
        <f>'Acct Summary 7-8'!I10</f>
        <v>37511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5947</v>
      </c>
      <c r="C4130" s="2" t="s">
        <v>569</v>
      </c>
      <c r="D4130" s="2" t="str">
        <f t="shared" si="63"/>
        <v>Error?</v>
      </c>
    </row>
    <row r="4131" spans="1:4" x14ac:dyDescent="0.2">
      <c r="A4131" s="5">
        <v>4070</v>
      </c>
      <c r="B4131" s="1832">
        <f>'Acct Summary 7-8'!C18</f>
        <v>1662856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5427178</v>
      </c>
      <c r="C4136" s="2" t="s">
        <v>569</v>
      </c>
      <c r="D4136" s="2" t="str">
        <f t="shared" si="63"/>
        <v>Error?</v>
      </c>
    </row>
    <row r="4137" spans="1:4" x14ac:dyDescent="0.2">
      <c r="A4137" s="5">
        <v>4076</v>
      </c>
      <c r="B4137" s="1832">
        <f>'Acct Summary 7-8'!D19</f>
        <v>327020</v>
      </c>
      <c r="C4137" s="2" t="s">
        <v>569</v>
      </c>
      <c r="D4137" s="2" t="str">
        <f t="shared" si="63"/>
        <v>Error?</v>
      </c>
    </row>
    <row r="4138" spans="1:4" x14ac:dyDescent="0.2">
      <c r="A4138" s="5">
        <v>4077</v>
      </c>
      <c r="B4138" s="1832">
        <f>'Acct Summary 7-8'!E19</f>
        <v>183200</v>
      </c>
      <c r="C4138" s="2" t="s">
        <v>569</v>
      </c>
      <c r="D4138" s="2" t="str">
        <f t="shared" si="63"/>
        <v>Error?</v>
      </c>
    </row>
    <row r="4139" spans="1:4" x14ac:dyDescent="0.2">
      <c r="A4139" s="5">
        <v>4078</v>
      </c>
      <c r="B4139" s="1832">
        <f>'Acct Summary 7-8'!F19</f>
        <v>389009</v>
      </c>
      <c r="C4139" s="2" t="s">
        <v>569</v>
      </c>
      <c r="D4139" s="2" t="str">
        <f t="shared" si="63"/>
        <v>Error?</v>
      </c>
    </row>
    <row r="4140" spans="1:4" x14ac:dyDescent="0.2">
      <c r="A4140" s="5">
        <v>4079</v>
      </c>
      <c r="B4140" s="1832">
        <f>'Acct Summary 7-8'!G19</f>
        <v>132010</v>
      </c>
      <c r="C4140" s="2" t="s">
        <v>569</v>
      </c>
      <c r="D4140" s="2" t="str">
        <f t="shared" si="63"/>
        <v>Error?</v>
      </c>
    </row>
    <row r="4141" spans="1:4" x14ac:dyDescent="0.2">
      <c r="A4141" s="5">
        <v>4080</v>
      </c>
      <c r="B4141" s="1832">
        <f>'Acct Summary 7-8'!H19</f>
        <v>77110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4812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668281</v>
      </c>
      <c r="C4171" s="2" t="s">
        <v>569</v>
      </c>
      <c r="D4171" s="2" t="str">
        <f t="shared" si="64"/>
        <v>Error?</v>
      </c>
    </row>
    <row r="4172" spans="1:4" x14ac:dyDescent="0.2">
      <c r="A4172" s="5">
        <v>4111</v>
      </c>
      <c r="B4172" s="1832">
        <f>'Short-Term Long-Term Debt 24'!J49</f>
        <v>481054</v>
      </c>
      <c r="C4172" s="2" t="s">
        <v>569</v>
      </c>
      <c r="D4172" s="2" t="str">
        <f t="shared" si="64"/>
        <v>Error?</v>
      </c>
    </row>
    <row r="4173" spans="1:4" x14ac:dyDescent="0.2">
      <c r="A4173" s="5">
        <v>4112</v>
      </c>
      <c r="B4173" s="1832">
        <f>'Short-Term Long-Term Debt 24'!H49</f>
        <v>153000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-8242</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3780</v>
      </c>
      <c r="C4265" s="2" t="s">
        <v>569</v>
      </c>
      <c r="D4265" s="2" t="str">
        <f t="shared" si="65"/>
        <v>Error?</v>
      </c>
      <c r="E4265" s="125"/>
    </row>
    <row r="4266" spans="1:5" x14ac:dyDescent="0.2">
      <c r="A4266" s="12">
        <v>4205</v>
      </c>
      <c r="B4266" s="1832">
        <f>('FP Info 3'!F10)*100000</f>
        <v>290</v>
      </c>
      <c r="C4266" s="2" t="s">
        <v>569</v>
      </c>
      <c r="D4266" s="2" t="str">
        <f t="shared" si="65"/>
        <v>Error?</v>
      </c>
      <c r="E4266" s="125"/>
    </row>
    <row r="4267" spans="1:5" x14ac:dyDescent="0.2">
      <c r="A4267" s="12">
        <v>4206</v>
      </c>
      <c r="B4267" s="1832">
        <f>('FP Info 3'!H10)*100000</f>
        <v>592.4</v>
      </c>
      <c r="C4267" s="2" t="s">
        <v>569</v>
      </c>
      <c r="D4267" s="2" t="str">
        <f t="shared" si="65"/>
        <v>Error?</v>
      </c>
      <c r="E4267" s="125"/>
    </row>
    <row r="4268" spans="1:5" x14ac:dyDescent="0.2">
      <c r="A4268" s="12">
        <v>4207</v>
      </c>
      <c r="B4268" s="1832">
        <f>('FP Info 3'!J10)*100000</f>
        <v>4662</v>
      </c>
      <c r="C4268" s="2" t="s">
        <v>569</v>
      </c>
      <c r="D4268" s="2" t="str">
        <f t="shared" si="65"/>
        <v>Error?</v>
      </c>
    </row>
    <row r="4269" spans="1:5" x14ac:dyDescent="0.2">
      <c r="A4269" s="12">
        <v>4208</v>
      </c>
      <c r="B4269" s="1832">
        <f>'FP Info 3'!J16</f>
        <v>2613037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13905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9000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15.3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3243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24800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135951185</v>
      </c>
      <c r="D4995" s="2" t="str">
        <f t="shared" si="77"/>
        <v>Error?</v>
      </c>
    </row>
    <row r="4996" spans="1:4" x14ac:dyDescent="0.2">
      <c r="A4996" s="12">
        <v>4935</v>
      </c>
      <c r="B4996" s="1832">
        <f>'FP Info 3'!H31</f>
        <v>9380631.7650000006</v>
      </c>
      <c r="D4996" s="2" t="str">
        <f t="shared" si="77"/>
        <v>Error?</v>
      </c>
    </row>
    <row r="4997" spans="1:4" x14ac:dyDescent="0.2">
      <c r="A4997" s="12">
        <v>4936</v>
      </c>
      <c r="B4997" s="1832">
        <f>'FP Info 3'!H37</f>
        <v>668281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10897</v>
      </c>
      <c r="D5026" s="2" t="str">
        <f t="shared" si="77"/>
        <v>Error?</v>
      </c>
    </row>
    <row r="5027" spans="1:4" x14ac:dyDescent="0.2">
      <c r="A5027" s="5">
        <v>4966</v>
      </c>
      <c r="B5027" s="1832">
        <f>'Revenues 9-14'!F104</f>
        <v>106025</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2234199</v>
      </c>
      <c r="D5061" s="2" t="str">
        <f t="shared" si="78"/>
        <v>Error?</v>
      </c>
    </row>
    <row r="5062" spans="1:4" x14ac:dyDescent="0.2">
      <c r="A5062" s="10">
        <v>5001</v>
      </c>
      <c r="B5062" s="1832"/>
      <c r="D5062" s="2" t="str">
        <f t="shared" si="78"/>
        <v>OK</v>
      </c>
    </row>
    <row r="5063" spans="1:4" x14ac:dyDescent="0.2">
      <c r="A5063" s="5">
        <v>5002</v>
      </c>
      <c r="B5063" s="1832">
        <f>'Revenues 9-14'!C7</f>
        <v>32579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2277675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4822</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11863</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16685</v>
      </c>
      <c r="C5087" s="2" t="s">
        <v>569</v>
      </c>
      <c r="D5087" s="2" t="str">
        <f t="shared" si="78"/>
        <v>Error?</v>
      </c>
    </row>
    <row r="5088" spans="1:4" x14ac:dyDescent="0.2">
      <c r="A5088" s="5">
        <v>5027</v>
      </c>
      <c r="B5088" s="1832">
        <f>'Revenues 9-14'!C65</f>
        <v>21338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21338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38060</v>
      </c>
      <c r="C5096" s="2" t="s">
        <v>569</v>
      </c>
      <c r="D5096" s="2" t="str">
        <f t="shared" si="78"/>
        <v>Error?</v>
      </c>
    </row>
    <row r="5097" spans="1:4" x14ac:dyDescent="0.2">
      <c r="A5097" s="5">
        <v>5036</v>
      </c>
      <c r="B5097" s="1832">
        <f>'Revenues 9-14'!C77</f>
        <v>35737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7534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43271</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22871</v>
      </c>
      <c r="D5111" s="2" t="str">
        <f t="shared" si="78"/>
        <v>Error?</v>
      </c>
    </row>
    <row r="5112" spans="1:4" x14ac:dyDescent="0.2">
      <c r="A5112" s="5">
        <v>5051</v>
      </c>
      <c r="B5112" s="1832">
        <f>'Revenues 9-14'!C93</f>
        <v>22871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28852</v>
      </c>
      <c r="D5119" s="2" t="str">
        <f t="shared" ref="D5119:D5182" si="79">IF(ISBLANK(B5119),"OK",IF(A5119-B5119=0,"OK","Error?"))</f>
        <v>Error?</v>
      </c>
    </row>
    <row r="5120" spans="1:4" x14ac:dyDescent="0.2">
      <c r="A5120" s="5">
        <v>5059</v>
      </c>
      <c r="B5120" s="1832">
        <f>'Revenues 9-14'!C108</f>
        <v>32302</v>
      </c>
      <c r="C5120" s="2" t="s">
        <v>569</v>
      </c>
      <c r="D5120" s="2" t="str">
        <f t="shared" si="79"/>
        <v>Error?</v>
      </c>
    </row>
    <row r="5121" spans="1:4" x14ac:dyDescent="0.2">
      <c r="A5121" s="5">
        <v>5060</v>
      </c>
      <c r="B5121" s="1832">
        <f>'Revenues 9-14'!C109</f>
        <v>2452202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775173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775173</v>
      </c>
      <c r="C5132" s="2" t="s">
        <v>569</v>
      </c>
      <c r="D5132" s="2" t="str">
        <f t="shared" si="79"/>
        <v>Error?</v>
      </c>
    </row>
    <row r="5133" spans="1:4" x14ac:dyDescent="0.2">
      <c r="A5133" s="5">
        <v>5072</v>
      </c>
      <c r="B5133" s="1832">
        <f>'Revenues 9-14'!C125</f>
        <v>10413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10413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14708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854</v>
      </c>
      <c r="D5167" s="2" t="str">
        <f t="shared" si="79"/>
        <v>Error?</v>
      </c>
    </row>
    <row r="5168" spans="1:4" x14ac:dyDescent="0.2">
      <c r="A5168" s="5">
        <v>5107</v>
      </c>
      <c r="B5168" s="1832">
        <f>'Revenues 9-14'!C148</f>
        <v>3378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214819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247415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1022588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50209</v>
      </c>
      <c r="D5239" s="2" t="str">
        <f t="shared" si="80"/>
        <v>Error?</v>
      </c>
    </row>
    <row r="5240" spans="1:4" x14ac:dyDescent="0.2">
      <c r="A5240" s="5">
        <v>5179</v>
      </c>
      <c r="B5240" s="1832">
        <f>'Revenues 9-14'!C192</f>
        <v>602</v>
      </c>
      <c r="D5240" s="2" t="str">
        <f t="shared" si="80"/>
        <v>Error?</v>
      </c>
    </row>
    <row r="5241" spans="1:4" x14ac:dyDescent="0.2">
      <c r="A5241" s="5">
        <v>5180</v>
      </c>
      <c r="B5241" s="1832">
        <f>'Revenues 9-14'!C193</f>
        <v>14283</v>
      </c>
      <c r="D5241" s="2" t="str">
        <f t="shared" si="80"/>
        <v>Error?</v>
      </c>
    </row>
    <row r="5242" spans="1:4" x14ac:dyDescent="0.2">
      <c r="A5242" s="5">
        <v>5181</v>
      </c>
      <c r="B5242" s="1832">
        <f>'Revenues 9-14'!C194</f>
        <v>3916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69010</v>
      </c>
      <c r="C5246" s="2" t="s">
        <v>569</v>
      </c>
      <c r="D5246" s="2" t="str">
        <f t="shared" si="80"/>
        <v>Error?</v>
      </c>
    </row>
    <row r="5247" spans="1:4" x14ac:dyDescent="0.2">
      <c r="A5247" s="5">
        <v>5186</v>
      </c>
      <c r="B5247" s="1832">
        <f>'Revenues 9-14'!C200</f>
        <v>56750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56750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3692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3692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177157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177157</v>
      </c>
      <c r="C5326" s="2" t="s">
        <v>569</v>
      </c>
      <c r="D5326" s="2" t="str">
        <f t="shared" si="82"/>
        <v>Error?</v>
      </c>
    </row>
    <row r="5327" spans="1:5" x14ac:dyDescent="0.2">
      <c r="A5327" s="5">
        <v>5266</v>
      </c>
      <c r="B5327" s="1832">
        <f>'Revenues 9-14'!C268</f>
        <v>3651947</v>
      </c>
      <c r="C5327" s="2" t="s">
        <v>569</v>
      </c>
      <c r="D5327" s="2" t="str">
        <f t="shared" si="82"/>
        <v>Error?</v>
      </c>
    </row>
    <row r="5328" spans="1:5" x14ac:dyDescent="0.2">
      <c r="A5328" s="5">
        <v>5267</v>
      </c>
      <c r="B5328" s="1832">
        <f>'Revenues 9-14'!D5</f>
        <v>271455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271455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65197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65197</v>
      </c>
      <c r="C5339" s="2" t="s">
        <v>569</v>
      </c>
      <c r="D5339" s="2" t="str">
        <f t="shared" si="82"/>
        <v>Error?</v>
      </c>
    </row>
    <row r="5340" spans="1:4" x14ac:dyDescent="0.2">
      <c r="A5340" s="5">
        <v>5279</v>
      </c>
      <c r="B5340" s="1832">
        <f>'Revenues 9-14'!D65</f>
        <v>100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994</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994</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3769</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3769</v>
      </c>
      <c r="C5355" s="2" t="s">
        <v>569</v>
      </c>
      <c r="D5355" s="2" t="str">
        <f t="shared" si="82"/>
        <v>Error?</v>
      </c>
    </row>
    <row r="5356" spans="1:4" x14ac:dyDescent="0.2">
      <c r="A5356" s="5">
        <v>5295</v>
      </c>
      <c r="B5356" s="1832">
        <f>'Revenues 9-14'!D109</f>
        <v>341515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341515</v>
      </c>
      <c r="C5508" s="2" t="s">
        <v>569</v>
      </c>
      <c r="D5508" s="2" t="str">
        <f t="shared" si="85"/>
        <v>Error?</v>
      </c>
    </row>
    <row r="5509" spans="1:4" x14ac:dyDescent="0.2">
      <c r="A5509" s="5">
        <v>5448</v>
      </c>
      <c r="B5509" s="1832">
        <f>'Revenues 9-14'!E5</f>
        <v>217531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217531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2616</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2616</v>
      </c>
      <c r="C5518" s="2" t="s">
        <v>569</v>
      </c>
      <c r="D5518" s="2" t="str">
        <f t="shared" si="85"/>
        <v>Error?</v>
      </c>
    </row>
    <row r="5519" spans="1:4" x14ac:dyDescent="0.2">
      <c r="A5519" s="5">
        <v>5458</v>
      </c>
      <c r="B5519" s="1832">
        <f>'Revenues 9-14'!E65</f>
        <v>67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220214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220214</v>
      </c>
      <c r="C5552" s="2" t="s">
        <v>569</v>
      </c>
      <c r="D5552" s="2" t="str">
        <f t="shared" si="85"/>
        <v>Error?</v>
      </c>
    </row>
    <row r="5553" spans="1:4" x14ac:dyDescent="0.2">
      <c r="A5553" s="5">
        <v>5492</v>
      </c>
      <c r="B5553" s="1832">
        <f>'Revenues 9-14'!F5</f>
        <v>500286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500286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188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106025</v>
      </c>
      <c r="C5587" s="2" t="s">
        <v>569</v>
      </c>
      <c r="D5587" s="2" t="str">
        <f t="shared" si="86"/>
        <v>Error?</v>
      </c>
    </row>
    <row r="5588" spans="1:4" x14ac:dyDescent="0.2">
      <c r="A5588" s="5">
        <v>5527</v>
      </c>
      <c r="B5588" s="1832">
        <f>'Revenues 9-14'!F109</f>
        <v>606499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89394</v>
      </c>
      <c r="D5615" s="2" t="str">
        <f t="shared" si="86"/>
        <v>Error?</v>
      </c>
    </row>
    <row r="5616" spans="1:4" x14ac:dyDescent="0.2">
      <c r="A5616" s="10">
        <v>5555</v>
      </c>
      <c r="B5616" s="1832"/>
      <c r="D5616" s="2" t="str">
        <f t="shared" si="86"/>
        <v>OK</v>
      </c>
    </row>
    <row r="5617" spans="1:5" x14ac:dyDescent="0.2">
      <c r="A5617" s="5">
        <v>5556</v>
      </c>
      <c r="B5617" s="1832">
        <f>'Revenues 9-14'!F153</f>
        <v>83874</v>
      </c>
      <c r="D5617" s="2" t="str">
        <f t="shared" si="86"/>
        <v>Error?</v>
      </c>
    </row>
    <row r="5618" spans="1:5" x14ac:dyDescent="0.2">
      <c r="A5618" s="5">
        <v>5557</v>
      </c>
      <c r="B5618" s="1832">
        <f>'Revenues 9-14'!F155</f>
        <v>173268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173268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173268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779767</v>
      </c>
      <c r="C5720" s="2" t="s">
        <v>569</v>
      </c>
      <c r="D5720" s="2" t="str">
        <f t="shared" si="88"/>
        <v>Error?</v>
      </c>
    </row>
    <row r="5721" spans="1:4" x14ac:dyDescent="0.2">
      <c r="A5721" s="5">
        <v>5660</v>
      </c>
      <c r="B5721" s="1832">
        <f>'Revenues 9-14'!G5</f>
        <v>46512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34556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81068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16567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16567</v>
      </c>
      <c r="C5730" s="2" t="s">
        <v>569</v>
      </c>
      <c r="D5730" s="2" t="str">
        <f t="shared" si="88"/>
        <v>Error?</v>
      </c>
    </row>
    <row r="5731" spans="1:4" x14ac:dyDescent="0.2">
      <c r="A5731" s="5">
        <v>5670</v>
      </c>
      <c r="B5731" s="1832">
        <f>'Revenues 9-14'!G65</f>
        <v>42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97677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179462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229462</v>
      </c>
      <c r="C5915" s="2" t="s">
        <v>569</v>
      </c>
      <c r="D5915" s="2" t="str">
        <f t="shared" si="91"/>
        <v>Error?</v>
      </c>
    </row>
    <row r="5916" spans="1:4" x14ac:dyDescent="0.2">
      <c r="A5916" s="5">
        <v>5855</v>
      </c>
      <c r="B5916" s="1832">
        <f>'Revenues 9-14'!I5</f>
        <v>35655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35655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1856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1856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37511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5945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5945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5947</v>
      </c>
      <c r="C6023" s="2" t="s">
        <v>569</v>
      </c>
      <c r="D6023" s="2" t="str">
        <f t="shared" si="93"/>
        <v>Error?</v>
      </c>
    </row>
    <row r="6024" spans="1:5" x14ac:dyDescent="0.2">
      <c r="A6024" s="5">
        <v>5963</v>
      </c>
      <c r="B6024" s="1832">
        <f>'Revenues 9-14'!G109</f>
        <v>97677</v>
      </c>
      <c r="C6024" s="2" t="s">
        <v>569</v>
      </c>
      <c r="D6024" s="2" t="str">
        <f t="shared" si="93"/>
        <v>Error?</v>
      </c>
    </row>
    <row r="6025" spans="1:5" x14ac:dyDescent="0.2">
      <c r="A6025" s="5">
        <v>5964</v>
      </c>
      <c r="B6025" s="1832">
        <f>'Revenues 9-14'!H109</f>
        <v>179462</v>
      </c>
      <c r="C6025" s="2" t="s">
        <v>569</v>
      </c>
      <c r="D6025" s="2" t="str">
        <f t="shared" si="93"/>
        <v>Error?</v>
      </c>
    </row>
    <row r="6026" spans="1:5" x14ac:dyDescent="0.2">
      <c r="A6026" s="5">
        <v>5965</v>
      </c>
      <c r="B6026" s="1832">
        <f>'Revenues 9-14'!I109</f>
        <v>37511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5947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38060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322.3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69631</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100000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11053</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-7158</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11053</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88947</v>
      </c>
      <c r="D6215" s="2" t="str">
        <f t="shared" si="96"/>
        <v>Error?</v>
      </c>
      <c r="E6215" s="2" t="s">
        <v>189</v>
      </c>
    </row>
    <row r="6216" spans="1:5" x14ac:dyDescent="0.2">
      <c r="A6216">
        <v>6155</v>
      </c>
      <c r="B6216" s="1832">
        <f>'Assets-Liab 5-6'!J41</f>
        <v>100000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100000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124832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124832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124832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156174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156174</v>
      </c>
      <c r="D6229" s="2" t="str">
        <f t="shared" si="96"/>
        <v>Error?</v>
      </c>
      <c r="E6229" s="2" t="s">
        <v>189</v>
      </c>
    </row>
    <row r="6230" spans="1:5" x14ac:dyDescent="0.2">
      <c r="A6230">
        <v>6169</v>
      </c>
      <c r="B6230" s="1832">
        <f>'Acct Summary 7-8'!J20</f>
        <v>-31342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-31342</v>
      </c>
      <c r="D6263" s="2" t="str">
        <f t="shared" si="96"/>
        <v>Error?</v>
      </c>
      <c r="E6263" s="2" t="s">
        <v>189</v>
      </c>
    </row>
    <row r="6264" spans="1:5" x14ac:dyDescent="0.2">
      <c r="A6264">
        <v>6203</v>
      </c>
      <c r="B6264" s="1832">
        <f>'Acct Summary 7-8'!J79</f>
        <v>120289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88947</v>
      </c>
      <c r="D6266" s="2" t="str">
        <f t="shared" si="96"/>
        <v>Error?</v>
      </c>
      <c r="E6266" s="2" t="s">
        <v>189</v>
      </c>
    </row>
    <row r="6267" spans="1:5" x14ac:dyDescent="0.2">
      <c r="A6267">
        <v>6206</v>
      </c>
      <c r="B6267" s="1832">
        <f>'Acct Summary 7-8'!C82</f>
        <v>-112375</v>
      </c>
      <c r="D6267" s="2" t="str">
        <f t="shared" si="96"/>
        <v>Error?</v>
      </c>
      <c r="E6267" s="2" t="s">
        <v>189</v>
      </c>
    </row>
    <row r="6268" spans="1:5" x14ac:dyDescent="0.2">
      <c r="A6268">
        <v>6207</v>
      </c>
      <c r="B6268" s="1832">
        <f>'Acct Summary 7-8'!D82</f>
        <v>14495</v>
      </c>
      <c r="D6268" s="2" t="str">
        <f t="shared" si="96"/>
        <v>Error?</v>
      </c>
      <c r="E6268" s="2" t="s">
        <v>189</v>
      </c>
    </row>
    <row r="6269" spans="1:5" x14ac:dyDescent="0.2">
      <c r="A6269">
        <v>6208</v>
      </c>
      <c r="B6269" s="1832">
        <f>'Acct Summary 7-8'!E82</f>
        <v>37014</v>
      </c>
      <c r="D6269" s="2" t="str">
        <f t="shared" si="96"/>
        <v>Error?</v>
      </c>
      <c r="E6269" s="2" t="s">
        <v>189</v>
      </c>
    </row>
    <row r="6270" spans="1:5" x14ac:dyDescent="0.2">
      <c r="A6270">
        <v>6209</v>
      </c>
      <c r="B6270" s="1832">
        <f>'Acct Summary 7-8'!F82</f>
        <v>390758</v>
      </c>
      <c r="D6270" s="2" t="str">
        <f t="shared" si="96"/>
        <v>Error?</v>
      </c>
      <c r="E6270" s="2" t="s">
        <v>189</v>
      </c>
    </row>
    <row r="6271" spans="1:5" x14ac:dyDescent="0.2">
      <c r="A6271">
        <v>6210</v>
      </c>
      <c r="B6271" s="1832">
        <f>'Acct Summary 7-8'!G82</f>
        <v>-34333</v>
      </c>
      <c r="D6271" s="2" t="str">
        <f t="shared" ref="D6271:D6334" si="97">IF(ISBLANK(B6271),"OK",IF(A6271-B6271=0,"OK","Error?"))</f>
        <v>Error?</v>
      </c>
      <c r="E6271" s="2" t="s">
        <v>189</v>
      </c>
    </row>
    <row r="6272" spans="1:5" x14ac:dyDescent="0.2">
      <c r="A6272">
        <v>6211</v>
      </c>
      <c r="B6272" s="1832">
        <f>'Acct Summary 7-8'!H82</f>
        <v>152352</v>
      </c>
      <c r="D6272" s="2" t="str">
        <f t="shared" si="97"/>
        <v>Error?</v>
      </c>
      <c r="E6272" s="2" t="s">
        <v>189</v>
      </c>
    </row>
    <row r="6273" spans="1:5" x14ac:dyDescent="0.2">
      <c r="A6273">
        <v>6212</v>
      </c>
      <c r="B6273" s="1832">
        <f>'Acct Summary 7-8'!I82</f>
        <v>37511</v>
      </c>
      <c r="D6273" s="2" t="str">
        <f t="shared" si="97"/>
        <v>Error?</v>
      </c>
      <c r="E6273" s="2" t="s">
        <v>189</v>
      </c>
    </row>
    <row r="6274" spans="1:5" x14ac:dyDescent="0.2">
      <c r="A6274">
        <v>6213</v>
      </c>
      <c r="B6274" s="1832">
        <f>'Acct Summary 7-8'!J82</f>
        <v>-31342</v>
      </c>
      <c r="D6274" s="2" t="str">
        <f t="shared" si="97"/>
        <v>Error?</v>
      </c>
      <c r="E6274" s="2" t="s">
        <v>189</v>
      </c>
    </row>
    <row r="6275" spans="1:5" x14ac:dyDescent="0.2">
      <c r="A6275">
        <v>6214</v>
      </c>
      <c r="B6275" s="1832">
        <f>'Acct Summary 7-8'!K82</f>
        <v>1135</v>
      </c>
      <c r="D6275" s="2" t="str">
        <f t="shared" si="97"/>
        <v>Error?</v>
      </c>
      <c r="E6275" s="2" t="s">
        <v>189</v>
      </c>
    </row>
    <row r="6276" spans="1:5" x14ac:dyDescent="0.2">
      <c r="A6276">
        <v>6215</v>
      </c>
      <c r="B6276" s="1832">
        <f>'Acct Summary 7-8'!C83</f>
        <v>-0.10196304378399713</v>
      </c>
      <c r="D6276" s="2" t="str">
        <f t="shared" si="97"/>
        <v>Error?</v>
      </c>
      <c r="E6276" s="2" t="s">
        <v>189</v>
      </c>
    </row>
    <row r="6277" spans="1:5" x14ac:dyDescent="0.2">
      <c r="A6277">
        <v>6216</v>
      </c>
      <c r="B6277" s="1832">
        <f>'Acct Summary 7-8'!D83</f>
        <v>3.05253647986421E-2</v>
      </c>
      <c r="D6277" s="2" t="str">
        <f t="shared" si="97"/>
        <v>Error?</v>
      </c>
      <c r="E6277" s="2" t="s">
        <v>189</v>
      </c>
    </row>
    <row r="6278" spans="1:5" x14ac:dyDescent="0.2">
      <c r="A6278">
        <v>6217</v>
      </c>
      <c r="B6278" s="1832">
        <f>'Acct Summary 7-8'!E83</f>
        <v>0.19769584515053917</v>
      </c>
      <c r="D6278" s="2" t="str">
        <f t="shared" si="97"/>
        <v>Error?</v>
      </c>
      <c r="E6278" s="2" t="s">
        <v>189</v>
      </c>
    </row>
    <row r="6279" spans="1:5" x14ac:dyDescent="0.2">
      <c r="A6279">
        <v>6218</v>
      </c>
      <c r="B6279" s="1832">
        <f>'Acct Summary 7-8'!F83</f>
        <v>0.38664563700481674</v>
      </c>
      <c r="D6279" s="2" t="str">
        <f t="shared" si="97"/>
        <v>Error?</v>
      </c>
      <c r="E6279" s="2" t="s">
        <v>189</v>
      </c>
    </row>
    <row r="6280" spans="1:5" x14ac:dyDescent="0.2">
      <c r="A6280">
        <v>6219</v>
      </c>
      <c r="B6280" s="1832">
        <f>'Acct Summary 7-8'!G83</f>
        <v>-0.5920299351634708</v>
      </c>
      <c r="D6280" s="2" t="str">
        <f t="shared" si="97"/>
        <v>Error?</v>
      </c>
      <c r="E6280" s="2" t="s">
        <v>189</v>
      </c>
    </row>
    <row r="6281" spans="1:5" x14ac:dyDescent="0.2">
      <c r="A6281">
        <v>6220</v>
      </c>
      <c r="B6281" s="1832">
        <f>'Acct Summary 7-8'!H83</f>
        <v>0.45996666908195061</v>
      </c>
      <c r="D6281" s="2" t="str">
        <f t="shared" si="97"/>
        <v>Error?</v>
      </c>
      <c r="E6281" s="2" t="s">
        <v>189</v>
      </c>
    </row>
    <row r="6282" spans="1:5" x14ac:dyDescent="0.2">
      <c r="A6282">
        <v>6221</v>
      </c>
      <c r="B6282" s="1832">
        <f>'Acct Summary 7-8'!I83</f>
        <v>1.4747788480440338</v>
      </c>
      <c r="D6282" s="2" t="str">
        <f t="shared" si="97"/>
        <v>Error?</v>
      </c>
      <c r="E6282" s="2" t="s">
        <v>189</v>
      </c>
    </row>
    <row r="6283" spans="1:5" x14ac:dyDescent="0.2">
      <c r="A6283">
        <v>6222</v>
      </c>
      <c r="B6283" s="1832">
        <f>'Acct Summary 7-8'!J83</f>
        <v>-0.35236713998223662</v>
      </c>
      <c r="D6283" s="2" t="str">
        <f t="shared" si="97"/>
        <v>Error?</v>
      </c>
      <c r="E6283" s="2" t="s">
        <v>189</v>
      </c>
    </row>
    <row r="6284" spans="1:5" x14ac:dyDescent="0.2">
      <c r="A6284">
        <v>6223</v>
      </c>
      <c r="B6284" s="1832">
        <f>'Acct Summary 7-8'!K83</f>
        <v>1.4014941038463914E-2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124786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124786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3450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124832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14708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126637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192307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20196</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20196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20196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22622</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22622</v>
      </c>
      <c r="D7010" s="2" t="str">
        <f t="shared" si="108"/>
        <v>Error?</v>
      </c>
    </row>
    <row r="7011" spans="1:4" x14ac:dyDescent="0.2">
      <c r="A7011">
        <v>6950</v>
      </c>
      <c r="B7011" s="1832">
        <f>'Expenditures 15-22'!E100</f>
        <v>22622</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22622</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20196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156174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124832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6504</v>
      </c>
      <c r="D7073" s="2" t="str">
        <f t="shared" si="109"/>
        <v>Error?</v>
      </c>
    </row>
    <row r="7074" spans="1:4" x14ac:dyDescent="0.2">
      <c r="A7074">
        <v>7013</v>
      </c>
      <c r="B7074" s="1832">
        <f>'Expenditures 15-22'!K216</f>
        <v>6504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48904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48904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156174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156174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156174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156174</v>
      </c>
      <c r="D7224" s="2" t="str">
        <f t="shared" si="111"/>
        <v>Error?</v>
      </c>
    </row>
    <row r="7225" spans="1:4" x14ac:dyDescent="0.2">
      <c r="A7225">
        <v>7164</v>
      </c>
      <c r="B7225" s="1832">
        <f>'Expenditures 15-22'!K343</f>
        <v>-31342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23263</v>
      </c>
      <c r="D7246" s="2" t="str">
        <f t="shared" si="112"/>
        <v>Error?</v>
      </c>
    </row>
    <row r="7247" spans="1:4" x14ac:dyDescent="0.2">
      <c r="A7247">
        <f t="shared" si="113"/>
        <v>7186</v>
      </c>
      <c r="B7247" s="1832">
        <f>'Expenditures 15-22'!E7</f>
        <v>21122</v>
      </c>
      <c r="D7247" s="2" t="str">
        <f t="shared" si="112"/>
        <v>Error?</v>
      </c>
    </row>
    <row r="7248" spans="1:4" x14ac:dyDescent="0.2">
      <c r="A7248">
        <f t="shared" si="113"/>
        <v>7187</v>
      </c>
      <c r="B7248" s="1832">
        <f>'Expenditures 15-22'!F7</f>
        <v>21285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20196</v>
      </c>
      <c r="D7624" s="2" t="str">
        <f t="shared" si="124"/>
        <v>Error?</v>
      </c>
      <c r="E7624" s="2" t="s">
        <v>19</v>
      </c>
    </row>
    <row r="7625" spans="1:5" x14ac:dyDescent="0.2">
      <c r="A7625">
        <f t="shared" si="123"/>
        <v>7564</v>
      </c>
      <c r="B7625" s="1832">
        <f>'Cap Outlay Deprec 26'!I17</f>
        <v>2019.6</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131355.6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107270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107270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72957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3450</v>
      </c>
      <c r="D7712" s="2" t="str">
        <f t="shared" si="126"/>
        <v>Error?</v>
      </c>
      <c r="E7712" s="2" t="s">
        <v>822</v>
      </c>
    </row>
    <row r="7713" spans="1:6" x14ac:dyDescent="0.2">
      <c r="A7713">
        <v>7652</v>
      </c>
      <c r="B7713" s="1832">
        <f>'Rest Tax Levies-Tort Im 25'!J8</f>
        <v>179462</v>
      </c>
      <c r="D7713" s="2" t="str">
        <f t="shared" si="126"/>
        <v>Error?</v>
      </c>
      <c r="E7713" s="2" t="s">
        <v>822</v>
      </c>
    </row>
    <row r="7714" spans="1:6" x14ac:dyDescent="0.2">
      <c r="A7714">
        <v>7653</v>
      </c>
      <c r="B7714" s="1832">
        <f>'Rest Tax Levies-Tort Im 25'!K9</f>
        <v>3378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179462</v>
      </c>
      <c r="D7718" s="2" t="str">
        <f t="shared" si="126"/>
        <v>Error?</v>
      </c>
      <c r="E7718" s="2" t="s">
        <v>822</v>
      </c>
    </row>
    <row r="7719" spans="1:6" x14ac:dyDescent="0.2">
      <c r="A7719">
        <v>7658</v>
      </c>
      <c r="B7719" s="1832">
        <f>'Rest Tax Levies-Tort Im 25'!K12</f>
        <v>6828</v>
      </c>
      <c r="D7719" s="2" t="str">
        <f t="shared" si="126"/>
        <v>Error?</v>
      </c>
      <c r="E7719" s="2" t="s">
        <v>822</v>
      </c>
    </row>
    <row r="7720" spans="1:6" x14ac:dyDescent="0.2">
      <c r="A7720">
        <v>7659</v>
      </c>
      <c r="B7720" s="1832">
        <f>'Rest Tax Levies-Tort Im 25'!H14</f>
        <v>32591</v>
      </c>
      <c r="D7720" s="2" t="str">
        <f t="shared" si="126"/>
        <v>Error?</v>
      </c>
      <c r="E7720" s="2" t="s">
        <v>822</v>
      </c>
    </row>
    <row r="7721" spans="1:6" x14ac:dyDescent="0.2">
      <c r="A7721">
        <v>7660</v>
      </c>
      <c r="B7721" s="1832">
        <f>'Rest Tax Levies-Tort Im 25'!K14</f>
        <v>6828</v>
      </c>
      <c r="D7721" s="2" t="str">
        <f t="shared" si="126"/>
        <v>Error?</v>
      </c>
      <c r="E7721" s="2" t="s">
        <v>822</v>
      </c>
    </row>
    <row r="7722" spans="1:6" x14ac:dyDescent="0.2">
      <c r="A7722">
        <v>7661</v>
      </c>
      <c r="B7722" s="1832">
        <f>'Rest Tax Levies-Tort Im 25'!J15</f>
        <v>77710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77710</v>
      </c>
      <c r="D7730" s="2" t="str">
        <f t="shared" si="126"/>
        <v>Error?</v>
      </c>
      <c r="E7730" s="2" t="s">
        <v>822</v>
      </c>
    </row>
    <row r="7731" spans="1:6" x14ac:dyDescent="0.2">
      <c r="A7731">
        <v>7670</v>
      </c>
      <c r="B7731" s="1832">
        <f>'Revenues 9-14'!H103</f>
        <v>179462</v>
      </c>
      <c r="D7731" s="2" t="str">
        <f t="shared" si="126"/>
        <v>Error?</v>
      </c>
      <c r="E7731" s="2" t="s">
        <v>822</v>
      </c>
    </row>
    <row r="7732" spans="1:6" x14ac:dyDescent="0.2">
      <c r="A7732">
        <v>7671</v>
      </c>
      <c r="B7732" s="1832">
        <f>'Rest Tax Levies-Tort Im 25'!J24</f>
        <v>174709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174709</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6828</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1373500</v>
      </c>
      <c r="D7817" s="2" t="str">
        <f t="shared" si="128"/>
        <v>Error?</v>
      </c>
      <c r="E7817" s="4" t="s">
        <v>1969</v>
      </c>
    </row>
    <row r="7818" spans="1:5" x14ac:dyDescent="0.2">
      <c r="A7818">
        <v>7757</v>
      </c>
      <c r="B7818" s="1832">
        <f>'PCTC-OEPP 27-28'!F172</f>
        <v>146600</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4951735</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192307</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643862</v>
      </c>
      <c r="D7834" s="2" t="str">
        <f t="shared" si="129"/>
        <v>Error?</v>
      </c>
      <c r="E7834" s="4" t="s">
        <v>2001</v>
      </c>
    </row>
    <row r="7835" spans="1:5" x14ac:dyDescent="0.2">
      <c r="A7835">
        <v>7774</v>
      </c>
      <c r="B7835" s="1832">
        <f>'PCTC-OEPP 27-28'!F78</f>
        <v>4307873</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13366.034750232702</v>
      </c>
      <c r="D7837" s="2" t="str">
        <f t="shared" si="129"/>
        <v>Error?</v>
      </c>
      <c r="E7837" s="4" t="s">
        <v>2001</v>
      </c>
    </row>
    <row r="7838" spans="1:5" x14ac:dyDescent="0.2">
      <c r="A7838">
        <v>7777</v>
      </c>
      <c r="B7838" s="1832">
        <f>'PCTC-OEPP 27-28'!F96</f>
        <v>44265</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109794</v>
      </c>
      <c r="D7841" s="2" t="str">
        <f t="shared" si="129"/>
        <v>Error?</v>
      </c>
      <c r="E7841" s="4" t="s">
        <v>2001</v>
      </c>
    </row>
    <row r="7842" spans="1:5" x14ac:dyDescent="0.2">
      <c r="A7842">
        <v>7781</v>
      </c>
      <c r="B7842" s="1832">
        <f>'PCTC-OEPP 27-28'!F106</f>
        <v>10413</v>
      </c>
      <c r="D7842" s="2" t="str">
        <f t="shared" si="129"/>
        <v>Error?</v>
      </c>
      <c r="E7842" s="4" t="s">
        <v>2001</v>
      </c>
    </row>
    <row r="7843" spans="1:5" x14ac:dyDescent="0.2">
      <c r="A7843">
        <v>7782</v>
      </c>
      <c r="B7843" s="1832">
        <f>'PCTC-OEPP 27-28'!F107</f>
        <v>14708</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3378</v>
      </c>
      <c r="D7846" s="2" t="str">
        <f t="shared" si="129"/>
        <v>Error?</v>
      </c>
      <c r="E7846" s="4" t="s">
        <v>2001</v>
      </c>
    </row>
    <row r="7847" spans="1:5" x14ac:dyDescent="0.2">
      <c r="A7847">
        <v>7786</v>
      </c>
      <c r="B7847" s="1832">
        <f>'PCTC-OEPP 27-28'!F112</f>
        <v>173268</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3243</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69010</v>
      </c>
      <c r="D7858" s="2" t="str">
        <f t="shared" si="129"/>
        <v>Error?</v>
      </c>
      <c r="E7858" s="4" t="s">
        <v>2001</v>
      </c>
    </row>
    <row r="7859" spans="1:5" x14ac:dyDescent="0.2">
      <c r="A7859">
        <v>7798</v>
      </c>
      <c r="B7859" s="1832">
        <f>'PCTC-OEPP 27-28'!F127</f>
        <v>56750</v>
      </c>
      <c r="D7859" s="2" t="str">
        <f t="shared" si="129"/>
        <v>Error?</v>
      </c>
      <c r="E7859" s="4" t="s">
        <v>2001</v>
      </c>
    </row>
    <row r="7860" spans="1:5" x14ac:dyDescent="0.2">
      <c r="A7860">
        <v>7799</v>
      </c>
      <c r="B7860" s="1832">
        <f>'PCTC-OEPP 27-28'!F128</f>
        <v>0</v>
      </c>
      <c r="D7860" s="2" t="str">
        <f t="shared" si="129"/>
        <v>Error?</v>
      </c>
      <c r="E7860" s="4" t="s">
        <v>2001</v>
      </c>
    </row>
    <row r="7861" spans="1:5" x14ac:dyDescent="0.2">
      <c r="A7861">
        <v>7800</v>
      </c>
      <c r="B7861" s="1832">
        <f>'PCTC-OEPP 27-28'!F129</f>
        <v>0</v>
      </c>
      <c r="D7861" s="2" t="str">
        <f t="shared" si="129"/>
        <v>Error?</v>
      </c>
      <c r="E7861" s="4" t="s">
        <v>2001</v>
      </c>
    </row>
    <row r="7862" spans="1:5" x14ac:dyDescent="0.2">
      <c r="A7862">
        <v>7801</v>
      </c>
      <c r="B7862" s="1832">
        <f>'PCTC-OEPP 27-28'!F130</f>
        <v>3692</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9000</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13905</v>
      </c>
      <c r="D7874" s="2" t="str">
        <f t="shared" si="129"/>
        <v>Error?</v>
      </c>
      <c r="E7874" s="4" t="s">
        <v>2001</v>
      </c>
    </row>
    <row r="7875" spans="1:5" x14ac:dyDescent="0.2">
      <c r="A7875">
        <v>7814</v>
      </c>
      <c r="B7875" s="1832">
        <f>'PCTC-OEPP 27-28'!F170</f>
        <v>0</v>
      </c>
      <c r="D7875" s="2" t="str">
        <f t="shared" si="129"/>
        <v>Error?</v>
      </c>
      <c r="E7875" s="4" t="s">
        <v>2001</v>
      </c>
    </row>
    <row r="7876" spans="1:5" x14ac:dyDescent="0.2">
      <c r="A7876">
        <v>7815</v>
      </c>
      <c r="B7876" s="1832">
        <f>'PCTC-OEPP 27-28'!F171</f>
        <v>24800</v>
      </c>
      <c r="D7876" s="2" t="str">
        <f t="shared" si="129"/>
        <v>Error?</v>
      </c>
      <c r="E7876" s="4" t="s">
        <v>2001</v>
      </c>
    </row>
    <row r="7877" spans="1:5" x14ac:dyDescent="0.2">
      <c r="A7877">
        <v>7816</v>
      </c>
      <c r="B7877" s="1832">
        <f>'PCTC-OEPP 27-28'!F175</f>
        <v>744611</v>
      </c>
      <c r="D7877" s="2" t="str">
        <f t="shared" si="129"/>
        <v>Error?</v>
      </c>
      <c r="E7877" s="4" t="s">
        <v>2001</v>
      </c>
    </row>
    <row r="7878" spans="1:5" x14ac:dyDescent="0.2">
      <c r="A7878">
        <v>7817</v>
      </c>
      <c r="B7878" s="1832">
        <f>'PCTC-OEPP 27-28'!F176</f>
        <v>3563262</v>
      </c>
      <c r="D7878" s="2" t="str">
        <f t="shared" si="129"/>
        <v>Error?</v>
      </c>
      <c r="E7878" s="4" t="s">
        <v>2001</v>
      </c>
    </row>
    <row r="7879" spans="1:5" x14ac:dyDescent="0.2">
      <c r="A7879">
        <v>7818</v>
      </c>
      <c r="B7879" s="1832">
        <f>'PCTC-OEPP 27-28'!F178</f>
        <v>3694617.6</v>
      </c>
      <c r="D7879" s="2" t="str">
        <f t="shared" si="129"/>
        <v>Error?</v>
      </c>
      <c r="E7879" s="4" t="s">
        <v>2001</v>
      </c>
    </row>
    <row r="7880" spans="1:5" x14ac:dyDescent="0.2">
      <c r="A7880">
        <v>7819</v>
      </c>
      <c r="B7880" s="1832">
        <f>'PCTC-OEPP 27-28'!F180</f>
        <v>11463.287620229599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3" t="s">
        <v>1183</v>
      </c>
      <c r="B2" s="2553"/>
      <c r="C2" s="2553"/>
      <c r="D2" s="2553"/>
      <c r="E2" s="2553"/>
      <c r="F2" s="2553"/>
      <c r="G2" s="2553"/>
      <c r="H2" s="2553"/>
      <c r="I2" s="2553"/>
      <c r="J2" s="2553"/>
      <c r="K2" s="2553"/>
      <c r="L2" s="2553"/>
    </row>
    <row r="3" spans="1:29" ht="13.5" customHeight="1" x14ac:dyDescent="0.2">
      <c r="A3" s="2519" t="s">
        <v>1182</v>
      </c>
      <c r="B3" s="2519"/>
      <c r="C3" s="2519"/>
      <c r="D3" s="2519"/>
      <c r="E3" s="2519"/>
      <c r="F3" s="2519"/>
      <c r="G3" s="2519"/>
      <c r="H3" s="2519"/>
      <c r="I3" s="2519"/>
      <c r="J3" s="2519"/>
      <c r="K3" s="2519"/>
      <c r="L3" s="2519"/>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3" t="str">
        <f>COVER!A17</f>
        <v xml:space="preserve"> Flanagan-Cornell U 74</v>
      </c>
      <c r="B7" s="2544"/>
      <c r="C7" s="2544"/>
      <c r="D7" s="2545"/>
      <c r="E7" s="2546">
        <f>COVER!A13</f>
        <v>17053074027</v>
      </c>
      <c r="F7" s="2547"/>
      <c r="G7" s="2520" t="str">
        <f>COVER!T23</f>
        <v>066-004933</v>
      </c>
      <c r="H7" s="2521"/>
      <c r="I7" s="2521"/>
      <c r="J7" s="2521"/>
      <c r="K7" s="2521"/>
      <c r="L7" s="252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3"/>
      <c r="B9" s="2524"/>
      <c r="C9" s="2524"/>
      <c r="D9" s="2524"/>
      <c r="E9" s="2524"/>
      <c r="F9" s="2525"/>
      <c r="G9" s="2526" t="str">
        <f>COVER!T13</f>
        <v>PHILLIPS &amp; ASSOCIATES CPAS PC</v>
      </c>
      <c r="H9" s="2527"/>
      <c r="I9" s="2527"/>
      <c r="J9" s="2527"/>
      <c r="K9" s="2527"/>
      <c r="L9" s="2528"/>
    </row>
    <row r="10" spans="1:29" ht="13.5" customHeight="1" x14ac:dyDescent="0.2">
      <c r="A10" s="2548" t="str">
        <f>COVER!A38</f>
        <v>Jerry Farris</v>
      </c>
      <c r="B10" s="2549"/>
      <c r="C10" s="2549"/>
      <c r="D10" s="2549"/>
      <c r="E10" s="2549"/>
      <c r="F10" s="2550"/>
      <c r="G10" s="2526" t="str">
        <f>COVER!T17</f>
        <v>1600 HUNT DR, STE B</v>
      </c>
      <c r="H10" s="2559"/>
      <c r="I10" s="2559"/>
      <c r="J10" s="2559"/>
      <c r="K10" s="2559"/>
      <c r="L10" s="2560"/>
    </row>
    <row r="11" spans="1:29" ht="13.5" customHeight="1" x14ac:dyDescent="0.2">
      <c r="A11" s="963" t="s">
        <v>1505</v>
      </c>
      <c r="B11" s="964"/>
      <c r="C11" s="965"/>
      <c r="D11" s="970"/>
      <c r="E11" s="965"/>
      <c r="F11" s="969"/>
      <c r="G11" s="2526" t="str">
        <f>COVER!T19</f>
        <v>NORMAL</v>
      </c>
      <c r="H11" s="2559"/>
      <c r="I11" s="2559"/>
      <c r="J11" s="2559"/>
      <c r="K11" s="2559"/>
      <c r="L11" s="2560"/>
    </row>
    <row r="12" spans="1:29" ht="13.5" customHeight="1" x14ac:dyDescent="0.2">
      <c r="A12" s="2535" t="s">
        <v>1504</v>
      </c>
      <c r="B12" s="2536"/>
      <c r="C12" s="2536"/>
      <c r="D12" s="2536"/>
      <c r="E12" s="2536"/>
      <c r="F12" s="2537"/>
      <c r="G12" s="2561"/>
      <c r="H12" s="2562"/>
      <c r="I12" s="2562"/>
      <c r="J12" s="2562"/>
      <c r="K12" s="2562"/>
      <c r="L12" s="2563"/>
    </row>
    <row r="13" spans="1:29" ht="13.5" customHeight="1" x14ac:dyDescent="0.2">
      <c r="A13" s="2526"/>
      <c r="B13" s="2559"/>
      <c r="C13" s="2559"/>
      <c r="D13" s="2559"/>
      <c r="E13" s="2559"/>
      <c r="F13" s="2560"/>
      <c r="G13" s="2554" t="s">
        <v>1506</v>
      </c>
      <c r="H13" s="2555"/>
      <c r="I13" s="2538" t="str">
        <f>COVER!T25</f>
        <v>RWP6505@AOL.COM</v>
      </c>
      <c r="J13" s="2539"/>
      <c r="K13" s="2539"/>
      <c r="L13" s="2540"/>
    </row>
    <row r="14" spans="1:29" ht="13.5" customHeight="1" x14ac:dyDescent="0.2">
      <c r="A14" s="2526" t="str">
        <f>COVER!A19</f>
        <v>202 Falcon Highway</v>
      </c>
      <c r="B14" s="2559"/>
      <c r="C14" s="2559"/>
      <c r="D14" s="2559"/>
      <c r="E14" s="2559"/>
      <c r="F14" s="2560"/>
      <c r="G14" s="974" t="s">
        <v>1177</v>
      </c>
      <c r="H14" s="972"/>
      <c r="I14" s="972"/>
      <c r="J14" s="972"/>
      <c r="K14" s="972"/>
      <c r="L14" s="973"/>
    </row>
    <row r="15" spans="1:29" ht="13.5" customHeight="1" x14ac:dyDescent="0.2">
      <c r="A15" s="2526" t="str">
        <f>COVER!A21</f>
        <v>Flanagan</v>
      </c>
      <c r="B15" s="2559"/>
      <c r="C15" s="2559"/>
      <c r="D15" s="2559"/>
      <c r="E15" s="2559"/>
      <c r="F15" s="2560"/>
      <c r="G15" s="2556" t="str">
        <f>COVER!T15</f>
        <v>RICHARD W PHILLIPS</v>
      </c>
      <c r="H15" s="2557"/>
      <c r="I15" s="2557"/>
      <c r="J15" s="2557"/>
      <c r="K15" s="2557"/>
      <c r="L15" s="2558"/>
    </row>
    <row r="16" spans="1:29" ht="12.2" customHeight="1" x14ac:dyDescent="0.2">
      <c r="A16" s="2552">
        <f>COVER!A25</f>
        <v>61740</v>
      </c>
      <c r="B16" s="2533"/>
      <c r="C16" s="2533"/>
      <c r="D16" s="2533"/>
      <c r="E16" s="2533"/>
      <c r="F16" s="2534"/>
      <c r="G16" s="2529"/>
      <c r="H16" s="2530"/>
      <c r="I16" s="2530"/>
      <c r="J16" s="2530"/>
      <c r="K16" s="2530"/>
      <c r="L16" s="2531"/>
    </row>
    <row r="17" spans="1:13" ht="12.2" customHeight="1" x14ac:dyDescent="0.2">
      <c r="A17" s="2532"/>
      <c r="B17" s="2533"/>
      <c r="C17" s="2533"/>
      <c r="D17" s="2533"/>
      <c r="E17" s="2533"/>
      <c r="F17" s="2534"/>
      <c r="G17" s="974" t="s">
        <v>1176</v>
      </c>
      <c r="H17" s="972"/>
      <c r="I17" s="972"/>
      <c r="J17" s="972"/>
      <c r="K17" s="976" t="s">
        <v>1175</v>
      </c>
      <c r="L17" s="969"/>
      <c r="M17" s="962"/>
    </row>
    <row r="18" spans="1:13" ht="12.2" customHeight="1" x14ac:dyDescent="0.2">
      <c r="A18" s="2548"/>
      <c r="B18" s="2549"/>
      <c r="C18" s="2549"/>
      <c r="D18" s="2549"/>
      <c r="E18" s="2549"/>
      <c r="F18" s="2550"/>
      <c r="G18" s="2543">
        <f>COVER!T21</f>
        <v>3094522417</v>
      </c>
      <c r="H18" s="2544"/>
      <c r="I18" s="2544"/>
      <c r="J18" s="2544"/>
      <c r="K18" s="2543">
        <f>COVER!X21</f>
        <v>3098889261</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5:F15"/>
    <mergeCell ref="G11:L11"/>
    <mergeCell ref="G12:L12"/>
    <mergeCell ref="A10:F10"/>
    <mergeCell ref="G10:L10"/>
    <mergeCell ref="E7:F7"/>
    <mergeCell ref="A18:F18"/>
    <mergeCell ref="G18:J18"/>
    <mergeCell ref="K18:L18"/>
    <mergeCell ref="A16:F16"/>
    <mergeCell ref="A2:L2"/>
    <mergeCell ref="G13:H13"/>
    <mergeCell ref="G15:L15"/>
    <mergeCell ref="A13:F13"/>
    <mergeCell ref="A14:F14"/>
    <mergeCell ref="A3:L3"/>
    <mergeCell ref="G7:L7"/>
    <mergeCell ref="A9:F9"/>
    <mergeCell ref="G9:L9"/>
    <mergeCell ref="G16:L16"/>
    <mergeCell ref="A17:F17"/>
    <mergeCell ref="A12:F12"/>
    <mergeCell ref="I13:L13"/>
    <mergeCell ref="A4:L4"/>
    <mergeCell ref="A7:D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Flanagan-Cornell U 74</v>
      </c>
      <c r="B1" s="2565"/>
      <c r="C1" s="2565"/>
      <c r="D1" s="2565"/>
    </row>
    <row r="2" spans="1:11" s="991" customFormat="1" ht="12.75" x14ac:dyDescent="0.2">
      <c r="A2" s="2566">
        <f>'Single Audit Cover'!E7</f>
        <v>17053074027</v>
      </c>
      <c r="B2" s="2567"/>
      <c r="C2" s="2567"/>
      <c r="D2" s="2567"/>
    </row>
    <row r="3" spans="1:11" s="991" customFormat="1" ht="12.75" x14ac:dyDescent="0.2">
      <c r="A3" s="2564" t="s">
        <v>1499</v>
      </c>
      <c r="B3" s="2565"/>
      <c r="C3" s="2565"/>
      <c r="D3" s="2565"/>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Flanagan-Cornell U 74</v>
      </c>
      <c r="B1" s="2569"/>
      <c r="C1" s="2569"/>
      <c r="D1" s="2569"/>
      <c r="E1" s="2569"/>
    </row>
    <row r="2" spans="1:5" x14ac:dyDescent="0.2">
      <c r="A2" s="2570">
        <f>'Single Audit Cover'!E7</f>
        <v>17053074027</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36" t="s">
        <v>1234</v>
      </c>
    </row>
    <row r="10" spans="1:5" x14ac:dyDescent="0.2">
      <c r="A10" s="1037" t="s">
        <v>1233</v>
      </c>
      <c r="B10" s="1038" t="s">
        <v>1232</v>
      </c>
      <c r="C10" s="1038"/>
      <c r="D10" s="1039">
        <f>SUM('Acct Summary 7-8'!C7:K7)</f>
        <v>177157</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0</v>
      </c>
    </row>
    <row r="19" spans="1:4" ht="13.5" thickBot="1" x14ac:dyDescent="0.25">
      <c r="A19" s="1041" t="s">
        <v>1226</v>
      </c>
      <c r="D19" s="1042">
        <f>SUM(D10:D17)</f>
        <v>177157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1224</v>
      </c>
      <c r="D32" s="1039">
        <f>SUM(D19:D30)</f>
        <v>177157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1218</v>
      </c>
      <c r="C47" s="1048"/>
      <c r="D47" s="1049">
        <f>SUM(D35:D45)</f>
        <v>0</v>
      </c>
    </row>
    <row r="49" spans="2:4" x14ac:dyDescent="0.2">
      <c r="B49" s="1048" t="s">
        <v>1217</v>
      </c>
      <c r="C49" s="1048"/>
      <c r="D49" s="1049">
        <f>D32-D47</f>
        <v>177157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Flanagan-Cornell U 74</v>
      </c>
      <c r="C1" s="2573"/>
      <c r="D1" s="2573"/>
      <c r="E1" s="2573"/>
      <c r="F1" s="2573"/>
      <c r="G1" s="2573"/>
      <c r="H1" s="2573"/>
      <c r="I1" s="2573"/>
      <c r="J1" s="2573"/>
      <c r="K1" s="2573"/>
      <c r="L1" s="2573"/>
      <c r="M1" s="2573"/>
    </row>
    <row r="2" spans="2:14" ht="15" x14ac:dyDescent="0.2">
      <c r="B2" s="2574">
        <f>'Single Audit Cover'!E7</f>
        <v>17053074027</v>
      </c>
      <c r="C2" s="2574"/>
      <c r="D2" s="2574"/>
      <c r="E2" s="2574"/>
      <c r="F2" s="2574"/>
      <c r="G2" s="2574"/>
      <c r="H2" s="2574"/>
      <c r="I2" s="2574"/>
      <c r="J2" s="2574"/>
      <c r="K2" s="2574"/>
      <c r="L2" s="2574"/>
      <c r="M2" s="2574"/>
      <c r="N2" s="1078"/>
    </row>
    <row r="3" spans="2:14" ht="15" x14ac:dyDescent="0.2">
      <c r="B3" s="2575" t="s">
        <v>1210</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Flanagan-Cornell U 74</v>
      </c>
      <c r="B1" s="2579"/>
      <c r="C1" s="2579"/>
      <c r="D1" s="2579"/>
      <c r="E1" s="2579"/>
      <c r="F1" s="2579"/>
    </row>
    <row r="2" spans="1:7" ht="13.5" customHeight="1" x14ac:dyDescent="0.2">
      <c r="A2" s="2574">
        <f>'Single Audit Cover'!E7</f>
        <v>17053074027</v>
      </c>
      <c r="B2" s="2574"/>
      <c r="C2" s="2574"/>
      <c r="D2" s="2574"/>
      <c r="E2" s="2574"/>
      <c r="F2" s="2574"/>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82" t="s">
        <v>1260</v>
      </c>
      <c r="E15" s="2582"/>
      <c r="F15" s="2582"/>
    </row>
    <row r="16" spans="1:7" ht="13.5" customHeight="1" x14ac:dyDescent="0.2">
      <c r="A16" s="1058"/>
      <c r="B16" s="1052" t="s">
        <v>1259</v>
      </c>
      <c r="C16" s="1476" t="s">
        <v>1258</v>
      </c>
      <c r="D16" s="2583" t="s">
        <v>1574</v>
      </c>
      <c r="E16" s="2583"/>
      <c r="F16" s="2583"/>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5" t="s">
        <v>1712</v>
      </c>
      <c r="B32" s="2585"/>
      <c r="C32" s="2585"/>
      <c r="D32" s="2585"/>
      <c r="E32" s="2585"/>
      <c r="F32" s="2585"/>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6">
        <f>+C33+C34</f>
        <v>0</v>
      </c>
      <c r="F34" s="2587"/>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8" t="s">
        <v>1576</v>
      </c>
      <c r="C49" s="2588"/>
      <c r="D49" s="2588"/>
      <c r="E49" s="1168"/>
    </row>
    <row r="50" spans="1:5" s="1076" customFormat="1" ht="3.75" customHeight="1" x14ac:dyDescent="0.2">
      <c r="A50" s="1075"/>
      <c r="B50" s="1475"/>
      <c r="C50" s="1475"/>
      <c r="D50" s="1475"/>
      <c r="E50" s="1168"/>
    </row>
    <row r="51" spans="1:5" s="1076" customFormat="1" ht="20.25" customHeight="1" x14ac:dyDescent="0.2">
      <c r="A51" s="1077">
        <v>6</v>
      </c>
      <c r="B51" s="2584" t="s">
        <v>1537</v>
      </c>
      <c r="C51" s="2584"/>
      <c r="D51" s="2584"/>
    </row>
    <row r="52" spans="1:5" ht="14.25" customHeight="1" x14ac:dyDescent="0.2">
      <c r="A52" s="1077"/>
      <c r="B52" s="2584"/>
      <c r="C52" s="2584"/>
      <c r="D52" s="25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9" colorId="8" zoomScaleNormal="100" workbookViewId="0">
      <selection activeCell="F119" sqref="F119"/>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1160</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3" t="s">
        <v>1619</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1314</v>
      </c>
      <c r="B70" s="2176"/>
      <c r="C70" s="2176"/>
      <c r="D70" s="2176"/>
      <c r="E70" s="2177"/>
      <c r="F70" s="2177"/>
      <c r="G70" s="2177"/>
      <c r="H70" s="2177"/>
      <c r="I70" s="217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1311</v>
      </c>
      <c r="B83" s="2178"/>
      <c r="C83" s="2178"/>
      <c r="D83" s="217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9" t="s">
        <v>1992</v>
      </c>
      <c r="B85" s="2189"/>
      <c r="C85" s="2189"/>
      <c r="D85" s="2190"/>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56" t="s">
        <v>1992</v>
      </c>
      <c r="B88" s="2157"/>
      <c r="C88" s="2157"/>
      <c r="D88" s="215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2029</v>
      </c>
      <c r="D114" s="216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1321</v>
      </c>
      <c r="D117" s="2171"/>
      <c r="E117" s="2172"/>
      <c r="F117" s="2172"/>
      <c r="G117" s="2172"/>
      <c r="H117" s="2172"/>
      <c r="I117" s="282"/>
    </row>
    <row r="118" spans="1:9" s="176" customFormat="1" ht="24" customHeight="1" x14ac:dyDescent="0.2">
      <c r="A118" s="294"/>
      <c r="B118" s="294"/>
      <c r="C118" s="294"/>
      <c r="D118" s="301" t="s">
        <v>2029</v>
      </c>
      <c r="E118" s="300"/>
      <c r="F118" s="2043">
        <v>44133</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A85:D85"/>
    <mergeCell ref="A88:D88"/>
    <mergeCell ref="A2:J2"/>
    <mergeCell ref="B102:I112"/>
    <mergeCell ref="C114:D114"/>
    <mergeCell ref="C117:H117"/>
    <mergeCell ref="A35:I35"/>
    <mergeCell ref="A47:I47"/>
    <mergeCell ref="A70:I70"/>
    <mergeCell ref="A83:D83"/>
    <mergeCell ref="B57:J67"/>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S41" sqref="S41"/>
    </sheetView>
  </sheetViews>
  <sheetFormatPr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 xml:space="preserve"> Flanagan-Cornell U 74</v>
      </c>
      <c r="C1" s="2600"/>
      <c r="D1" s="2600"/>
      <c r="E1" s="2600"/>
      <c r="F1" s="2600"/>
      <c r="G1" s="2600"/>
      <c r="H1" s="2600"/>
      <c r="I1" s="2600"/>
      <c r="J1" s="1178"/>
    </row>
    <row r="2" spans="2:10" s="295" customFormat="1" ht="12.75" customHeight="1" x14ac:dyDescent="0.2">
      <c r="B2" s="2601">
        <f>'Single Audit Cover'!E7</f>
        <v>17053074027</v>
      </c>
      <c r="C2" s="2602"/>
      <c r="D2" s="2602"/>
      <c r="E2" s="2602"/>
      <c r="F2" s="2602"/>
      <c r="G2" s="2602"/>
      <c r="H2" s="2602"/>
      <c r="I2" s="2602"/>
      <c r="J2" s="1178"/>
    </row>
    <row r="3" spans="2:10" s="295" customFormat="1" ht="12.75" customHeight="1" x14ac:dyDescent="0.2">
      <c r="B3" s="2603" t="s">
        <v>1276</v>
      </c>
      <c r="C3" s="2604"/>
      <c r="D3" s="2604"/>
      <c r="E3" s="2604"/>
      <c r="F3" s="2604"/>
      <c r="G3" s="2604"/>
      <c r="H3" s="2604"/>
      <c r="I3" s="2604"/>
      <c r="J3" s="1179"/>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3" t="s">
        <v>1275</v>
      </c>
      <c r="C7" s="2604"/>
      <c r="D7" s="2604"/>
      <c r="E7" s="2604"/>
      <c r="F7" s="2604"/>
      <c r="G7" s="2604"/>
      <c r="H7" s="2604"/>
      <c r="I7" s="2604"/>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5"/>
      <c r="D11" s="2605"/>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6"/>
      <c r="E29" s="2606"/>
      <c r="F29" s="2606"/>
      <c r="G29" s="2606"/>
      <c r="H29" s="2606"/>
      <c r="I29" s="2606"/>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89" t="s">
        <v>1731</v>
      </c>
      <c r="D37" s="2590"/>
      <c r="E37" s="2590"/>
      <c r="F37" s="2591"/>
      <c r="G37" s="2589" t="s">
        <v>1578</v>
      </c>
      <c r="H37" s="2590"/>
      <c r="I37" s="2591"/>
    </row>
    <row r="38" spans="2:9" ht="16.5" customHeight="1" x14ac:dyDescent="0.2">
      <c r="B38" s="1200"/>
      <c r="C38" s="2592"/>
      <c r="D38" s="2593"/>
      <c r="E38" s="2593"/>
      <c r="F38" s="2594"/>
      <c r="G38" s="2595"/>
      <c r="H38" s="2596"/>
      <c r="I38" s="2597"/>
    </row>
    <row r="39" spans="2:9" ht="16.5" customHeight="1" x14ac:dyDescent="0.2">
      <c r="B39" s="1200"/>
      <c r="C39" s="2592"/>
      <c r="D39" s="2593"/>
      <c r="E39" s="2593"/>
      <c r="F39" s="2594"/>
      <c r="G39" s="2598"/>
      <c r="H39" s="2598"/>
      <c r="I39" s="2598"/>
    </row>
    <row r="40" spans="2:9" ht="16.5" customHeight="1" x14ac:dyDescent="0.2">
      <c r="B40" s="1200"/>
      <c r="C40" s="2592"/>
      <c r="D40" s="2593"/>
      <c r="E40" s="2593"/>
      <c r="F40" s="2594"/>
      <c r="G40" s="2598"/>
      <c r="H40" s="2598"/>
      <c r="I40" s="2598"/>
    </row>
    <row r="41" spans="2:9" ht="16.5" customHeight="1" x14ac:dyDescent="0.2">
      <c r="B41" s="1200"/>
      <c r="C41" s="2592"/>
      <c r="D41" s="2593"/>
      <c r="E41" s="2593"/>
      <c r="F41" s="2594"/>
      <c r="G41" s="2598"/>
      <c r="H41" s="2598"/>
      <c r="I41" s="2598"/>
    </row>
    <row r="42" spans="2:9" ht="16.5" customHeight="1" x14ac:dyDescent="0.2">
      <c r="B42" s="1200"/>
      <c r="C42" s="2592"/>
      <c r="D42" s="2593"/>
      <c r="E42" s="2593"/>
      <c r="F42" s="2594"/>
      <c r="G42" s="2598"/>
      <c r="H42" s="2598"/>
      <c r="I42" s="2598"/>
    </row>
    <row r="43" spans="2:9" ht="16.5" customHeight="1" x14ac:dyDescent="0.2">
      <c r="B43" s="1200"/>
      <c r="C43" s="2607" t="s">
        <v>1579</v>
      </c>
      <c r="D43" s="2608"/>
      <c r="E43" s="2608"/>
      <c r="F43" s="2609"/>
      <c r="G43" s="2610">
        <f>SUM(G38:I42)</f>
        <v>0</v>
      </c>
      <c r="H43" s="2610"/>
      <c r="I43" s="2610"/>
    </row>
    <row r="44" spans="2:9" ht="12.75" customHeight="1" x14ac:dyDescent="0.2"/>
    <row r="45" spans="2:9" ht="12.75" customHeight="1" x14ac:dyDescent="0.2">
      <c r="B45" s="1917" t="str">
        <f>"Total Federal Expenditures for 7/1/"&amp;MID('AFR20'!E2,3,2)-1&amp;"-6/30/"&amp;MID('AFR20'!E2,3,2)</f>
        <v>Total Federal Expenditures for 7/1/19-6/30/20</v>
      </c>
      <c r="C45" s="1918"/>
      <c r="D45" s="2611">
        <v>0</v>
      </c>
      <c r="E45" s="2612"/>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13"/>
      <c r="F49" s="2613"/>
      <c r="G49" s="2613"/>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E49:G49"/>
    <mergeCell ref="C40:F40"/>
    <mergeCell ref="G40:I40"/>
    <mergeCell ref="C41:F41"/>
    <mergeCell ref="G41:I41"/>
    <mergeCell ref="C42:F42"/>
    <mergeCell ref="G42:I42"/>
    <mergeCell ref="C11:D11"/>
    <mergeCell ref="D29:I29"/>
    <mergeCell ref="C37:F37"/>
    <mergeCell ref="C43:F43"/>
    <mergeCell ref="G43:I43"/>
    <mergeCell ref="D45:E45"/>
    <mergeCell ref="G37:I37"/>
    <mergeCell ref="C38:F38"/>
    <mergeCell ref="G38:I38"/>
    <mergeCell ref="C39:F39"/>
    <mergeCell ref="G39:I39"/>
    <mergeCell ref="B1:I1"/>
    <mergeCell ref="B2:I2"/>
    <mergeCell ref="B3:I3"/>
    <mergeCell ref="B4:I4"/>
    <mergeCell ref="B7:I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0" sqref="C10"/>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Flanagan-Cornell U 74</v>
      </c>
      <c r="C1" s="2599"/>
      <c r="D1" s="2599"/>
      <c r="E1" s="2599"/>
      <c r="F1" s="2599"/>
      <c r="G1" s="2599"/>
      <c r="H1" s="2599"/>
      <c r="I1" s="2599"/>
      <c r="J1" s="2599"/>
      <c r="K1" s="2599"/>
      <c r="L1" s="1144"/>
      <c r="M1" s="1144"/>
    </row>
    <row r="2" spans="1:13" ht="12" customHeight="1" x14ac:dyDescent="0.2">
      <c r="B2" s="2601">
        <f>'Single Audit Cover'!E7</f>
        <v>17053074027</v>
      </c>
      <c r="C2" s="2601"/>
      <c r="D2" s="2601"/>
      <c r="E2" s="2601"/>
      <c r="F2" s="2601"/>
      <c r="G2" s="2601"/>
      <c r="H2" s="2601"/>
      <c r="I2" s="2601"/>
      <c r="J2" s="2601"/>
      <c r="K2" s="2601"/>
      <c r="L2" s="1145"/>
      <c r="M2" s="1146"/>
    </row>
    <row r="3" spans="1:13" ht="10.35" customHeight="1" x14ac:dyDescent="0.2">
      <c r="B3" s="2616" t="s">
        <v>1276</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1287</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9"/>
      <c r="C20" s="2619"/>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5"/>
      <c r="C29" s="2615"/>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5"/>
      <c r="C32" s="2615"/>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20:K20"/>
    <mergeCell ref="B23:K23"/>
    <mergeCell ref="B26:K26"/>
    <mergeCell ref="B29:K29"/>
    <mergeCell ref="B32:K32"/>
    <mergeCell ref="B1:K1"/>
    <mergeCell ref="B2:K2"/>
    <mergeCell ref="B3:K3"/>
    <mergeCell ref="B4:K4"/>
    <mergeCell ref="B7:K7"/>
    <mergeCell ref="B14:K14"/>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Flanagan-Cornell U 74</v>
      </c>
      <c r="C1" s="2620"/>
      <c r="D1" s="2620"/>
      <c r="E1" s="2620"/>
      <c r="F1" s="2620"/>
      <c r="G1" s="2620"/>
      <c r="H1" s="2620"/>
      <c r="I1" s="2620"/>
      <c r="J1" s="2620"/>
      <c r="K1" s="2620"/>
      <c r="L1" s="1221"/>
    </row>
    <row r="2" spans="1:12" ht="12.75" customHeight="1" x14ac:dyDescent="0.2">
      <c r="B2" s="2621">
        <f>'Single Audit Cover'!E7</f>
        <v>17053074027</v>
      </c>
      <c r="C2" s="2621"/>
      <c r="D2" s="2621"/>
      <c r="E2" s="2621"/>
      <c r="F2" s="2621"/>
      <c r="G2" s="2621"/>
      <c r="H2" s="2621"/>
      <c r="I2" s="2621"/>
      <c r="J2" s="2621"/>
      <c r="K2" s="2621"/>
      <c r="L2" s="1222"/>
    </row>
    <row r="3" spans="1:12" ht="12.75" customHeight="1" x14ac:dyDescent="0.2">
      <c r="B3" s="2616" t="s">
        <v>1276</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1161</v>
      </c>
      <c r="C5" s="1036"/>
      <c r="L5" s="300"/>
    </row>
    <row r="6" spans="1:12" ht="30.75" customHeight="1" x14ac:dyDescent="0.2">
      <c r="A6" s="300"/>
      <c r="B6" s="2622" t="s">
        <v>1299</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6"/>
      <c r="G12" s="2606"/>
      <c r="H12" s="2606"/>
      <c r="I12" s="2606"/>
      <c r="J12" s="2606"/>
      <c r="K12" s="26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3"/>
      <c r="E14" s="2623"/>
      <c r="F14" s="2623"/>
      <c r="H14" s="1230" t="s">
        <v>1294</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4"/>
      <c r="E16" s="2624"/>
      <c r="F16" s="2624"/>
      <c r="G16" s="2624"/>
      <c r="H16" s="2624"/>
      <c r="I16" s="2624"/>
      <c r="J16" s="2624"/>
      <c r="K16" s="2624"/>
      <c r="L16" s="300"/>
    </row>
    <row r="17" spans="2:12" ht="13.5" customHeight="1" x14ac:dyDescent="0.2">
      <c r="B17" s="1156" t="s">
        <v>1292</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9" t="str">
        <f>'Single Audit Cover'!A7</f>
        <v xml:space="preserve"> Flanagan-Cornell U 74</v>
      </c>
      <c r="C1" s="2599"/>
      <c r="D1" s="2599"/>
      <c r="E1" s="1240"/>
    </row>
    <row r="2" spans="2:5" s="1058" customFormat="1" ht="12.75" customHeight="1" x14ac:dyDescent="0.2">
      <c r="B2" s="2601">
        <f>'Single Audit Cover'!E7</f>
        <v>17053074027</v>
      </c>
      <c r="C2" s="2601"/>
      <c r="D2" s="2601"/>
      <c r="E2" s="1241"/>
    </row>
    <row r="3" spans="2:5" ht="12.75" customHeight="1" x14ac:dyDescent="0.2">
      <c r="B3" s="2616" t="s">
        <v>1746</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135951185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3.78E-2</v>
      </c>
      <c r="E10" s="333" t="s">
        <v>998</v>
      </c>
      <c r="F10" s="332">
        <v>2.8999999999999998E-3</v>
      </c>
      <c r="G10" s="333" t="s">
        <v>998</v>
      </c>
      <c r="H10" s="332">
        <v>5.9239999999999996E-3</v>
      </c>
      <c r="I10" s="333" t="s">
        <v>999</v>
      </c>
      <c r="J10" s="1424">
        <f>ROUND(D10+F10+H10,5)</f>
        <v>4.6620000000000002E-2</v>
      </c>
      <c r="K10" s="217"/>
      <c r="L10" s="332">
        <v>1.5300000000000001E-4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4810740</v>
      </c>
      <c r="E16" s="1547"/>
      <c r="F16" s="1546">
        <f>SUM('Acct Summary 7-8'!C17,'Acct Summary 7-8'!D17,'Acct Summary 7-8'!F17)</f>
        <v>4480351</v>
      </c>
      <c r="G16" s="1547"/>
      <c r="H16" s="1546">
        <f>SUM(D16-F16)</f>
        <v>330389</v>
      </c>
      <c r="I16" s="1548"/>
      <c r="J16" s="1546">
        <f>SUM('Acct Summary 7-8'!C81,'Acct Summary 7-8'!D81,'Acct Summary 7-8'!F81,'Acct Summary 7-8'!I81)</f>
        <v>2613037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25">
        <f>IF(B31="X",(J7*0.069),IF(B32="X",(J7*0.138),"Enter x in a.or b."))</f>
        <v>9380631.7650000006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668281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X44" sqref="X44"/>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Flanagan-Cornell U 74</v>
      </c>
      <c r="E7" s="368"/>
      <c r="G7" s="247"/>
      <c r="H7" s="364"/>
      <c r="I7" s="364"/>
      <c r="J7" s="364"/>
      <c r="K7" s="364"/>
      <c r="L7" s="307"/>
      <c r="M7" s="307"/>
      <c r="N7" s="307"/>
      <c r="O7" s="307"/>
      <c r="P7" s="307"/>
    </row>
    <row r="8" spans="1:18" ht="12.75" x14ac:dyDescent="0.2">
      <c r="A8" s="307"/>
      <c r="B8" s="307"/>
      <c r="C8" s="366" t="s">
        <v>1117</v>
      </c>
      <c r="D8" s="369">
        <f>COVER!A13</f>
        <v>17053074027</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2613037</v>
      </c>
      <c r="I12" s="380"/>
      <c r="J12" s="380"/>
      <c r="K12" s="1559">
        <f>TRUNC((H12/H13*100000),5)/100000</f>
        <v>0.54316737130000003</v>
      </c>
      <c r="L12" s="381"/>
      <c r="M12" s="337" t="s">
        <v>1136</v>
      </c>
      <c r="N12" s="337"/>
      <c r="O12" s="1562">
        <v>0.35</v>
      </c>
      <c r="P12" s="213"/>
      <c r="Q12" s="213"/>
    </row>
    <row r="13" spans="1:18" s="382" customFormat="1" ht="12.75" x14ac:dyDescent="0.2">
      <c r="A13" s="213"/>
      <c r="B13" s="377"/>
      <c r="C13" s="2208" t="s">
        <v>1315</v>
      </c>
      <c r="D13" s="2209"/>
      <c r="E13" s="213"/>
      <c r="F13" s="383" t="s">
        <v>788</v>
      </c>
      <c r="G13" s="378"/>
      <c r="H13" s="1551">
        <f>SUM('Acct Summary 7-8'!C8+'Acct Summary 7-8'!D8+'Acct Summary 7-8'!F8+'Acct Summary 7-8'!I8)+H14</f>
        <v>4810740</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4480351</v>
      </c>
      <c r="I17" s="380"/>
      <c r="J17" s="389"/>
      <c r="K17" s="1559">
        <f>TRUNC((H17/H18*100000),5)/100000</f>
        <v>0.93132262390000009</v>
      </c>
      <c r="L17" s="381"/>
      <c r="M17" s="390" t="s">
        <v>1163</v>
      </c>
      <c r="O17" s="1565" t="str">
        <f>IF(AND(O16="2", J20 &gt; 2),"1",IF(AND(O16 = "1", J20 &gt; 2),"2",IF(AND(O16="1", J20 &gt;1),"1","0")))</f>
        <v>0</v>
      </c>
      <c r="P17" s="213"/>
    </row>
    <row r="18" spans="1:18" s="382" customFormat="1" ht="11.25" x14ac:dyDescent="0.2">
      <c r="A18" s="213"/>
      <c r="B18" s="377"/>
      <c r="C18" s="2208" t="s">
        <v>1308</v>
      </c>
      <c r="D18" s="2209"/>
      <c r="E18" s="213"/>
      <c r="F18" s="391" t="s">
        <v>789</v>
      </c>
      <c r="G18" s="378"/>
      <c r="H18" s="1551">
        <f>SUM('Acct Summary 7-8'!C8+'Acct Summary 7-8'!D8+'Acct Summary 7-8'!F8+'Acct Summary 7-8'!I8)+H19</f>
        <v>4810740</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5" t="s">
        <v>1398</v>
      </c>
      <c r="D24" s="2205"/>
      <c r="E24" s="213"/>
      <c r="F24" s="213" t="s">
        <v>442</v>
      </c>
      <c r="G24" s="378"/>
      <c r="H24" s="1551">
        <f>SUM('Assets-Liab 5-6'!C4+'Assets-Liab 5-6'!D4+'Assets-Liab 5-6'!F4+'Assets-Liab 5-6'!I4+'Assets-Liab 5-6'!C5+'Assets-Liab 5-6'!D5+'Assets-Liab 5-6'!F5+'Assets-Liab 5-6'!I5)</f>
        <v>2536248</v>
      </c>
      <c r="I24" s="394"/>
      <c r="J24" s="394"/>
      <c r="K24" s="1555">
        <f>TRUNC(((H24/H25*100000)/100000),2)</f>
        <v>203.78</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12445.41944</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5387337.608</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668281</v>
      </c>
      <c r="I32" s="392"/>
      <c r="J32" s="392"/>
      <c r="K32" s="1555">
        <f>TRUNC(100-((((H32/H33*100))*100)/100),2)</f>
        <v>92.87</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9380631.7650000006</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3" activePane="bottomLeft" state="frozen"/>
      <selection pane="bottomLeft" activeCell="H38" sqref="H38"/>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1635</v>
      </c>
      <c r="B4" s="428"/>
      <c r="C4" s="1572">
        <f>4670+97343+866476+10897</f>
        <v>979386</v>
      </c>
      <c r="D4" s="1573">
        <v>316366</v>
      </c>
      <c r="E4" s="1573">
        <f>160676-1</f>
        <v>160675</v>
      </c>
      <c r="F4" s="1573">
        <f>974898-10897</f>
        <v>964001</v>
      </c>
      <c r="G4" s="1573">
        <v>44250</v>
      </c>
      <c r="H4" s="1573">
        <v>261593</v>
      </c>
      <c r="I4" s="1573">
        <v>23592</v>
      </c>
      <c r="J4" s="1574">
        <f>-11053+11053</f>
        <v>0</v>
      </c>
      <c r="K4" s="1573">
        <v>33004</v>
      </c>
      <c r="L4" s="1573">
        <v>118709</v>
      </c>
      <c r="M4" s="1575"/>
      <c r="N4" s="1576"/>
    </row>
    <row r="5" spans="1:14" x14ac:dyDescent="0.2">
      <c r="A5" s="427" t="s">
        <v>985</v>
      </c>
      <c r="B5" s="429">
        <v>120</v>
      </c>
      <c r="C5" s="1572">
        <f>22179+23761</f>
        <v>45940</v>
      </c>
      <c r="D5" s="1573">
        <f>58258+100227</f>
        <v>158485</v>
      </c>
      <c r="E5" s="1573">
        <f>67015-40463</f>
        <v>26552</v>
      </c>
      <c r="F5" s="1573">
        <v>46635</v>
      </c>
      <c r="G5" s="1573">
        <f>36752-23010</f>
        <v>13742</v>
      </c>
      <c r="H5" s="1573">
        <v>69631</v>
      </c>
      <c r="I5" s="1573">
        <v>1843</v>
      </c>
      <c r="J5" s="1574">
        <v>100000</v>
      </c>
      <c r="K5" s="1577">
        <f>5534+42447</f>
        <v>47981</v>
      </c>
      <c r="L5" s="1578">
        <v>105337</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f>-1+1</f>
        <v>0</v>
      </c>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69631</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1094957</v>
      </c>
      <c r="D13" s="1587">
        <f t="shared" ref="D13:L13" si="0">SUM(D4:D12)</f>
        <v>474851</v>
      </c>
      <c r="E13" s="1587">
        <f t="shared" si="0"/>
        <v>187227</v>
      </c>
      <c r="F13" s="1587">
        <f t="shared" si="0"/>
        <v>1010636</v>
      </c>
      <c r="G13" s="1587">
        <f t="shared" si="0"/>
        <v>57992</v>
      </c>
      <c r="H13" s="1587">
        <f t="shared" si="0"/>
        <v>331224</v>
      </c>
      <c r="I13" s="1587">
        <f t="shared" si="0"/>
        <v>25435</v>
      </c>
      <c r="J13" s="1587">
        <f t="shared" si="0"/>
        <v>100000</v>
      </c>
      <c r="K13" s="1587">
        <f t="shared" si="0"/>
        <v>80985</v>
      </c>
      <c r="L13" s="1587">
        <f t="shared" si="0"/>
        <v>224046</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32340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3028448</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302906</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2496116</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187227</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481054</v>
      </c>
    </row>
    <row r="23" spans="1:14" ht="13.5" customHeight="1" thickBot="1" x14ac:dyDescent="0.25">
      <c r="A23" s="1426" t="s">
        <v>638</v>
      </c>
      <c r="B23" s="1429"/>
      <c r="C23" s="1575"/>
      <c r="D23" s="1575"/>
      <c r="E23" s="1575"/>
      <c r="F23" s="1575"/>
      <c r="G23" s="1575"/>
      <c r="H23" s="1575"/>
      <c r="I23" s="1575"/>
      <c r="J23" s="1575"/>
      <c r="K23" s="1575"/>
      <c r="L23" s="1575"/>
      <c r="M23" s="1594">
        <f>SUM(M15:M22)</f>
        <v>5859810</v>
      </c>
      <c r="N23" s="1594">
        <f>SUM(N21:N22)</f>
        <v>668281</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v>11053</v>
      </c>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f>-8530-41+1229+184</f>
        <v>-7158</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224046</v>
      </c>
      <c r="M33" s="1575"/>
      <c r="N33" s="1576"/>
    </row>
    <row r="34" spans="1:14" ht="13.5" customHeight="1" thickBot="1" x14ac:dyDescent="0.25">
      <c r="A34" s="1427" t="s">
        <v>649</v>
      </c>
      <c r="B34" s="1428"/>
      <c r="C34" s="1600">
        <f>SUM(C25:C33)</f>
        <v>-7158</v>
      </c>
      <c r="D34" s="1600">
        <f t="shared" ref="D34:K34" si="1">SUM(D25:D33)</f>
        <v>0</v>
      </c>
      <c r="E34" s="1600">
        <f t="shared" si="1"/>
        <v>0</v>
      </c>
      <c r="F34" s="1600">
        <f t="shared" si="1"/>
        <v>0</v>
      </c>
      <c r="G34" s="1600">
        <f t="shared" si="1"/>
        <v>0</v>
      </c>
      <c r="H34" s="1600">
        <f t="shared" si="1"/>
        <v>0</v>
      </c>
      <c r="I34" s="1600">
        <f t="shared" si="1"/>
        <v>0</v>
      </c>
      <c r="J34" s="1600">
        <f t="shared" si="1"/>
        <v>11053</v>
      </c>
      <c r="K34" s="1600">
        <f t="shared" si="1"/>
        <v>0</v>
      </c>
      <c r="L34" s="1601">
        <f>SUM(L33)</f>
        <v>224046</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668281</v>
      </c>
    </row>
    <row r="37" spans="1:14" ht="13.5" thickBot="1" x14ac:dyDescent="0.25">
      <c r="A37" s="1426" t="s">
        <v>648</v>
      </c>
      <c r="B37" s="1429"/>
      <c r="C37" s="1582"/>
      <c r="D37" s="1582"/>
      <c r="E37" s="1582"/>
      <c r="F37" s="1582"/>
      <c r="G37" s="1582"/>
      <c r="H37" s="1582"/>
      <c r="I37" s="1582"/>
      <c r="J37" s="1582"/>
      <c r="K37" s="1582"/>
      <c r="L37" s="1585"/>
      <c r="M37" s="1575"/>
      <c r="N37" s="1594">
        <f>SUM(N36:N36)</f>
        <v>668281</v>
      </c>
    </row>
    <row r="38" spans="1:14" s="307" customFormat="1" ht="13.5" customHeight="1" thickTop="1" x14ac:dyDescent="0.2">
      <c r="A38" s="438" t="s">
        <v>417</v>
      </c>
      <c r="B38" s="432">
        <v>714</v>
      </c>
      <c r="C38" s="1573"/>
      <c r="D38" s="1573"/>
      <c r="E38" s="1573"/>
      <c r="F38" s="1573"/>
      <c r="G38" s="1573"/>
      <c r="H38" s="1573">
        <v>174709</v>
      </c>
      <c r="I38" s="1573"/>
      <c r="J38" s="1574"/>
      <c r="K38" s="1573"/>
      <c r="L38" s="1586"/>
      <c r="M38" s="1604"/>
      <c r="N38" s="1604"/>
    </row>
    <row r="39" spans="1:14" s="307" customFormat="1" ht="13.5" customHeight="1" x14ac:dyDescent="0.2">
      <c r="A39" s="438" t="s">
        <v>339</v>
      </c>
      <c r="B39" s="432">
        <v>730</v>
      </c>
      <c r="C39" s="1573">
        <v>1102115</v>
      </c>
      <c r="D39" s="1573">
        <v>474851</v>
      </c>
      <c r="E39" s="1573">
        <v>187227</v>
      </c>
      <c r="F39" s="1573">
        <v>1010636</v>
      </c>
      <c r="G39" s="1573">
        <f>92325-34333</f>
        <v>57992</v>
      </c>
      <c r="H39" s="1573">
        <v>156515</v>
      </c>
      <c r="I39" s="1573">
        <f>37511-12076</f>
        <v>25435</v>
      </c>
      <c r="J39" s="1574">
        <f>120289-31342</f>
        <v>88947</v>
      </c>
      <c r="K39" s="1573">
        <f>79851+1134</f>
        <v>80985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5859810</v>
      </c>
      <c r="N40" s="1604"/>
    </row>
    <row r="41" spans="1:14" ht="13.5" customHeight="1" thickBot="1" x14ac:dyDescent="0.25">
      <c r="A41" s="1426" t="s">
        <v>650</v>
      </c>
      <c r="B41" s="1405"/>
      <c r="C41" s="1594">
        <f>(SUM(C34,C37,C38,C39))</f>
        <v>1094957</v>
      </c>
      <c r="D41" s="1594">
        <f t="shared" ref="D41:L41" si="2">SUM(D34,D37,D38:D39)</f>
        <v>474851</v>
      </c>
      <c r="E41" s="1594">
        <f t="shared" si="2"/>
        <v>187227</v>
      </c>
      <c r="F41" s="1594">
        <f t="shared" si="2"/>
        <v>1010636</v>
      </c>
      <c r="G41" s="1594">
        <f t="shared" si="2"/>
        <v>57992</v>
      </c>
      <c r="H41" s="1594">
        <f t="shared" si="2"/>
        <v>331224</v>
      </c>
      <c r="I41" s="1594">
        <f t="shared" si="2"/>
        <v>25435</v>
      </c>
      <c r="J41" s="1594">
        <f t="shared" si="2"/>
        <v>100000</v>
      </c>
      <c r="K41" s="1594">
        <f t="shared" si="2"/>
        <v>80985</v>
      </c>
      <c r="L41" s="1594">
        <f t="shared" si="2"/>
        <v>224046</v>
      </c>
      <c r="M41" s="1594">
        <f>SUM(M40)</f>
        <v>5859810</v>
      </c>
      <c r="N41" s="1594">
        <f>SUM(N37)</f>
        <v>668281</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6" sqref="C6:H6"/>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3" t="s">
        <v>1167</v>
      </c>
      <c r="B3" s="2224"/>
      <c r="C3" s="1311"/>
      <c r="D3" s="1312"/>
      <c r="E3" s="1312"/>
      <c r="F3" s="1312"/>
      <c r="G3" s="1312"/>
      <c r="H3" s="1312"/>
      <c r="I3" s="1312"/>
      <c r="J3" s="1312"/>
      <c r="K3" s="1313"/>
      <c r="L3" s="446"/>
    </row>
    <row r="4" spans="1:13" ht="15.75" customHeight="1" x14ac:dyDescent="0.2">
      <c r="A4" s="1537" t="s">
        <v>1485</v>
      </c>
      <c r="B4" s="1538">
        <v>1000</v>
      </c>
      <c r="C4" s="1606">
        <f>'Revenues 9-14'!C109</f>
        <v>2452202</v>
      </c>
      <c r="D4" s="1606">
        <f>'Revenues 9-14'!D109</f>
        <v>341515</v>
      </c>
      <c r="E4" s="1606">
        <f>'Revenues 9-14'!E109</f>
        <v>220214</v>
      </c>
      <c r="F4" s="1606">
        <f>'Revenues 9-14'!F109</f>
        <v>606499</v>
      </c>
      <c r="G4" s="1606">
        <f>'Revenues 9-14'!G109</f>
        <v>97677</v>
      </c>
      <c r="H4" s="1606">
        <f>'Revenues 9-14'!H109</f>
        <v>179462</v>
      </c>
      <c r="I4" s="1606">
        <f>'Revenues 9-14'!I109</f>
        <v>37511</v>
      </c>
      <c r="J4" s="1606">
        <f>'Revenues 9-14'!J109</f>
        <v>124832</v>
      </c>
      <c r="K4" s="1606">
        <f>'Revenues 9-14'!K109</f>
        <v>5947</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1022588</v>
      </c>
      <c r="D6" s="1607">
        <f>'Revenues 9-14'!D170</f>
        <v>0</v>
      </c>
      <c r="E6" s="1607">
        <f>'Revenues 9-14'!E170</f>
        <v>0</v>
      </c>
      <c r="F6" s="1607">
        <f>'Revenues 9-14'!F170</f>
        <v>173268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1488</v>
      </c>
      <c r="B7" s="1316">
        <v>4000</v>
      </c>
      <c r="C7" s="1607">
        <f>'Revenues 9-14'!C267</f>
        <v>177157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3651947</v>
      </c>
      <c r="D8" s="1594">
        <f t="shared" ref="D8:K8" si="0">SUM(D4:D7)</f>
        <v>341515</v>
      </c>
      <c r="E8" s="1594">
        <f t="shared" si="0"/>
        <v>220214</v>
      </c>
      <c r="F8" s="1594">
        <f t="shared" si="0"/>
        <v>779767</v>
      </c>
      <c r="G8" s="1594">
        <f t="shared" si="0"/>
        <v>97677</v>
      </c>
      <c r="H8" s="1594">
        <f t="shared" si="0"/>
        <v>229462</v>
      </c>
      <c r="I8" s="1594">
        <f t="shared" si="0"/>
        <v>37511</v>
      </c>
      <c r="J8" s="1594">
        <f t="shared" si="0"/>
        <v>124832</v>
      </c>
      <c r="K8" s="1594">
        <f t="shared" si="0"/>
        <v>5947</v>
      </c>
      <c r="L8" s="325"/>
    </row>
    <row r="9" spans="1:13" ht="15.75" thickTop="1" x14ac:dyDescent="0.2">
      <c r="A9" s="449" t="s">
        <v>1637</v>
      </c>
      <c r="B9" s="450">
        <v>3998</v>
      </c>
      <c r="C9" s="1586">
        <f>1637279+25577</f>
        <v>1662856</v>
      </c>
      <c r="D9" s="1613"/>
      <c r="E9" s="1586"/>
      <c r="F9" s="1586"/>
      <c r="G9" s="1614"/>
      <c r="H9" s="1586"/>
      <c r="I9" s="1609" t="s">
        <v>1161</v>
      </c>
      <c r="J9" s="1583"/>
      <c r="K9" s="1586"/>
      <c r="L9" s="325"/>
    </row>
    <row r="10" spans="1:13" s="452" customFormat="1" ht="13.5" thickBot="1" x14ac:dyDescent="0.25">
      <c r="A10" s="1426" t="s">
        <v>1165</v>
      </c>
      <c r="B10" s="1407"/>
      <c r="C10" s="1594">
        <f>SUM(C8:C9)</f>
        <v>5314803</v>
      </c>
      <c r="D10" s="1594">
        <f t="shared" ref="D10:K10" si="1">SUM(D8:D9)</f>
        <v>341515</v>
      </c>
      <c r="E10" s="1594">
        <f t="shared" si="1"/>
        <v>220214</v>
      </c>
      <c r="F10" s="1594">
        <f t="shared" si="1"/>
        <v>779767</v>
      </c>
      <c r="G10" s="1594">
        <f t="shared" si="1"/>
        <v>97677</v>
      </c>
      <c r="H10" s="1594">
        <f t="shared" si="1"/>
        <v>229462</v>
      </c>
      <c r="I10" s="1594">
        <f t="shared" si="1"/>
        <v>37511</v>
      </c>
      <c r="J10" s="1594">
        <f t="shared" si="1"/>
        <v>124832</v>
      </c>
      <c r="K10" s="1594">
        <f t="shared" si="1"/>
        <v>5947</v>
      </c>
      <c r="L10" s="451"/>
    </row>
    <row r="11" spans="1:13" s="452" customFormat="1" ht="16.7" customHeight="1" thickTop="1" x14ac:dyDescent="0.2">
      <c r="A11" s="2217" t="s">
        <v>1168</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2732587</v>
      </c>
      <c r="D12" s="1616" t="s">
        <v>1161</v>
      </c>
      <c r="E12" s="1575" t="s">
        <v>1161</v>
      </c>
      <c r="F12" s="1575" t="s">
        <v>1161</v>
      </c>
      <c r="G12" s="1606">
        <f>'Expenditures 15-22'!K229</f>
        <v>74388</v>
      </c>
      <c r="H12" s="1617"/>
      <c r="I12" s="1575" t="s">
        <v>1161</v>
      </c>
      <c r="J12" s="1575" t="s">
        <v>1161</v>
      </c>
      <c r="K12" s="1617" t="s">
        <v>1161</v>
      </c>
      <c r="L12" s="325"/>
    </row>
    <row r="13" spans="1:13" ht="15.75" customHeight="1" x14ac:dyDescent="0.2">
      <c r="A13" s="1314" t="s">
        <v>454</v>
      </c>
      <c r="B13" s="1316">
        <v>2000</v>
      </c>
      <c r="C13" s="1607">
        <f>'Expenditures 15-22'!K74</f>
        <v>780809</v>
      </c>
      <c r="D13" s="1607">
        <f>'Expenditures 15-22'!K129</f>
        <v>327020</v>
      </c>
      <c r="E13" s="1576" t="s">
        <v>1161</v>
      </c>
      <c r="F13" s="1607">
        <f>'Expenditures 15-22'!K184</f>
        <v>389009</v>
      </c>
      <c r="G13" s="1607">
        <f>'Expenditures 15-22'!K279</f>
        <v>57622</v>
      </c>
      <c r="H13" s="1607">
        <f>'Expenditures 15-22'!K303</f>
        <v>77110</v>
      </c>
      <c r="I13" s="1575" t="s">
        <v>1161</v>
      </c>
      <c r="J13" s="1607">
        <f>'Expenditures 15-22'!K330</f>
        <v>156174</v>
      </c>
      <c r="K13" s="1618">
        <f>'Expenditures 15-22'!K352</f>
        <v>4812</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250926</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183200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3764322</v>
      </c>
      <c r="D17" s="1594">
        <f t="shared" si="2"/>
        <v>327020</v>
      </c>
      <c r="E17" s="1594">
        <f t="shared" si="2"/>
        <v>183200</v>
      </c>
      <c r="F17" s="1594">
        <f t="shared" si="2"/>
        <v>389009</v>
      </c>
      <c r="G17" s="1594">
        <f t="shared" si="2"/>
        <v>132010</v>
      </c>
      <c r="H17" s="1594">
        <f t="shared" si="2"/>
        <v>77110</v>
      </c>
      <c r="I17" s="1575"/>
      <c r="J17" s="1594">
        <f>SUM(J12:J16)</f>
        <v>156174</v>
      </c>
      <c r="K17" s="1594">
        <f>SUM(K12:K16)</f>
        <v>4812</v>
      </c>
      <c r="L17" s="325"/>
    </row>
    <row r="18" spans="1:12" ht="15" customHeight="1" thickTop="1" x14ac:dyDescent="0.2">
      <c r="A18" s="1430" t="s">
        <v>1638</v>
      </c>
      <c r="B18" s="1431">
        <v>4180</v>
      </c>
      <c r="C18" s="1606">
        <f t="shared" ref="C18:H18" si="3">C9</f>
        <v>1662856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5427178</v>
      </c>
      <c r="D19" s="1594">
        <f t="shared" si="4"/>
        <v>327020</v>
      </c>
      <c r="E19" s="1594">
        <f t="shared" si="4"/>
        <v>183200</v>
      </c>
      <c r="F19" s="1594">
        <f t="shared" si="4"/>
        <v>389009</v>
      </c>
      <c r="G19" s="1594">
        <f t="shared" si="4"/>
        <v>132010</v>
      </c>
      <c r="H19" s="1594">
        <f t="shared" si="4"/>
        <v>77110</v>
      </c>
      <c r="I19" s="1575"/>
      <c r="J19" s="1594">
        <f>SUM(J17:J18)</f>
        <v>156174</v>
      </c>
      <c r="K19" s="1594">
        <f>SUM(K17:K18)</f>
        <v>4812</v>
      </c>
      <c r="L19" s="325"/>
    </row>
    <row r="20" spans="1:12" ht="16.5" thickTop="1" thickBot="1" x14ac:dyDescent="0.25">
      <c r="A20" s="2243" t="s">
        <v>1639</v>
      </c>
      <c r="B20" s="2244"/>
      <c r="C20" s="1622">
        <f>C8-C17</f>
        <v>-112375</v>
      </c>
      <c r="D20" s="1622">
        <f t="shared" ref="D20:K20" si="5">D8-D17</f>
        <v>14495</v>
      </c>
      <c r="E20" s="1622">
        <f t="shared" si="5"/>
        <v>37014</v>
      </c>
      <c r="F20" s="1622">
        <f t="shared" si="5"/>
        <v>390758</v>
      </c>
      <c r="G20" s="1622">
        <f t="shared" si="5"/>
        <v>-34333</v>
      </c>
      <c r="H20" s="1622">
        <f t="shared" si="5"/>
        <v>152352</v>
      </c>
      <c r="I20" s="1622">
        <f t="shared" si="5"/>
        <v>37511</v>
      </c>
      <c r="J20" s="1622">
        <f t="shared" si="5"/>
        <v>-31342</v>
      </c>
      <c r="K20" s="1622">
        <f t="shared" si="5"/>
        <v>1135</v>
      </c>
      <c r="L20" s="325"/>
    </row>
    <row r="21" spans="1:12" ht="16.7" customHeight="1" thickTop="1" x14ac:dyDescent="0.2">
      <c r="A21" s="2225" t="s">
        <v>591</v>
      </c>
      <c r="B21" s="2226"/>
      <c r="C21" s="1602"/>
      <c r="D21" s="1603"/>
      <c r="E21" s="1603"/>
      <c r="F21" s="1603"/>
      <c r="G21" s="1603"/>
      <c r="H21" s="1603"/>
      <c r="I21" s="1603"/>
      <c r="J21" s="1603"/>
      <c r="K21" s="1615"/>
      <c r="L21" s="453"/>
    </row>
    <row r="22" spans="1:12" ht="15.75" customHeight="1" collapsed="1" x14ac:dyDescent="0.2">
      <c r="A22" s="2229" t="s">
        <v>592</v>
      </c>
      <c r="B22" s="2230"/>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27" t="s">
        <v>371</v>
      </c>
      <c r="B44" s="222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29" t="s">
        <v>108</v>
      </c>
      <c r="B45" s="2230"/>
      <c r="C45" s="1625"/>
      <c r="D45" s="1625"/>
      <c r="E45" s="1625"/>
      <c r="F45" s="1625"/>
      <c r="G45" s="1625"/>
      <c r="H45" s="1625"/>
      <c r="I45" s="1625"/>
      <c r="J45" s="1625"/>
      <c r="K45" s="1625"/>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3" t="s">
        <v>437</v>
      </c>
      <c r="B76" s="223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5" t="s">
        <v>1169</v>
      </c>
      <c r="B77" s="223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9" t="s">
        <v>593</v>
      </c>
      <c r="B78" s="2240"/>
      <c r="C78" s="1629">
        <f t="shared" ref="C78:K78" si="9">C20+C77</f>
        <v>-112375</v>
      </c>
      <c r="D78" s="1629">
        <f t="shared" si="9"/>
        <v>14495</v>
      </c>
      <c r="E78" s="1629">
        <f t="shared" si="9"/>
        <v>37014</v>
      </c>
      <c r="F78" s="1629">
        <f t="shared" si="9"/>
        <v>390758</v>
      </c>
      <c r="G78" s="1629">
        <f t="shared" si="9"/>
        <v>-34333</v>
      </c>
      <c r="H78" s="1629">
        <f t="shared" si="9"/>
        <v>152352</v>
      </c>
      <c r="I78" s="1629">
        <f t="shared" si="9"/>
        <v>37511</v>
      </c>
      <c r="J78" s="1629">
        <f t="shared" si="9"/>
        <v>-31342</v>
      </c>
      <c r="K78" s="1629">
        <f t="shared" si="9"/>
        <v>1135</v>
      </c>
      <c r="L78" s="457"/>
    </row>
    <row r="79" spans="1:12" ht="13.5" thickTop="1" x14ac:dyDescent="0.2">
      <c r="A79" s="1844" t="str">
        <f>"Fund Balances - July 1, "&amp;'AFR20'!E2-1</f>
        <v>Fund Balances - July 1, 2019</v>
      </c>
      <c r="B79" s="458"/>
      <c r="C79" s="1583">
        <v>1214490</v>
      </c>
      <c r="D79" s="1630">
        <v>460356</v>
      </c>
      <c r="E79" s="1630">
        <v>150213</v>
      </c>
      <c r="F79" s="1630">
        <v>619878</v>
      </c>
      <c r="G79" s="1630">
        <v>92325</v>
      </c>
      <c r="H79" s="1630">
        <v>178872</v>
      </c>
      <c r="I79" s="1630">
        <v>-12076</v>
      </c>
      <c r="J79" s="1630">
        <v>120289</v>
      </c>
      <c r="K79" s="1630">
        <v>79850</v>
      </c>
      <c r="L79" s="325"/>
    </row>
    <row r="80" spans="1:12" x14ac:dyDescent="0.2">
      <c r="A80" s="2245" t="s">
        <v>1775</v>
      </c>
      <c r="B80" s="2246"/>
      <c r="C80" s="1574"/>
      <c r="D80" s="1574"/>
      <c r="E80" s="1574"/>
      <c r="F80" s="1574"/>
      <c r="G80" s="1574"/>
      <c r="H80" s="1574"/>
      <c r="I80" s="1574"/>
      <c r="J80" s="1574"/>
      <c r="K80" s="1574"/>
      <c r="L80" s="325"/>
    </row>
    <row r="81" spans="1:12" ht="13.5" thickBot="1" x14ac:dyDescent="0.25">
      <c r="A81" s="2237" t="str">
        <f>"Fund Balances - June 30, "&amp;'AFR20'!E2</f>
        <v>Fund Balances - June 30, 2020</v>
      </c>
      <c r="B81" s="2238"/>
      <c r="C81" s="1594">
        <f>(SUM(C78:C80))</f>
        <v>1102115</v>
      </c>
      <c r="D81" s="1594">
        <f>SUM(D78:D80)</f>
        <v>474851</v>
      </c>
      <c r="E81" s="1594">
        <f t="shared" ref="E81:K81" si="10">SUM(E78:E80)</f>
        <v>187227</v>
      </c>
      <c r="F81" s="1594">
        <f t="shared" si="10"/>
        <v>1010636</v>
      </c>
      <c r="G81" s="1594">
        <f t="shared" si="10"/>
        <v>57992</v>
      </c>
      <c r="H81" s="1594">
        <f t="shared" si="10"/>
        <v>331224</v>
      </c>
      <c r="I81" s="1594">
        <f t="shared" si="10"/>
        <v>25435</v>
      </c>
      <c r="J81" s="1594">
        <f t="shared" si="10"/>
        <v>88947</v>
      </c>
      <c r="K81" s="1594">
        <f t="shared" si="10"/>
        <v>80985</v>
      </c>
      <c r="L81" s="325"/>
    </row>
    <row r="82" spans="1:12" ht="0.75" customHeight="1" thickTop="1" thickBot="1" x14ac:dyDescent="0.25">
      <c r="A82" s="459" t="s">
        <v>340</v>
      </c>
      <c r="B82" s="460"/>
      <c r="C82" s="461">
        <f>(C81-C79)</f>
        <v>-112375</v>
      </c>
      <c r="D82" s="461">
        <f t="shared" ref="D82:K82" si="11">(D81-D79)</f>
        <v>14495</v>
      </c>
      <c r="E82" s="461">
        <f t="shared" si="11"/>
        <v>37014</v>
      </c>
      <c r="F82" s="461">
        <f t="shared" si="11"/>
        <v>390758</v>
      </c>
      <c r="G82" s="461">
        <f t="shared" si="11"/>
        <v>-34333</v>
      </c>
      <c r="H82" s="461">
        <f t="shared" si="11"/>
        <v>152352</v>
      </c>
      <c r="I82" s="461">
        <f t="shared" si="11"/>
        <v>37511</v>
      </c>
      <c r="J82" s="461">
        <f t="shared" si="11"/>
        <v>-31342</v>
      </c>
      <c r="K82" s="461">
        <f t="shared" si="11"/>
        <v>1135</v>
      </c>
    </row>
    <row r="83" spans="1:12" ht="14.25" hidden="1" thickTop="1" thickBot="1" x14ac:dyDescent="0.25">
      <c r="A83" s="462" t="s">
        <v>341</v>
      </c>
      <c r="B83" s="428"/>
      <c r="C83" s="463">
        <f>C82/C81</f>
        <v>-0.10196304378399713</v>
      </c>
      <c r="D83" s="463">
        <f t="shared" ref="D83:K83" si="12">D82/D81</f>
        <v>3.05253647986421E-2</v>
      </c>
      <c r="E83" s="463">
        <f t="shared" si="12"/>
        <v>0.19769584515053917</v>
      </c>
      <c r="F83" s="463">
        <f t="shared" si="12"/>
        <v>0.38664563700481674</v>
      </c>
      <c r="G83" s="463">
        <f t="shared" si="12"/>
        <v>-0.5920299351634708</v>
      </c>
      <c r="H83" s="463">
        <f t="shared" si="12"/>
        <v>0.45996666908195061</v>
      </c>
      <c r="I83" s="463">
        <f t="shared" si="12"/>
        <v>1.4747788480440338</v>
      </c>
      <c r="J83" s="463">
        <f t="shared" si="12"/>
        <v>-0.35236713998223662</v>
      </c>
      <c r="K83" s="463">
        <f t="shared" si="12"/>
        <v>1.4014941038463914E-2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8" bottom="0.48" header="0.3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34" activePane="bottomLeft" state="frozen"/>
      <selection pane="bottomLeft" activeCell="C259" sqref="C259"/>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1782</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f>2235022-823</f>
        <v>2234199</v>
      </c>
      <c r="D5" s="1586">
        <f>271555-100</f>
        <v>271455</v>
      </c>
      <c r="E5" s="1573">
        <f>217598-67</f>
        <v>217531</v>
      </c>
      <c r="F5" s="1631">
        <f>500470-184</f>
        <v>500286</v>
      </c>
      <c r="G5" s="1573">
        <f>81110-34556-30-12</f>
        <v>46512</v>
      </c>
      <c r="H5" s="1573"/>
      <c r="I5" s="1573">
        <f>35668-13</f>
        <v>35655</v>
      </c>
      <c r="J5" s="1574">
        <f>124832-46</f>
        <v>124786</v>
      </c>
      <c r="K5" s="1573">
        <f>5947-2</f>
        <v>5945</v>
      </c>
    </row>
    <row r="6" spans="1:12" ht="15" x14ac:dyDescent="0.2">
      <c r="A6" s="427" t="s">
        <v>1646</v>
      </c>
      <c r="B6" s="429">
        <v>1130</v>
      </c>
      <c r="C6" s="1573">
        <v>10897</v>
      </c>
      <c r="D6" s="1573"/>
      <c r="E6" s="1580"/>
      <c r="F6" s="1580"/>
      <c r="G6" s="1575"/>
      <c r="H6" s="1575"/>
      <c r="I6" s="1575"/>
      <c r="J6" s="1575"/>
      <c r="K6" s="1575"/>
    </row>
    <row r="7" spans="1:12" x14ac:dyDescent="0.2">
      <c r="A7" s="427" t="s">
        <v>110</v>
      </c>
      <c r="B7" s="471">
        <v>1140</v>
      </c>
      <c r="C7" s="1573">
        <f>32591-12</f>
        <v>32579</v>
      </c>
      <c r="D7" s="1573"/>
      <c r="E7" s="1575"/>
      <c r="F7" s="1574"/>
      <c r="G7" s="1574"/>
      <c r="H7" s="1574"/>
      <c r="I7" s="1575"/>
      <c r="J7" s="1575"/>
      <c r="K7" s="1575"/>
    </row>
    <row r="8" spans="1:12" x14ac:dyDescent="0.2">
      <c r="A8" s="427" t="s">
        <v>410</v>
      </c>
      <c r="B8" s="429">
        <v>1150</v>
      </c>
      <c r="C8" s="1580"/>
      <c r="D8" s="1580"/>
      <c r="E8" s="1582"/>
      <c r="F8" s="1582"/>
      <c r="G8" s="1586">
        <v>34556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2277675</v>
      </c>
      <c r="D12" s="1633">
        <f t="shared" si="0"/>
        <v>271455</v>
      </c>
      <c r="E12" s="1633">
        <f t="shared" si="0"/>
        <v>217531</v>
      </c>
      <c r="F12" s="1633">
        <f t="shared" si="0"/>
        <v>500286</v>
      </c>
      <c r="G12" s="1633">
        <f t="shared" si="0"/>
        <v>81068</v>
      </c>
      <c r="H12" s="1633">
        <f t="shared" si="0"/>
        <v>0</v>
      </c>
      <c r="I12" s="1633">
        <f t="shared" si="0"/>
        <v>35655</v>
      </c>
      <c r="J12" s="1633">
        <f t="shared" si="0"/>
        <v>124786</v>
      </c>
      <c r="K12" s="1594">
        <f t="shared" si="0"/>
        <v>5945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v>65197</v>
      </c>
      <c r="E16" s="1573">
        <v>2616</v>
      </c>
      <c r="F16" s="1573"/>
      <c r="G16" s="1573">
        <v>16567</v>
      </c>
      <c r="H16" s="1573"/>
      <c r="I16" s="1573"/>
      <c r="J16" s="1574"/>
      <c r="K16" s="1573"/>
    </row>
    <row r="17" spans="1:11" ht="12.75" customHeight="1" x14ac:dyDescent="0.2">
      <c r="A17" s="427" t="s">
        <v>802</v>
      </c>
      <c r="B17" s="429">
        <v>1290</v>
      </c>
      <c r="C17" s="1632"/>
      <c r="D17" s="1573"/>
      <c r="E17" s="1573"/>
      <c r="F17" s="1573"/>
      <c r="G17" s="1573"/>
      <c r="H17" s="1573">
        <f>229462-50000-179462</f>
        <v>0</v>
      </c>
      <c r="I17" s="1573"/>
      <c r="J17" s="1574"/>
      <c r="K17" s="1573"/>
    </row>
    <row r="18" spans="1:11" ht="12.75" customHeight="1" thickBot="1" x14ac:dyDescent="0.25">
      <c r="A18" s="1406" t="s">
        <v>534</v>
      </c>
      <c r="B18" s="1407"/>
      <c r="C18" s="1635">
        <f>SUM(C14:C17)</f>
        <v>0</v>
      </c>
      <c r="D18" s="1635">
        <f t="shared" ref="D18:K18" si="1">SUM(D14:D17)</f>
        <v>65197</v>
      </c>
      <c r="E18" s="1635">
        <f t="shared" si="1"/>
        <v>2616</v>
      </c>
      <c r="F18" s="1635">
        <f t="shared" si="1"/>
        <v>0</v>
      </c>
      <c r="G18" s="1635">
        <f t="shared" si="1"/>
        <v>16567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v>4822</v>
      </c>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11863</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16685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20503+823+12</f>
        <v>21338</v>
      </c>
      <c r="D65" s="1573">
        <v>100</v>
      </c>
      <c r="E65" s="1573">
        <v>67</v>
      </c>
      <c r="F65" s="1574">
        <f>184+4</f>
        <v>188</v>
      </c>
      <c r="G65" s="1573">
        <f>30+12</f>
        <v>42</v>
      </c>
      <c r="H65" s="1573"/>
      <c r="I65" s="1573">
        <f>1843+13</f>
        <v>1856</v>
      </c>
      <c r="J65" s="1574">
        <v>46</v>
      </c>
      <c r="K65" s="1573">
        <v>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21338</v>
      </c>
      <c r="D67" s="1594">
        <f t="shared" ref="D67:K67" si="2">SUM(D65:D66)</f>
        <v>100</v>
      </c>
      <c r="E67" s="1594">
        <f t="shared" si="2"/>
        <v>67</v>
      </c>
      <c r="F67" s="1594">
        <f t="shared" si="2"/>
        <v>188</v>
      </c>
      <c r="G67" s="1594">
        <f t="shared" si="2"/>
        <v>42</v>
      </c>
      <c r="H67" s="1594">
        <f t="shared" si="2"/>
        <v>0</v>
      </c>
      <c r="I67" s="1594">
        <f t="shared" si="2"/>
        <v>1856</v>
      </c>
      <c r="J67" s="1594">
        <f t="shared" si="2"/>
        <v>46</v>
      </c>
      <c r="K67" s="1594">
        <f t="shared" si="2"/>
        <v>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38060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38060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35737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7534</v>
      </c>
      <c r="D79" s="1573">
        <v>994</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43271</v>
      </c>
      <c r="D82" s="1594">
        <f>SUM(D77:D81)</f>
        <v>994</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22871</v>
      </c>
      <c r="D92" s="1575"/>
      <c r="E92" s="1575"/>
      <c r="F92" s="1575"/>
      <c r="G92" s="1575"/>
      <c r="H92" s="1575"/>
      <c r="I92" s="1575"/>
      <c r="J92" s="1575"/>
      <c r="K92" s="1575"/>
    </row>
    <row r="93" spans="1:11" ht="12.75" customHeight="1" thickBot="1" x14ac:dyDescent="0.25">
      <c r="A93" s="1406" t="s">
        <v>241</v>
      </c>
      <c r="B93" s="1407"/>
      <c r="C93" s="1594">
        <f>SUM(C84:C92)</f>
        <v>22871</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3450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179462</v>
      </c>
      <c r="I103" s="1575"/>
      <c r="J103" s="1610"/>
      <c r="K103" s="1610"/>
    </row>
    <row r="104" spans="1:12" ht="12.75" customHeight="1" x14ac:dyDescent="0.2">
      <c r="A104" s="427" t="s">
        <v>825</v>
      </c>
      <c r="B104" s="429">
        <v>1991</v>
      </c>
      <c r="C104" s="1598"/>
      <c r="D104" s="1573">
        <v>3769</v>
      </c>
      <c r="E104" s="1586"/>
      <c r="F104" s="1574">
        <f>102875+3150</f>
        <v>106025</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28852</v>
      </c>
      <c r="D107" s="1573"/>
      <c r="E107" s="1573"/>
      <c r="F107" s="1573"/>
      <c r="G107" s="1573"/>
      <c r="H107" s="1573"/>
      <c r="I107" s="1573"/>
      <c r="J107" s="1574"/>
      <c r="K107" s="1573"/>
    </row>
    <row r="108" spans="1:12" ht="12.75" customHeight="1" thickBot="1" x14ac:dyDescent="0.25">
      <c r="A108" s="1406" t="s">
        <v>484</v>
      </c>
      <c r="B108" s="1408"/>
      <c r="C108" s="1633">
        <f>SUM(C95:C107)</f>
        <v>32302</v>
      </c>
      <c r="D108" s="1633">
        <f t="shared" ref="D108:K108" si="3">SUM(D95:D107)</f>
        <v>3769</v>
      </c>
      <c r="E108" s="1633">
        <f t="shared" si="3"/>
        <v>0</v>
      </c>
      <c r="F108" s="1633">
        <f t="shared" si="3"/>
        <v>106025</v>
      </c>
      <c r="G108" s="1633">
        <f t="shared" si="3"/>
        <v>0</v>
      </c>
      <c r="H108" s="1633">
        <f t="shared" si="3"/>
        <v>179462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2452202</v>
      </c>
      <c r="D109" s="1641">
        <f t="shared" si="4"/>
        <v>341515</v>
      </c>
      <c r="E109" s="1641">
        <f t="shared" si="4"/>
        <v>220214</v>
      </c>
      <c r="F109" s="1641">
        <f t="shared" si="4"/>
        <v>606499</v>
      </c>
      <c r="G109" s="1641">
        <f t="shared" si="4"/>
        <v>97677</v>
      </c>
      <c r="H109" s="1641">
        <f t="shared" si="4"/>
        <v>179462</v>
      </c>
      <c r="I109" s="1641">
        <f t="shared" si="4"/>
        <v>37511</v>
      </c>
      <c r="J109" s="1641">
        <f t="shared" si="4"/>
        <v>124832</v>
      </c>
      <c r="K109" s="1629">
        <f t="shared" si="4"/>
        <v>5947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775173</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775173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10413</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10413</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14708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14708</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854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3378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89394</v>
      </c>
      <c r="G152" s="1574"/>
      <c r="H152" s="1575"/>
      <c r="I152" s="1575"/>
      <c r="J152" s="1575"/>
      <c r="K152" s="1575"/>
    </row>
    <row r="153" spans="1:11" ht="12.75" customHeight="1" x14ac:dyDescent="0.2">
      <c r="A153" s="427" t="s">
        <v>1050</v>
      </c>
      <c r="B153" s="478">
        <v>3510</v>
      </c>
      <c r="C153" s="1632"/>
      <c r="D153" s="1573"/>
      <c r="E153" s="1640"/>
      <c r="F153" s="1573">
        <f>87024-3150</f>
        <v>83874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173268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214819</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3243</v>
      </c>
      <c r="D168" s="1655"/>
      <c r="E168" s="1655"/>
      <c r="F168" s="1655"/>
      <c r="G168" s="1656"/>
      <c r="H168" s="1657">
        <v>50000</v>
      </c>
      <c r="I168" s="1656"/>
      <c r="J168" s="1656"/>
      <c r="K168" s="1657"/>
    </row>
    <row r="169" spans="1:11" ht="12.75" customHeight="1" thickTop="1" thickBot="1" x14ac:dyDescent="0.25">
      <c r="A169" s="2251" t="s">
        <v>395</v>
      </c>
      <c r="B169" s="2252"/>
      <c r="C169" s="1658">
        <f t="shared" ref="C169:K169" si="6">SUM(C132,C141,C145,C146:C150,C155,C156:C167,C168)</f>
        <v>247415</v>
      </c>
      <c r="D169" s="1658">
        <f t="shared" si="6"/>
        <v>0</v>
      </c>
      <c r="E169" s="1658">
        <f t="shared" si="6"/>
        <v>0</v>
      </c>
      <c r="F169" s="1658">
        <f t="shared" si="6"/>
        <v>173268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1022588</v>
      </c>
      <c r="D170" s="1641">
        <f t="shared" si="7"/>
        <v>0</v>
      </c>
      <c r="E170" s="1641">
        <f t="shared" si="7"/>
        <v>0</v>
      </c>
      <c r="F170" s="1641">
        <f t="shared" si="7"/>
        <v>173268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1478</v>
      </c>
      <c r="B172" s="2254"/>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1649</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1648</v>
      </c>
      <c r="B176" s="2262"/>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1783</v>
      </c>
      <c r="B182" s="2256"/>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50209</v>
      </c>
      <c r="D191" s="1575"/>
      <c r="E191" s="1640"/>
      <c r="F191" s="1575"/>
      <c r="G191" s="1664"/>
      <c r="H191" s="1575"/>
      <c r="I191" s="1575"/>
      <c r="J191" s="1575"/>
      <c r="K191" s="1575"/>
    </row>
    <row r="192" spans="1:11" ht="12.75" customHeight="1" x14ac:dyDescent="0.2">
      <c r="A192" s="427" t="s">
        <v>1040</v>
      </c>
      <c r="B192" s="429">
        <v>4215</v>
      </c>
      <c r="C192" s="1632">
        <v>602</v>
      </c>
      <c r="D192" s="1575"/>
      <c r="E192" s="1640"/>
      <c r="F192" s="1575"/>
      <c r="G192" s="1664"/>
      <c r="H192" s="1575"/>
      <c r="I192" s="1575"/>
      <c r="J192" s="1575"/>
      <c r="K192" s="1575"/>
    </row>
    <row r="193" spans="1:11" ht="12.75" customHeight="1" x14ac:dyDescent="0.2">
      <c r="A193" s="427" t="s">
        <v>1052</v>
      </c>
      <c r="B193" s="429">
        <v>4220</v>
      </c>
      <c r="C193" s="1632">
        <v>14283</v>
      </c>
      <c r="D193" s="1575"/>
      <c r="E193" s="1640"/>
      <c r="F193" s="1575"/>
      <c r="G193" s="1664"/>
      <c r="H193" s="1575"/>
      <c r="I193" s="1575"/>
      <c r="J193" s="1575"/>
      <c r="K193" s="1575"/>
    </row>
    <row r="194" spans="1:11" ht="12.75" customHeight="1" x14ac:dyDescent="0.2">
      <c r="A194" s="427" t="s">
        <v>1437</v>
      </c>
      <c r="B194" s="429">
        <v>4225</v>
      </c>
      <c r="C194" s="1632">
        <v>3916</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69010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56750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56750</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c r="D213" s="1573"/>
      <c r="E213" s="1575"/>
      <c r="F213" s="1573"/>
      <c r="G213" s="1573"/>
      <c r="H213" s="1575"/>
      <c r="I213" s="1575"/>
      <c r="J213" s="1575"/>
      <c r="K213" s="1575"/>
    </row>
    <row r="214" spans="1:11" ht="12.75" customHeight="1" x14ac:dyDescent="0.2">
      <c r="A214" s="427" t="s">
        <v>1047</v>
      </c>
      <c r="B214" s="429">
        <v>4625</v>
      </c>
      <c r="C214" s="1632">
        <v>3692</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3692</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9000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13905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f>1800+23000</f>
        <v>24800</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177157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177157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3651947</v>
      </c>
      <c r="D268" s="1641">
        <f t="shared" si="12"/>
        <v>341515</v>
      </c>
      <c r="E268" s="1641">
        <f t="shared" si="12"/>
        <v>220214</v>
      </c>
      <c r="F268" s="1641">
        <f t="shared" si="12"/>
        <v>779767</v>
      </c>
      <c r="G268" s="1641">
        <f t="shared" si="12"/>
        <v>97677</v>
      </c>
      <c r="H268" s="1641">
        <f t="shared" si="12"/>
        <v>229462</v>
      </c>
      <c r="I268" s="1641">
        <f t="shared" si="12"/>
        <v>37511</v>
      </c>
      <c r="J268" s="1641">
        <f t="shared" si="12"/>
        <v>124832</v>
      </c>
      <c r="K268" s="1629">
        <f t="shared" si="12"/>
        <v>5947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44"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6" activePane="bottomLeft" state="frozen"/>
      <selection pane="bottomLeft" activeCell="A342" sqref="A342"/>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0" t="s">
        <v>294</v>
      </c>
      <c r="B3" s="228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1302189-4</f>
        <v>1302185</v>
      </c>
      <c r="D5" s="1573">
        <v>226439</v>
      </c>
      <c r="E5" s="1573">
        <v>113546</v>
      </c>
      <c r="F5" s="1573">
        <v>48321</v>
      </c>
      <c r="G5" s="1573">
        <v>9906</v>
      </c>
      <c r="H5" s="1573">
        <v>4963</v>
      </c>
      <c r="I5" s="1574"/>
      <c r="J5" s="1574"/>
      <c r="K5" s="1672">
        <f>SUM(C5:J5)</f>
        <v>1705360</v>
      </c>
      <c r="L5" s="1573">
        <v>1090672</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v>126637</v>
      </c>
      <c r="D7" s="1574">
        <v>23263</v>
      </c>
      <c r="E7" s="1574">
        <v>21122</v>
      </c>
      <c r="F7" s="1574">
        <v>21285</v>
      </c>
      <c r="G7" s="1574"/>
      <c r="H7" s="1574"/>
      <c r="I7" s="1574"/>
      <c r="J7" s="1574"/>
      <c r="K7" s="1672">
        <f t="shared" ref="K7:K32" si="0">SUM(C7:J7)</f>
        <v>192307</v>
      </c>
      <c r="L7" s="1573">
        <v>762414</v>
      </c>
    </row>
    <row r="8" spans="1:14" x14ac:dyDescent="0.2">
      <c r="A8" s="1274" t="s">
        <v>163</v>
      </c>
      <c r="B8" s="503">
        <v>1200</v>
      </c>
      <c r="C8" s="1573">
        <v>384150</v>
      </c>
      <c r="D8" s="1573">
        <v>58753</v>
      </c>
      <c r="E8" s="1573">
        <v>1602</v>
      </c>
      <c r="F8" s="1573">
        <v>4192</v>
      </c>
      <c r="G8" s="1573"/>
      <c r="H8" s="1573"/>
      <c r="I8" s="1574"/>
      <c r="J8" s="1574"/>
      <c r="K8" s="1672">
        <f t="shared" si="0"/>
        <v>448697</v>
      </c>
      <c r="L8" s="1573">
        <v>453745</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95780</v>
      </c>
      <c r="D10" s="1573">
        <v>7577</v>
      </c>
      <c r="E10" s="1573">
        <v>2200</v>
      </c>
      <c r="F10" s="1573">
        <v>1710</v>
      </c>
      <c r="G10" s="1573"/>
      <c r="H10" s="1573"/>
      <c r="I10" s="1574"/>
      <c r="J10" s="1574"/>
      <c r="K10" s="1672">
        <f t="shared" si="0"/>
        <v>107267</v>
      </c>
      <c r="L10" s="1573">
        <v>114377</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62865</v>
      </c>
      <c r="D13" s="1573">
        <v>9422</v>
      </c>
      <c r="E13" s="1573">
        <v>2812</v>
      </c>
      <c r="F13" s="1573">
        <v>2118</v>
      </c>
      <c r="G13" s="1573"/>
      <c r="H13" s="1573">
        <v>335</v>
      </c>
      <c r="I13" s="1574"/>
      <c r="J13" s="1574"/>
      <c r="K13" s="1672">
        <f t="shared" si="0"/>
        <v>77552</v>
      </c>
      <c r="L13" s="1573">
        <v>79455</v>
      </c>
    </row>
    <row r="14" spans="1:14" x14ac:dyDescent="0.2">
      <c r="A14" s="1274" t="s">
        <v>957</v>
      </c>
      <c r="B14" s="503">
        <v>1500</v>
      </c>
      <c r="C14" s="1573">
        <v>105197</v>
      </c>
      <c r="D14" s="1573">
        <v>14825</v>
      </c>
      <c r="E14" s="1573">
        <v>55184</v>
      </c>
      <c r="F14" s="1573">
        <v>26062</v>
      </c>
      <c r="G14" s="1573"/>
      <c r="H14" s="1573">
        <v>136</v>
      </c>
      <c r="I14" s="1574"/>
      <c r="J14" s="1574"/>
      <c r="K14" s="1672">
        <f t="shared" si="0"/>
        <v>201404</v>
      </c>
      <c r="L14" s="1573">
        <v>191900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2076814</v>
      </c>
      <c r="D33" s="1674">
        <f t="shared" ref="D33:L33" si="1">SUM(D5:D32)</f>
        <v>340279</v>
      </c>
      <c r="E33" s="1674">
        <f t="shared" si="1"/>
        <v>196466</v>
      </c>
      <c r="F33" s="1674">
        <f t="shared" si="1"/>
        <v>103688</v>
      </c>
      <c r="G33" s="1674">
        <f t="shared" si="1"/>
        <v>9906</v>
      </c>
      <c r="H33" s="1674">
        <f t="shared" si="1"/>
        <v>5434</v>
      </c>
      <c r="I33" s="1674">
        <f t="shared" si="1"/>
        <v>0</v>
      </c>
      <c r="J33" s="1674">
        <f t="shared" si="1"/>
        <v>0</v>
      </c>
      <c r="K33" s="1674">
        <f t="shared" si="1"/>
        <v>2732587</v>
      </c>
      <c r="L33" s="1674">
        <f t="shared" si="1"/>
        <v>2692563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v>68000</v>
      </c>
    </row>
    <row r="40" spans="1:14" x14ac:dyDescent="0.2">
      <c r="A40" s="1274" t="s">
        <v>198</v>
      </c>
      <c r="B40" s="503">
        <v>2150</v>
      </c>
      <c r="C40" s="1573">
        <v>56910</v>
      </c>
      <c r="D40" s="1573">
        <v>9804</v>
      </c>
      <c r="E40" s="1573"/>
      <c r="F40" s="1573">
        <v>104</v>
      </c>
      <c r="G40" s="1573"/>
      <c r="H40" s="1573"/>
      <c r="I40" s="1574"/>
      <c r="J40" s="1574"/>
      <c r="K40" s="1672">
        <f t="shared" si="2"/>
        <v>66818</v>
      </c>
      <c r="L40" s="1573">
        <v>68000</v>
      </c>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56910</v>
      </c>
      <c r="D42" s="1674">
        <f t="shared" ref="D42:L42" si="3">SUM(D36:D41)</f>
        <v>9804</v>
      </c>
      <c r="E42" s="1674">
        <f t="shared" si="3"/>
        <v>0</v>
      </c>
      <c r="F42" s="1674">
        <f t="shared" si="3"/>
        <v>104</v>
      </c>
      <c r="G42" s="1674">
        <f t="shared" si="3"/>
        <v>0</v>
      </c>
      <c r="H42" s="1674">
        <f t="shared" si="3"/>
        <v>0</v>
      </c>
      <c r="I42" s="1674">
        <f t="shared" si="3"/>
        <v>0</v>
      </c>
      <c r="J42" s="1674">
        <f t="shared" si="3"/>
        <v>0</v>
      </c>
      <c r="K42" s="1674">
        <f t="shared" si="3"/>
        <v>66818</v>
      </c>
      <c r="L42" s="1674">
        <f t="shared" si="3"/>
        <v>136000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f>23654-20196</f>
        <v>3458</v>
      </c>
      <c r="H44" s="1586"/>
      <c r="I44" s="1574">
        <v>20196</v>
      </c>
      <c r="J44" s="1574"/>
      <c r="K44" s="1678">
        <f>SUM(C44:J44)</f>
        <v>23654</v>
      </c>
      <c r="L44" s="1586">
        <v>46110</v>
      </c>
    </row>
    <row r="45" spans="1:14" x14ac:dyDescent="0.2">
      <c r="A45" s="1274" t="s">
        <v>810</v>
      </c>
      <c r="B45" s="503">
        <v>2220</v>
      </c>
      <c r="C45" s="1573">
        <v>58119</v>
      </c>
      <c r="D45" s="1573">
        <v>5954</v>
      </c>
      <c r="E45" s="1573">
        <v>882</v>
      </c>
      <c r="F45" s="1573">
        <v>3104</v>
      </c>
      <c r="G45" s="1573"/>
      <c r="H45" s="1573"/>
      <c r="I45" s="1574"/>
      <c r="J45" s="1574"/>
      <c r="K45" s="1678">
        <f>SUM(C45:J45)</f>
        <v>68059</v>
      </c>
      <c r="L45" s="1573">
        <v>72285</v>
      </c>
    </row>
    <row r="46" spans="1:14" x14ac:dyDescent="0.2">
      <c r="A46" s="1274" t="s">
        <v>811</v>
      </c>
      <c r="B46" s="503">
        <v>2230</v>
      </c>
      <c r="C46" s="1573">
        <v>1000</v>
      </c>
      <c r="D46" s="1573"/>
      <c r="E46" s="1573"/>
      <c r="F46" s="1573"/>
      <c r="G46" s="1573"/>
      <c r="H46" s="1573"/>
      <c r="I46" s="1574"/>
      <c r="J46" s="1574"/>
      <c r="K46" s="1678">
        <f>SUM(C46:J46)</f>
        <v>1000</v>
      </c>
      <c r="L46" s="1573">
        <v>0</v>
      </c>
    </row>
    <row r="47" spans="1:14" ht="12.75" customHeight="1" thickBot="1" x14ac:dyDescent="0.25">
      <c r="A47" s="1380" t="s">
        <v>557</v>
      </c>
      <c r="B47" s="1381" t="s">
        <v>32</v>
      </c>
      <c r="C47" s="1674">
        <f>SUM(C44:C46)</f>
        <v>59119</v>
      </c>
      <c r="D47" s="1674">
        <f t="shared" ref="D47:K47" si="4">SUM(D44:D46)</f>
        <v>5954</v>
      </c>
      <c r="E47" s="1674">
        <f t="shared" si="4"/>
        <v>882</v>
      </c>
      <c r="F47" s="1674">
        <f t="shared" si="4"/>
        <v>3104</v>
      </c>
      <c r="G47" s="1674">
        <f t="shared" si="4"/>
        <v>3458</v>
      </c>
      <c r="H47" s="1674">
        <f t="shared" si="4"/>
        <v>0</v>
      </c>
      <c r="I47" s="1674">
        <f t="shared" si="4"/>
        <v>20196</v>
      </c>
      <c r="J47" s="1674">
        <f t="shared" si="4"/>
        <v>0</v>
      </c>
      <c r="K47" s="1674">
        <f t="shared" si="4"/>
        <v>92713</v>
      </c>
      <c r="L47" s="1674">
        <f>SUM(L44:L46)</f>
        <v>118395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20506</v>
      </c>
      <c r="F49" s="1586">
        <v>3835</v>
      </c>
      <c r="G49" s="1586"/>
      <c r="H49" s="1586">
        <v>7709</v>
      </c>
      <c r="I49" s="1574"/>
      <c r="J49" s="1574"/>
      <c r="K49" s="1678">
        <f>SUM(C49:J49)</f>
        <v>32050</v>
      </c>
      <c r="L49" s="1586">
        <v>38000</v>
      </c>
    </row>
    <row r="50" spans="1:14" x14ac:dyDescent="0.2">
      <c r="A50" s="1274" t="s">
        <v>813</v>
      </c>
      <c r="B50" s="503">
        <v>2320</v>
      </c>
      <c r="C50" s="1573">
        <v>74800</v>
      </c>
      <c r="D50" s="1573">
        <v>23770</v>
      </c>
      <c r="E50" s="1573">
        <v>3323</v>
      </c>
      <c r="F50" s="1573">
        <v>783</v>
      </c>
      <c r="G50" s="1573"/>
      <c r="H50" s="1573">
        <v>2720</v>
      </c>
      <c r="I50" s="1574"/>
      <c r="J50" s="1574"/>
      <c r="K50" s="1678">
        <f>SUM(C50:J50)</f>
        <v>105396</v>
      </c>
      <c r="L50" s="1573">
        <v>81500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74800</v>
      </c>
      <c r="D53" s="1674">
        <f t="shared" ref="D53:L53" si="5">SUM(D49:D52)</f>
        <v>23770</v>
      </c>
      <c r="E53" s="1674">
        <f t="shared" si="5"/>
        <v>23829</v>
      </c>
      <c r="F53" s="1674">
        <f t="shared" si="5"/>
        <v>4618</v>
      </c>
      <c r="G53" s="1674">
        <f t="shared" si="5"/>
        <v>0</v>
      </c>
      <c r="H53" s="1674">
        <f t="shared" si="5"/>
        <v>10429</v>
      </c>
      <c r="I53" s="1674">
        <f t="shared" si="5"/>
        <v>0</v>
      </c>
      <c r="J53" s="1674">
        <f t="shared" si="5"/>
        <v>0</v>
      </c>
      <c r="K53" s="1674">
        <f t="shared" si="5"/>
        <v>137446</v>
      </c>
      <c r="L53" s="1674">
        <f t="shared" si="5"/>
        <v>119500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f>210327+3000</f>
        <v>213327</v>
      </c>
      <c r="D55" s="1586">
        <v>34735</v>
      </c>
      <c r="E55" s="1586">
        <v>5233</v>
      </c>
      <c r="F55" s="1586">
        <v>3116</v>
      </c>
      <c r="G55" s="1586"/>
      <c r="H55" s="1586">
        <v>1214</v>
      </c>
      <c r="I55" s="1574"/>
      <c r="J55" s="1574"/>
      <c r="K55" s="1678">
        <f>SUM(C55:J55)</f>
        <v>257625</v>
      </c>
      <c r="L55" s="1586">
        <v>270012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213327</v>
      </c>
      <c r="D57" s="1679">
        <f t="shared" ref="D57:K57" si="6">SUM(D55:D56)</f>
        <v>34735</v>
      </c>
      <c r="E57" s="1679">
        <f t="shared" si="6"/>
        <v>5233</v>
      </c>
      <c r="F57" s="1679">
        <f t="shared" si="6"/>
        <v>3116</v>
      </c>
      <c r="G57" s="1679">
        <f t="shared" si="6"/>
        <v>0</v>
      </c>
      <c r="H57" s="1679">
        <f t="shared" si="6"/>
        <v>1214</v>
      </c>
      <c r="I57" s="1679">
        <f t="shared" si="6"/>
        <v>0</v>
      </c>
      <c r="J57" s="1679">
        <f t="shared" si="6"/>
        <v>0</v>
      </c>
      <c r="K57" s="1679">
        <f t="shared" si="6"/>
        <v>257625</v>
      </c>
      <c r="L57" s="1674">
        <f>SUM(L55:L56)</f>
        <v>270012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57846</v>
      </c>
      <c r="D60" s="1573">
        <v>35</v>
      </c>
      <c r="E60" s="1573">
        <v>15159</v>
      </c>
      <c r="F60" s="1573">
        <v>2308</v>
      </c>
      <c r="G60" s="1573"/>
      <c r="H60" s="1573"/>
      <c r="I60" s="1574"/>
      <c r="J60" s="1574"/>
      <c r="K60" s="1678">
        <f t="shared" si="7"/>
        <v>75348</v>
      </c>
      <c r="L60" s="1573">
        <v>90138</v>
      </c>
      <c r="M60" s="501"/>
      <c r="N60" s="501"/>
    </row>
    <row r="61" spans="1:14" s="321" customFormat="1" x14ac:dyDescent="0.2">
      <c r="A61" s="1274" t="s">
        <v>195</v>
      </c>
      <c r="B61" s="503">
        <v>2540</v>
      </c>
      <c r="C61" s="1573">
        <f>2472+1200</f>
        <v>3672</v>
      </c>
      <c r="D61" s="1573"/>
      <c r="E61" s="1573"/>
      <c r="F61" s="1573">
        <v>3488</v>
      </c>
      <c r="G61" s="1573"/>
      <c r="H61" s="1573"/>
      <c r="I61" s="1574"/>
      <c r="J61" s="1574"/>
      <c r="K61" s="1678">
        <f t="shared" si="7"/>
        <v>7160</v>
      </c>
      <c r="L61" s="1573">
        <v>21500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75217</v>
      </c>
      <c r="D63" s="1573">
        <v>10406</v>
      </c>
      <c r="E63" s="1573">
        <v>3396</v>
      </c>
      <c r="F63" s="1573">
        <v>54680</v>
      </c>
      <c r="G63" s="1573"/>
      <c r="H63" s="1573"/>
      <c r="I63" s="1574"/>
      <c r="J63" s="1574"/>
      <c r="K63" s="1678">
        <f t="shared" si="7"/>
        <v>143699</v>
      </c>
      <c r="L63" s="1573">
        <v>135600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136735</v>
      </c>
      <c r="D65" s="1674">
        <f t="shared" ref="D65:L65" si="8">SUM(D59:D64)</f>
        <v>10441</v>
      </c>
      <c r="E65" s="1674">
        <f t="shared" si="8"/>
        <v>18555</v>
      </c>
      <c r="F65" s="1674">
        <f t="shared" si="8"/>
        <v>60476</v>
      </c>
      <c r="G65" s="1674">
        <f t="shared" si="8"/>
        <v>0</v>
      </c>
      <c r="H65" s="1674">
        <f t="shared" si="8"/>
        <v>0</v>
      </c>
      <c r="I65" s="1674">
        <f t="shared" si="8"/>
        <v>0</v>
      </c>
      <c r="J65" s="1674">
        <f t="shared" si="8"/>
        <v>0</v>
      </c>
      <c r="K65" s="1674">
        <f t="shared" si="8"/>
        <v>226207</v>
      </c>
      <c r="L65" s="1674">
        <f t="shared" si="8"/>
        <v>247238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540891</v>
      </c>
      <c r="D74" s="1681">
        <f t="shared" ref="D74:K74" si="10">SUM(D42,D47,D53,D57,D65,D72,D73)</f>
        <v>84704</v>
      </c>
      <c r="E74" s="1681">
        <f t="shared" si="10"/>
        <v>48499</v>
      </c>
      <c r="F74" s="1681">
        <f t="shared" si="10"/>
        <v>71418</v>
      </c>
      <c r="G74" s="1681">
        <f t="shared" si="10"/>
        <v>3458</v>
      </c>
      <c r="H74" s="1681">
        <f t="shared" si="10"/>
        <v>11643</v>
      </c>
      <c r="I74" s="1681">
        <f t="shared" si="10"/>
        <v>20196</v>
      </c>
      <c r="J74" s="1681">
        <f t="shared" si="10"/>
        <v>0</v>
      </c>
      <c r="K74" s="1681">
        <f t="shared" si="10"/>
        <v>780809</v>
      </c>
      <c r="L74" s="1681">
        <f>SUM(L42,L47,L53,L57,L65,L72,L73)</f>
        <v>891145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215829</v>
      </c>
      <c r="I79" s="1582"/>
      <c r="J79" s="1582"/>
      <c r="K79" s="1672">
        <f t="shared" si="11"/>
        <v>215829</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12475</v>
      </c>
      <c r="I81" s="1582"/>
      <c r="J81" s="1582"/>
      <c r="K81" s="1672">
        <f t="shared" si="11"/>
        <v>12475</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0</v>
      </c>
      <c r="F84" s="1673"/>
      <c r="G84" s="1673"/>
      <c r="H84" s="1674">
        <f>SUM(H78:H83)</f>
        <v>228304</v>
      </c>
      <c r="I84" s="1582"/>
      <c r="J84" s="1582"/>
      <c r="K84" s="1674">
        <f>SUM(K78:K83)</f>
        <v>228304</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v>22622</v>
      </c>
      <c r="F99" s="1673"/>
      <c r="G99" s="1673"/>
      <c r="H99" s="1574"/>
      <c r="I99" s="1582"/>
      <c r="J99" s="1582"/>
      <c r="K99" s="1681">
        <f>SUM(E99,H99)</f>
        <v>22622</v>
      </c>
      <c r="L99" s="1626"/>
    </row>
    <row r="100" spans="1:14" ht="14.25" thickTop="1" thickBot="1" x14ac:dyDescent="0.25">
      <c r="A100" s="1386" t="s">
        <v>1472</v>
      </c>
      <c r="B100" s="1387">
        <v>4300</v>
      </c>
      <c r="C100" s="1673"/>
      <c r="D100" s="1673"/>
      <c r="E100" s="1681">
        <f>SUM(E93:E99)</f>
        <v>22622</v>
      </c>
      <c r="F100" s="1673"/>
      <c r="G100" s="1673"/>
      <c r="H100" s="1681">
        <f>SUM(H93:H99)</f>
        <v>0</v>
      </c>
      <c r="I100" s="1582"/>
      <c r="J100" s="1582"/>
      <c r="K100" s="1681">
        <f>SUM(K93:K99)</f>
        <v>22622</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22622</v>
      </c>
      <c r="F102" s="1673"/>
      <c r="G102" s="1673"/>
      <c r="H102" s="1681">
        <f>SUM(H84,H92,H100,H101)</f>
        <v>228304</v>
      </c>
      <c r="I102" s="1582"/>
      <c r="J102" s="1582"/>
      <c r="K102" s="1681">
        <f>SUM(K84,K92,K100,K101)</f>
        <v>250926</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2617705</v>
      </c>
      <c r="D114" s="1674">
        <f t="shared" ref="D114:K114" si="13">SUM(D33,D74,D75,D102,D112,D113)</f>
        <v>424983</v>
      </c>
      <c r="E114" s="1674">
        <f t="shared" si="13"/>
        <v>267587</v>
      </c>
      <c r="F114" s="1674">
        <f t="shared" si="13"/>
        <v>175106</v>
      </c>
      <c r="G114" s="1674">
        <f t="shared" si="13"/>
        <v>13364</v>
      </c>
      <c r="H114" s="1674">
        <f>SUM(H33,H74,H75,H102,H112,H113)</f>
        <v>245381</v>
      </c>
      <c r="I114" s="1674">
        <f t="shared" si="13"/>
        <v>20196</v>
      </c>
      <c r="J114" s="1674">
        <f t="shared" si="13"/>
        <v>0</v>
      </c>
      <c r="K114" s="1674">
        <f t="shared" si="13"/>
        <v>3764322</v>
      </c>
      <c r="L114" s="1674">
        <f>SUM(L33,L74,L75,L102,L112,L113)</f>
        <v>3583708</v>
      </c>
    </row>
    <row r="115" spans="1:14" ht="13.5" thickTop="1" x14ac:dyDescent="0.2">
      <c r="A115" s="2263" t="s">
        <v>989</v>
      </c>
      <c r="B115" s="2264"/>
      <c r="C115" s="1675"/>
      <c r="D115" s="1675"/>
      <c r="E115" s="1675"/>
      <c r="F115" s="1675"/>
      <c r="G115" s="1675"/>
      <c r="H115" s="1675"/>
      <c r="I115" s="1675"/>
      <c r="J115" s="1675"/>
      <c r="K115" s="1689">
        <f>'Revenues 9-14'!C268-'Expenditures 15-22'!K114</f>
        <v>-112375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7" t="s">
        <v>293</v>
      </c>
      <c r="B117" s="227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107488</v>
      </c>
      <c r="D124" s="1573">
        <v>5773</v>
      </c>
      <c r="E124" s="1573">
        <v>87021</v>
      </c>
      <c r="F124" s="1573">
        <v>119173</v>
      </c>
      <c r="G124" s="1573">
        <v>7565</v>
      </c>
      <c r="H124" s="1573"/>
      <c r="I124" s="1574"/>
      <c r="J124" s="1574"/>
      <c r="K124" s="1674">
        <f>SUM(C124:J124)</f>
        <v>327020</v>
      </c>
      <c r="L124" s="1573">
        <v>235500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107488</v>
      </c>
      <c r="D127" s="1674">
        <f t="shared" ref="D127:L127" si="14">SUM(D122:D126)</f>
        <v>5773</v>
      </c>
      <c r="E127" s="1674">
        <f t="shared" si="14"/>
        <v>87021</v>
      </c>
      <c r="F127" s="1674">
        <f t="shared" si="14"/>
        <v>119173</v>
      </c>
      <c r="G127" s="1674">
        <f t="shared" si="14"/>
        <v>7565</v>
      </c>
      <c r="H127" s="1674">
        <f t="shared" si="14"/>
        <v>0</v>
      </c>
      <c r="I127" s="1674">
        <f t="shared" si="14"/>
        <v>0</v>
      </c>
      <c r="J127" s="1674">
        <f t="shared" si="14"/>
        <v>0</v>
      </c>
      <c r="K127" s="1674">
        <f t="shared" si="14"/>
        <v>327020</v>
      </c>
      <c r="L127" s="1674">
        <f t="shared" si="14"/>
        <v>235500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107488</v>
      </c>
      <c r="D129" s="1681">
        <f t="shared" ref="D129:L129" si="15">SUM(D120,D127,D128)</f>
        <v>5773</v>
      </c>
      <c r="E129" s="1681">
        <f t="shared" si="15"/>
        <v>87021</v>
      </c>
      <c r="F129" s="1681">
        <f t="shared" si="15"/>
        <v>119173</v>
      </c>
      <c r="G129" s="1681">
        <f t="shared" si="15"/>
        <v>7565</v>
      </c>
      <c r="H129" s="1681">
        <f t="shared" si="15"/>
        <v>0</v>
      </c>
      <c r="I129" s="1681">
        <f t="shared" si="15"/>
        <v>0</v>
      </c>
      <c r="J129" s="1681">
        <f t="shared" si="15"/>
        <v>0</v>
      </c>
      <c r="K129" s="1681">
        <f t="shared" si="15"/>
        <v>327020</v>
      </c>
      <c r="L129" s="1681">
        <f t="shared" si="15"/>
        <v>235500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9" t="s">
        <v>616</v>
      </c>
      <c r="B151" s="2260"/>
      <c r="C151" s="1674">
        <f>SUM(C129,C130,C139,C149,C150)</f>
        <v>107488</v>
      </c>
      <c r="D151" s="1674">
        <f t="shared" ref="D151:K151" si="16">SUM(D129,D130,D139,D149,D150)</f>
        <v>5773</v>
      </c>
      <c r="E151" s="1674">
        <f t="shared" si="16"/>
        <v>87021</v>
      </c>
      <c r="F151" s="1674">
        <f t="shared" si="16"/>
        <v>119173</v>
      </c>
      <c r="G151" s="1674">
        <f t="shared" si="16"/>
        <v>7565</v>
      </c>
      <c r="H151" s="1674">
        <f t="shared" si="16"/>
        <v>0</v>
      </c>
      <c r="I151" s="1674">
        <f t="shared" si="16"/>
        <v>0</v>
      </c>
      <c r="J151" s="1674">
        <f t="shared" si="16"/>
        <v>0</v>
      </c>
      <c r="K151" s="1674">
        <f t="shared" si="16"/>
        <v>327020</v>
      </c>
      <c r="L151" s="1674">
        <f>SUM(L129,L130,L139,L149,L150)</f>
        <v>235500</v>
      </c>
    </row>
    <row r="152" spans="1:14" ht="12.75" customHeight="1" thickTop="1" x14ac:dyDescent="0.2">
      <c r="A152" s="2267" t="s">
        <v>1170</v>
      </c>
      <c r="B152" s="2268"/>
      <c r="C152" s="1675"/>
      <c r="D152" s="1675"/>
      <c r="E152" s="1675"/>
      <c r="F152" s="1675"/>
      <c r="G152" s="1675"/>
      <c r="H152" s="1675"/>
      <c r="I152" s="1675"/>
      <c r="J152" s="1673"/>
      <c r="K152" s="1689">
        <f>'Revenues 9-14'!D268-'Expenditures 15-22'!K151</f>
        <v>14495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7" t="s">
        <v>617</v>
      </c>
      <c r="B154" s="227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22904+7296</f>
        <v>30200</v>
      </c>
      <c r="I169" s="1673"/>
      <c r="J169" s="1673"/>
      <c r="K169" s="1672">
        <f>SUM(C169:H169)</f>
        <v>30200</v>
      </c>
      <c r="L169" s="1695"/>
    </row>
    <row r="170" spans="1:14" ht="33.75" customHeight="1" x14ac:dyDescent="0.2">
      <c r="A170" s="543" t="s">
        <v>1654</v>
      </c>
      <c r="B170" s="545" t="s">
        <v>31</v>
      </c>
      <c r="C170" s="1673"/>
      <c r="D170" s="1673"/>
      <c r="E170" s="1673"/>
      <c r="F170" s="1673"/>
      <c r="G170" s="1673"/>
      <c r="H170" s="1646">
        <f>160296-7296</f>
        <v>153000</v>
      </c>
      <c r="I170" s="1673"/>
      <c r="J170" s="1673"/>
      <c r="K170" s="1672">
        <f>SUM(C170:J170)</f>
        <v>153000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183200</v>
      </c>
      <c r="I172" s="1684"/>
      <c r="J172" s="1673"/>
      <c r="K172" s="1681">
        <f>SUM(K168,K169,K170,K171)</f>
        <v>183200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183200</v>
      </c>
      <c r="I174" s="1684"/>
      <c r="J174" s="1673"/>
      <c r="K174" s="1681">
        <f>SUM(K160,K172,K173)</f>
        <v>183200</v>
      </c>
      <c r="L174" s="1681">
        <f>SUM(L160,L172,L173)</f>
        <v>0</v>
      </c>
    </row>
    <row r="175" spans="1:14" ht="13.5" thickTop="1" x14ac:dyDescent="0.2">
      <c r="A175" s="2263" t="s">
        <v>989</v>
      </c>
      <c r="B175" s="2264"/>
      <c r="C175" s="1673"/>
      <c r="D175" s="1673"/>
      <c r="E175" s="1673"/>
      <c r="F175" s="1673"/>
      <c r="G175" s="1673"/>
      <c r="H175" s="1675"/>
      <c r="I175" s="1673"/>
      <c r="J175" s="1673"/>
      <c r="K175" s="1689">
        <f>'Revenues 9-14'!E268-'Expenditures 15-22'!K174</f>
        <v>37014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234011</v>
      </c>
      <c r="D182" s="1573">
        <v>14805</v>
      </c>
      <c r="E182" s="1573">
        <v>84010</v>
      </c>
      <c r="F182" s="1573">
        <v>56183</v>
      </c>
      <c r="G182" s="1573"/>
      <c r="H182" s="1573"/>
      <c r="I182" s="1574"/>
      <c r="J182" s="1574"/>
      <c r="K182" s="1672">
        <f>SUM(C182:J182)</f>
        <v>389009</v>
      </c>
      <c r="L182" s="1573">
        <v>445180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234011</v>
      </c>
      <c r="D184" s="1681">
        <f t="shared" ref="D184:J184" si="17">SUM(D180,D182,D183)</f>
        <v>14805</v>
      </c>
      <c r="E184" s="1681">
        <f t="shared" si="17"/>
        <v>84010</v>
      </c>
      <c r="F184" s="1681">
        <f t="shared" si="17"/>
        <v>56183</v>
      </c>
      <c r="G184" s="1681">
        <f t="shared" si="17"/>
        <v>0</v>
      </c>
      <c r="H184" s="1681">
        <f t="shared" si="17"/>
        <v>0</v>
      </c>
      <c r="I184" s="1681">
        <f t="shared" si="17"/>
        <v>0</v>
      </c>
      <c r="J184" s="1681">
        <f t="shared" si="17"/>
        <v>0</v>
      </c>
      <c r="K184" s="1681">
        <f>SUM(K180,K182,K183)</f>
        <v>389009</v>
      </c>
      <c r="L184" s="1681">
        <f>SUM(L180, L182:L183)</f>
        <v>445180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234011</v>
      </c>
      <c r="D210" s="1674">
        <f>SUM(D184,D185)</f>
        <v>14805</v>
      </c>
      <c r="E210" s="1674">
        <f>SUM(E184,E185,E196)</f>
        <v>84010</v>
      </c>
      <c r="F210" s="1674">
        <f>SUM(F184,F185)</f>
        <v>56183</v>
      </c>
      <c r="G210" s="1674">
        <f>SUM(G184,G185)</f>
        <v>0</v>
      </c>
      <c r="H210" s="1674">
        <f>SUM(H184,H185,H196,H208,H209)</f>
        <v>0</v>
      </c>
      <c r="I210" s="1674">
        <f>SUM(I184,I185)</f>
        <v>0</v>
      </c>
      <c r="J210" s="1674">
        <f>SUM(J184,J185)</f>
        <v>0</v>
      </c>
      <c r="K210" s="1672">
        <f>SUM(K184,K185,K196,K208,K209)</f>
        <v>389009</v>
      </c>
      <c r="L210" s="1674">
        <f>SUM(L184,L185,L196,L208,L209)</f>
        <v>445180</v>
      </c>
    </row>
    <row r="211" spans="1:14" ht="13.5" thickTop="1" x14ac:dyDescent="0.2">
      <c r="A211" s="2263" t="s">
        <v>989</v>
      </c>
      <c r="B211" s="2264"/>
      <c r="C211" s="1675"/>
      <c r="D211" s="1675"/>
      <c r="E211" s="1675"/>
      <c r="F211" s="1675"/>
      <c r="G211" s="1675"/>
      <c r="H211" s="1675"/>
      <c r="I211" s="1673"/>
      <c r="J211" s="1673"/>
      <c r="K211" s="1689">
        <f>'Revenues 9-14'!F268-'Expenditures 15-22'!K210</f>
        <v>390758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69" t="s">
        <v>959</v>
      </c>
      <c r="B213" s="227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30667</v>
      </c>
      <c r="E215" s="1673"/>
      <c r="F215" s="1673"/>
      <c r="G215" s="1673"/>
      <c r="H215" s="1673"/>
      <c r="I215" s="1673"/>
      <c r="J215" s="1673"/>
      <c r="K215" s="1672">
        <f>D215</f>
        <v>30667</v>
      </c>
      <c r="L215" s="1573">
        <v>24300</v>
      </c>
    </row>
    <row r="216" spans="1:14" x14ac:dyDescent="0.2">
      <c r="A216" s="1274" t="s">
        <v>162</v>
      </c>
      <c r="B216" s="503" t="s">
        <v>961</v>
      </c>
      <c r="C216" s="1673"/>
      <c r="D216" s="1574">
        <v>6504</v>
      </c>
      <c r="E216" s="1673"/>
      <c r="F216" s="1673"/>
      <c r="G216" s="1673"/>
      <c r="H216" s="1673"/>
      <c r="I216" s="1673"/>
      <c r="J216" s="1673"/>
      <c r="K216" s="1672">
        <f t="shared" ref="K216:K228" si="19">D216</f>
        <v>6504</v>
      </c>
      <c r="L216" s="1573">
        <v>16150</v>
      </c>
    </row>
    <row r="217" spans="1:14" x14ac:dyDescent="0.2">
      <c r="A217" s="1274" t="s">
        <v>163</v>
      </c>
      <c r="B217" s="503">
        <v>1200</v>
      </c>
      <c r="C217" s="1673"/>
      <c r="D217" s="1573">
        <v>30488</v>
      </c>
      <c r="E217" s="1673"/>
      <c r="F217" s="1673"/>
      <c r="G217" s="1673"/>
      <c r="H217" s="1673"/>
      <c r="I217" s="1673"/>
      <c r="J217" s="1673"/>
      <c r="K217" s="1672">
        <f t="shared" si="19"/>
        <v>30488</v>
      </c>
      <c r="L217" s="1573">
        <v>30000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1343</v>
      </c>
      <c r="E219" s="1673"/>
      <c r="F219" s="1673"/>
      <c r="G219" s="1673"/>
      <c r="H219" s="1673"/>
      <c r="I219" s="1673"/>
      <c r="J219" s="1673"/>
      <c r="K219" s="1672">
        <f t="shared" si="19"/>
        <v>1343</v>
      </c>
      <c r="L219" s="1573">
        <v>850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881</v>
      </c>
      <c r="E222" s="1673"/>
      <c r="F222" s="1673"/>
      <c r="G222" s="1673"/>
      <c r="H222" s="1673"/>
      <c r="I222" s="1673"/>
      <c r="J222" s="1673"/>
      <c r="K222" s="1672">
        <f t="shared" si="19"/>
        <v>881</v>
      </c>
      <c r="L222" s="1573">
        <v>1000</v>
      </c>
    </row>
    <row r="223" spans="1:14" x14ac:dyDescent="0.2">
      <c r="A223" s="1274" t="s">
        <v>957</v>
      </c>
      <c r="B223" s="503">
        <v>1500</v>
      </c>
      <c r="C223" s="1673"/>
      <c r="D223" s="1573">
        <v>4505</v>
      </c>
      <c r="E223" s="1673"/>
      <c r="F223" s="1673"/>
      <c r="G223" s="1673"/>
      <c r="H223" s="1673"/>
      <c r="I223" s="1673"/>
      <c r="J223" s="1673"/>
      <c r="K223" s="1672">
        <f t="shared" si="19"/>
        <v>4505</v>
      </c>
      <c r="L223" s="1573">
        <v>4300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74388</v>
      </c>
      <c r="E229" s="1673"/>
      <c r="F229" s="1673"/>
      <c r="G229" s="1673"/>
      <c r="H229" s="1673"/>
      <c r="I229" s="1673"/>
      <c r="J229" s="1673"/>
      <c r="K229" s="1674">
        <f>SUM(K215:K228)</f>
        <v>74388</v>
      </c>
      <c r="L229" s="1674">
        <f>SUM(L215:L228)</f>
        <v>76600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588</v>
      </c>
      <c r="E236" s="1673"/>
      <c r="F236" s="1673"/>
      <c r="G236" s="1673"/>
      <c r="H236" s="1673"/>
      <c r="I236" s="1673"/>
      <c r="J236" s="1673"/>
      <c r="K236" s="1672">
        <f t="shared" si="20"/>
        <v>588</v>
      </c>
      <c r="L236" s="1573">
        <v>700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588</v>
      </c>
      <c r="E238" s="1673"/>
      <c r="F238" s="1673"/>
      <c r="G238" s="1673"/>
      <c r="H238" s="1673"/>
      <c r="I238" s="1673"/>
      <c r="J238" s="1673"/>
      <c r="K238" s="1674">
        <f>SUM(K232:K237)</f>
        <v>588</v>
      </c>
      <c r="L238" s="1674">
        <f>SUM(L232:L237)</f>
        <v>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3200</v>
      </c>
    </row>
    <row r="241" spans="1:12" x14ac:dyDescent="0.2">
      <c r="A241" s="1274" t="s">
        <v>810</v>
      </c>
      <c r="B241" s="503">
        <v>2220</v>
      </c>
      <c r="C241" s="1673"/>
      <c r="D241" s="1573">
        <v>843</v>
      </c>
      <c r="E241" s="1673"/>
      <c r="F241" s="1673"/>
      <c r="G241" s="1673"/>
      <c r="H241" s="1673"/>
      <c r="I241" s="1673"/>
      <c r="J241" s="1673"/>
      <c r="K241" s="1678">
        <f>D241</f>
        <v>843</v>
      </c>
      <c r="L241" s="1573">
        <v>2600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843</v>
      </c>
      <c r="E243" s="1673"/>
      <c r="F243" s="1673"/>
      <c r="G243" s="1673"/>
      <c r="H243" s="1673"/>
      <c r="I243" s="1673"/>
      <c r="J243" s="1673"/>
      <c r="K243" s="1674">
        <f>SUM(K240:K242)</f>
        <v>843</v>
      </c>
      <c r="L243" s="1674">
        <f>SUM(L240:L242)</f>
        <v>5800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1032</v>
      </c>
      <c r="E246" s="1673"/>
      <c r="F246" s="1673"/>
      <c r="G246" s="1673"/>
      <c r="H246" s="1673"/>
      <c r="I246" s="1673"/>
      <c r="J246" s="1673"/>
      <c r="K246" s="1678">
        <f t="shared" ref="K246:K256" si="21">D246</f>
        <v>1032</v>
      </c>
      <c r="L246" s="1573">
        <v>2500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1032</v>
      </c>
      <c r="E257" s="1673"/>
      <c r="F257" s="1673"/>
      <c r="G257" s="1673"/>
      <c r="H257" s="1673"/>
      <c r="I257" s="1673"/>
      <c r="J257" s="1673"/>
      <c r="K257" s="1674">
        <f>SUM(K245:K256)</f>
        <v>1032</v>
      </c>
      <c r="L257" s="1674">
        <f>SUM(L245:L256)</f>
        <v>2500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8962</v>
      </c>
      <c r="E259" s="1673"/>
      <c r="F259" s="1673"/>
      <c r="G259" s="1673"/>
      <c r="H259" s="1673"/>
      <c r="I259" s="1673"/>
      <c r="J259" s="1673"/>
      <c r="K259" s="1678">
        <f>D259</f>
        <v>8962</v>
      </c>
      <c r="L259" s="1586">
        <v>9750</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8962</v>
      </c>
      <c r="E261" s="1673"/>
      <c r="F261" s="1673"/>
      <c r="G261" s="1673"/>
      <c r="H261" s="1673"/>
      <c r="I261" s="1673"/>
      <c r="J261" s="1673"/>
      <c r="K261" s="1674">
        <f>SUM(K259:K260)</f>
        <v>8962</v>
      </c>
      <c r="L261" s="1674">
        <f>SUM(L259:L260)</f>
        <v>9750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8028</v>
      </c>
      <c r="E264" s="1673"/>
      <c r="F264" s="1673"/>
      <c r="G264" s="1673"/>
      <c r="H264" s="1673"/>
      <c r="I264" s="1673"/>
      <c r="J264" s="1673"/>
      <c r="K264" s="1678">
        <f t="shared" ref="K264:K269" si="22">D264</f>
        <v>8028</v>
      </c>
      <c r="L264" s="1573">
        <v>5850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14908</v>
      </c>
      <c r="E266" s="1673"/>
      <c r="F266" s="1673"/>
      <c r="G266" s="1673"/>
      <c r="H266" s="1673"/>
      <c r="I266" s="1673"/>
      <c r="J266" s="1673"/>
      <c r="K266" s="1678">
        <f t="shared" si="22"/>
        <v>14908</v>
      </c>
      <c r="L266" s="1573">
        <v>17300</v>
      </c>
    </row>
    <row r="267" spans="1:14" x14ac:dyDescent="0.2">
      <c r="A267" s="1274" t="s">
        <v>947</v>
      </c>
      <c r="B267" s="503">
        <v>2550</v>
      </c>
      <c r="C267" s="1673"/>
      <c r="D267" s="1573">
        <v>12931</v>
      </c>
      <c r="E267" s="1673"/>
      <c r="F267" s="1673"/>
      <c r="G267" s="1673"/>
      <c r="H267" s="1673"/>
      <c r="I267" s="1673"/>
      <c r="J267" s="1673"/>
      <c r="K267" s="1678">
        <f t="shared" si="22"/>
        <v>12931</v>
      </c>
      <c r="L267" s="1573">
        <v>3200</v>
      </c>
    </row>
    <row r="268" spans="1:14" x14ac:dyDescent="0.2">
      <c r="A268" s="1274" t="s">
        <v>100</v>
      </c>
      <c r="B268" s="503">
        <v>2560</v>
      </c>
      <c r="C268" s="1673"/>
      <c r="D268" s="1573">
        <v>10330</v>
      </c>
      <c r="E268" s="1673"/>
      <c r="F268" s="1673"/>
      <c r="G268" s="1673"/>
      <c r="H268" s="1673"/>
      <c r="I268" s="1673"/>
      <c r="J268" s="1673"/>
      <c r="K268" s="1678">
        <f t="shared" si="22"/>
        <v>10330</v>
      </c>
      <c r="L268" s="1573">
        <v>10500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46197</v>
      </c>
      <c r="E270" s="1673"/>
      <c r="F270" s="1673"/>
      <c r="G270" s="1673"/>
      <c r="H270" s="1673"/>
      <c r="I270" s="1673"/>
      <c r="J270" s="1673"/>
      <c r="K270" s="1674">
        <f>SUM(K263:K269)</f>
        <v>46197</v>
      </c>
      <c r="L270" s="1674">
        <f>SUM(L263:L269)</f>
        <v>36850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57622</v>
      </c>
      <c r="E279" s="1673"/>
      <c r="F279" s="1673"/>
      <c r="G279" s="1673"/>
      <c r="H279" s="1673"/>
      <c r="I279" s="1673"/>
      <c r="J279" s="1673"/>
      <c r="K279" s="1681">
        <f>SUM(K238,K243,K257,K261,K270,K277,K278)</f>
        <v>57622</v>
      </c>
      <c r="L279" s="1681">
        <f>SUM(L238,L243,L257,L261,L270,L277,L278)</f>
        <v>55600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65" t="s">
        <v>502</v>
      </c>
      <c r="B295" s="2266"/>
      <c r="C295" s="1673"/>
      <c r="D295" s="1674">
        <f>SUM(D229,D279,D280,D285)</f>
        <v>132010</v>
      </c>
      <c r="E295" s="1673"/>
      <c r="F295" s="1673"/>
      <c r="G295" s="1673"/>
      <c r="H295" s="1674">
        <f>H293</f>
        <v>0</v>
      </c>
      <c r="I295" s="1673"/>
      <c r="J295" s="1673"/>
      <c r="K295" s="1674">
        <f>SUM(K229,K279,K280,K285,K293,K294)</f>
        <v>132010</v>
      </c>
      <c r="L295" s="1674">
        <f>SUM(L229,L279,L280,L285,L293,L294)</f>
        <v>132200</v>
      </c>
    </row>
    <row r="296" spans="1:14" ht="13.5" thickTop="1" x14ac:dyDescent="0.2">
      <c r="A296" s="2263" t="s">
        <v>989</v>
      </c>
      <c r="B296" s="2264"/>
      <c r="C296" s="1673"/>
      <c r="D296" s="1675"/>
      <c r="E296" s="1673"/>
      <c r="F296" s="1673"/>
      <c r="G296" s="1673"/>
      <c r="H296" s="1707"/>
      <c r="I296" s="1673"/>
      <c r="J296" s="1673"/>
      <c r="K296" s="1689">
        <f>'Revenues 9-14'!G268-'Expenditures 15-22'!K295</f>
        <v>-34333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2" t="s">
        <v>142</v>
      </c>
      <c r="B298" s="227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2583</v>
      </c>
      <c r="F301" s="1573">
        <v>5009</v>
      </c>
      <c r="G301" s="1573">
        <v>69518</v>
      </c>
      <c r="H301" s="1573"/>
      <c r="I301" s="1574"/>
      <c r="J301" s="1574"/>
      <c r="K301" s="1672">
        <f>SUM(C301:J301)</f>
        <v>77110</v>
      </c>
      <c r="L301" s="1574">
        <v>150000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2583</v>
      </c>
      <c r="F303" s="1681">
        <f t="shared" si="23"/>
        <v>5009</v>
      </c>
      <c r="G303" s="1681">
        <f t="shared" si="23"/>
        <v>69518</v>
      </c>
      <c r="H303" s="1681">
        <f t="shared" si="23"/>
        <v>0</v>
      </c>
      <c r="I303" s="1681">
        <f t="shared" si="23"/>
        <v>0</v>
      </c>
      <c r="J303" s="1681">
        <f t="shared" si="23"/>
        <v>0</v>
      </c>
      <c r="K303" s="1681">
        <f t="shared" si="23"/>
        <v>77110</v>
      </c>
      <c r="L303" s="1681">
        <f t="shared" si="23"/>
        <v>150000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7" t="s">
        <v>275</v>
      </c>
      <c r="B312" s="2288"/>
      <c r="C312" s="1674">
        <f>SUM(C303)</f>
        <v>0</v>
      </c>
      <c r="D312" s="1674">
        <f>SUM(D303)</f>
        <v>0</v>
      </c>
      <c r="E312" s="1674">
        <f>SUM(E303,E310)</f>
        <v>2583</v>
      </c>
      <c r="F312" s="1674">
        <f>SUM(F303)</f>
        <v>5009</v>
      </c>
      <c r="G312" s="1674">
        <f>SUM(G303)</f>
        <v>69518</v>
      </c>
      <c r="H312" s="1674">
        <f>SUM(H303,H310)</f>
        <v>0</v>
      </c>
      <c r="I312" s="1674">
        <f>SUM(I303)</f>
        <v>0</v>
      </c>
      <c r="J312" s="1674">
        <f>SUM(J303)</f>
        <v>0</v>
      </c>
      <c r="K312" s="1674">
        <f>SUM(K303,K310,K311)</f>
        <v>77110</v>
      </c>
      <c r="L312" s="1674">
        <f>SUM(L303,L310,L311)</f>
        <v>150000</v>
      </c>
      <c r="M312" s="539"/>
      <c r="N312" s="539"/>
    </row>
    <row r="313" spans="1:14" ht="13.5" thickTop="1" x14ac:dyDescent="0.2">
      <c r="A313" s="2283" t="s">
        <v>989</v>
      </c>
      <c r="B313" s="2284"/>
      <c r="C313" s="1677"/>
      <c r="D313" s="1677"/>
      <c r="E313" s="1677"/>
      <c r="F313" s="1677"/>
      <c r="G313" s="1677"/>
      <c r="H313" s="1677"/>
      <c r="I313" s="1677"/>
      <c r="J313" s="1677"/>
      <c r="K313" s="1696">
        <f>'Revenues 9-14'!H268-'Expenditures 15-22'!K312</f>
        <v>152352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71" t="s">
        <v>148</v>
      </c>
      <c r="B315" s="227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73" t="s">
        <v>892</v>
      </c>
      <c r="B317" s="227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48904</v>
      </c>
      <c r="F322" s="1574"/>
      <c r="G322" s="1574"/>
      <c r="H322" s="1574"/>
      <c r="I322" s="1574"/>
      <c r="J322" s="1574"/>
      <c r="K322" s="1672">
        <f t="shared" si="24"/>
        <v>48904</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v>107270</v>
      </c>
      <c r="F328" s="1579"/>
      <c r="G328" s="1579"/>
      <c r="H328" s="1579"/>
      <c r="I328" s="1579"/>
      <c r="J328" s="1579"/>
      <c r="K328" s="1713">
        <f>SUM(C328:J328)</f>
        <v>107270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156174</v>
      </c>
      <c r="F330" s="1674">
        <f t="shared" si="25"/>
        <v>0</v>
      </c>
      <c r="G330" s="1674">
        <f t="shared" si="25"/>
        <v>0</v>
      </c>
      <c r="H330" s="1674">
        <f t="shared" si="25"/>
        <v>0</v>
      </c>
      <c r="I330" s="1674">
        <f t="shared" si="25"/>
        <v>0</v>
      </c>
      <c r="J330" s="1674">
        <f t="shared" si="25"/>
        <v>0</v>
      </c>
      <c r="K330" s="1674">
        <f>SUM(K319:K329)</f>
        <v>156174</v>
      </c>
      <c r="L330" s="1674">
        <f>SUM(L319:L329)</f>
        <v>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156174</v>
      </c>
      <c r="F342" s="1674">
        <f>SUM(F330)</f>
        <v>0</v>
      </c>
      <c r="G342" s="1674">
        <f>SUM(G330)</f>
        <v>0</v>
      </c>
      <c r="H342" s="1674">
        <f>SUM(H330,H334,H340)</f>
        <v>0</v>
      </c>
      <c r="I342" s="1674">
        <f>SUM(I330)</f>
        <v>0</v>
      </c>
      <c r="J342" s="1674">
        <f>SUM(J330)</f>
        <v>0</v>
      </c>
      <c r="K342" s="1674">
        <f>SUM(K330,K334,K340)</f>
        <v>156174</v>
      </c>
      <c r="L342" s="1681">
        <f>SUM(L330,L334,L340,L341)</f>
        <v>0</v>
      </c>
    </row>
    <row r="343" spans="1:14" ht="12.75" customHeight="1" thickTop="1" x14ac:dyDescent="0.2">
      <c r="A343" s="2285" t="s">
        <v>989</v>
      </c>
      <c r="B343" s="2286"/>
      <c r="C343" s="1673"/>
      <c r="D343" s="1673"/>
      <c r="E343" s="1673"/>
      <c r="F343" s="1673"/>
      <c r="G343" s="1673"/>
      <c r="H343" s="1673"/>
      <c r="I343" s="1673"/>
      <c r="J343" s="1673"/>
      <c r="K343" s="1689">
        <f>'Revenues 9-14'!J268-'Expenditures 15-22'!K342</f>
        <v>-31342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5" t="s">
        <v>960</v>
      </c>
      <c r="B345" s="227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4812</v>
      </c>
      <c r="F349" s="1573"/>
      <c r="G349" s="1573"/>
      <c r="H349" s="1573"/>
      <c r="I349" s="1574"/>
      <c r="J349" s="1574"/>
      <c r="K349" s="1672">
        <f>SUM(C349:J349)</f>
        <v>4812</v>
      </c>
      <c r="L349" s="1573">
        <v>2000</v>
      </c>
    </row>
    <row r="350" spans="1:14" ht="12.75" customHeight="1" thickBot="1" x14ac:dyDescent="0.25">
      <c r="A350" s="1380" t="s">
        <v>714</v>
      </c>
      <c r="B350" s="1381" t="s">
        <v>35</v>
      </c>
      <c r="C350" s="1674">
        <f>SUM(C348:C349)</f>
        <v>0</v>
      </c>
      <c r="D350" s="1674">
        <f t="shared" ref="D350:L350" si="26">SUM(D348:D349)</f>
        <v>0</v>
      </c>
      <c r="E350" s="1674">
        <f t="shared" si="26"/>
        <v>4812</v>
      </c>
      <c r="F350" s="1674">
        <f t="shared" si="26"/>
        <v>0</v>
      </c>
      <c r="G350" s="1674">
        <f t="shared" si="26"/>
        <v>0</v>
      </c>
      <c r="H350" s="1674">
        <f t="shared" si="26"/>
        <v>0</v>
      </c>
      <c r="I350" s="1674">
        <f t="shared" si="26"/>
        <v>0</v>
      </c>
      <c r="J350" s="1674">
        <f t="shared" si="26"/>
        <v>0</v>
      </c>
      <c r="K350" s="1674">
        <f t="shared" si="26"/>
        <v>4812</v>
      </c>
      <c r="L350" s="1674">
        <f t="shared" si="26"/>
        <v>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4812</v>
      </c>
      <c r="F352" s="1674">
        <f t="shared" si="27"/>
        <v>0</v>
      </c>
      <c r="G352" s="1674">
        <f t="shared" si="27"/>
        <v>0</v>
      </c>
      <c r="H352" s="1674">
        <f t="shared" si="27"/>
        <v>0</v>
      </c>
      <c r="I352" s="1674">
        <f t="shared" si="27"/>
        <v>0</v>
      </c>
      <c r="J352" s="1674">
        <f t="shared" si="27"/>
        <v>0</v>
      </c>
      <c r="K352" s="1674">
        <f t="shared" si="27"/>
        <v>4812</v>
      </c>
      <c r="L352" s="1674">
        <f t="shared" si="27"/>
        <v>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4812</v>
      </c>
      <c r="F367" s="1674">
        <f t="shared" si="28"/>
        <v>0</v>
      </c>
      <c r="G367" s="1674">
        <f t="shared" si="28"/>
        <v>0</v>
      </c>
      <c r="H367" s="1674">
        <f t="shared" si="28"/>
        <v>0</v>
      </c>
      <c r="I367" s="1674">
        <f t="shared" si="28"/>
        <v>0</v>
      </c>
      <c r="J367" s="1674">
        <f t="shared" si="28"/>
        <v>0</v>
      </c>
      <c r="K367" s="1674">
        <f t="shared" si="28"/>
        <v>4812</v>
      </c>
      <c r="L367" s="1674">
        <f t="shared" si="28"/>
        <v>2000</v>
      </c>
    </row>
    <row r="368" spans="1:14" ht="13.5" thickTop="1" x14ac:dyDescent="0.2">
      <c r="A368" s="2263" t="s">
        <v>989</v>
      </c>
      <c r="B368" s="2264"/>
      <c r="C368" s="1694"/>
      <c r="D368" s="1694"/>
      <c r="E368" s="1677"/>
      <c r="F368" s="1677"/>
      <c r="G368" s="1677"/>
      <c r="H368" s="1677"/>
      <c r="I368" s="1677"/>
      <c r="J368" s="1676"/>
      <c r="K368" s="1672">
        <f>'Revenues 9-14'!K268-'Expenditures 15-22'!K367</f>
        <v>1135</v>
      </c>
      <c r="L368" s="1694"/>
    </row>
  </sheetData>
  <sheetProtection sheet="1" objects="1" scenarios="1"/>
  <mergeCells count="20">
    <mergeCell ref="A343:B343"/>
    <mergeCell ref="A312:B312"/>
    <mergeCell ref="A151:B151"/>
    <mergeCell ref="A368:B368"/>
    <mergeCell ref="A175:B175"/>
    <mergeCell ref="A211:B211"/>
    <mergeCell ref="A296:B296"/>
    <mergeCell ref="A1:A2"/>
    <mergeCell ref="A345:B345"/>
    <mergeCell ref="A117:B117"/>
    <mergeCell ref="A154:B154"/>
    <mergeCell ref="A3:B3"/>
    <mergeCell ref="A298:B298"/>
    <mergeCell ref="A115:B115"/>
    <mergeCell ref="A295:B295"/>
    <mergeCell ref="A152:B152"/>
    <mergeCell ref="A213:B213"/>
    <mergeCell ref="A315:B315"/>
    <mergeCell ref="A317:B317"/>
    <mergeCell ref="A313:B313"/>
  </mergeCells>
  <phoneticPr fontId="7" type="noConversion"/>
  <printOptions headings="1" gridLinesSet="0"/>
  <pageMargins left="0.1" right="0.2" top="0.61" bottom="0.35" header="0.36"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F64EBBF-687E-4AA0-A2FD-4ED6546C1D83}">
  <ds:schemaRefs>
    <ds:schemaRef ds:uri="http://purl.org/dc/dcmitype/"/>
    <ds:schemaRef ds:uri="http://schemas.microsoft.com/office/infopath/2007/PartnerControls"/>
    <ds:schemaRef ds:uri="http://purl.org/dc/terms/"/>
    <ds:schemaRef ds:uri="http://schemas.microsoft.com/office/2006/metadata/properties"/>
    <ds:schemaRef ds:uri="4d435f69-8686-490b-bd6d-b153bf22ab50"/>
    <ds:schemaRef ds:uri="6ce3111e-7420-4802-b50a-75d4e9a0b980"/>
    <ds:schemaRef ds:uri="http://schemas.microsoft.com/sharepoint/v3"/>
    <ds:schemaRef ds:uri="http://purl.org/dc/elements/1.1/"/>
    <ds:schemaRef ds:uri="http://schemas.microsoft.com/office/2006/documentManagement/types"/>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2020-10-29T14:36:52Z</cp:lastPrinted>
  <dcterms:created xsi:type="dcterms:W3CDTF">2003-10-29T19:06:34Z</dcterms:created>
  <dcterms:modified xsi:type="dcterms:W3CDTF">2020-11-19T00:01:13Z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