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DED8444-5490-4FE9-8BE8-706DD9DB3BBD}" xr6:coauthVersionLast="36" xr6:coauthVersionMax="36" xr10:uidLastSave="{00000000-0000-0000-0000-000000000000}"/>
  <bookViews>
    <workbookView xWindow="0" yWindow="0" windowWidth="20730" windowHeight="11760"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35">TOC!$E$27</definedName>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C10"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G19" i="184" l="1"/>
  <c r="L19" i="184"/>
  <c r="D84" i="36" s="1"/>
  <c r="E20" i="183" l="1"/>
  <c r="F20" i="183" s="1"/>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5"/>
  <c r="B1" i="186"/>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5" i="127"/>
  <c r="B66"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L22" i="37"/>
  <c r="D24" i="37"/>
  <c r="B4270" i="106" s="1"/>
  <c r="D4270" i="106" s="1"/>
  <c r="D22" i="37" l="1"/>
  <c r="H33" i="118"/>
  <c r="H28" i="118"/>
  <c r="D69" i="36"/>
  <c r="F64" i="34"/>
  <c r="H15" i="184"/>
  <c r="B7180" i="106"/>
  <c r="D7180" i="106" s="1"/>
  <c r="E63" i="184"/>
  <c r="N63" i="184" s="1"/>
  <c r="B7171" i="106"/>
  <c r="D7171" i="106" s="1"/>
  <c r="E62" i="184"/>
  <c r="N62" i="184" s="1"/>
  <c r="B7162" i="106"/>
  <c r="D7162" i="106" s="1"/>
  <c r="E61" i="184"/>
  <c r="N61" i="184" s="1"/>
  <c r="D31" i="108"/>
  <c r="E16" i="184"/>
  <c r="H16" i="184" s="1"/>
  <c r="B7153" i="106"/>
  <c r="D7153" i="106" s="1"/>
  <c r="E60" i="184"/>
  <c r="N60" i="184" s="1"/>
  <c r="G33" i="108"/>
  <c r="E17" i="184"/>
  <c r="H17" i="184" s="1"/>
  <c r="H12" i="184"/>
  <c r="B7705" i="106"/>
  <c r="D7705" i="106" s="1"/>
  <c r="E67" i="184"/>
  <c r="N67" i="184" s="1"/>
  <c r="B7696" i="106"/>
  <c r="D7696" i="106" s="1"/>
  <c r="E66" i="184"/>
  <c r="N66" i="184" s="1"/>
  <c r="B7135" i="106"/>
  <c r="D7135" i="106" s="1"/>
  <c r="E58" i="184"/>
  <c r="N58" i="184" s="1"/>
  <c r="B7198" i="106"/>
  <c r="D7198" i="106" s="1"/>
  <c r="E65" i="184"/>
  <c r="N65" i="184" s="1"/>
  <c r="B7126" i="106"/>
  <c r="D7126" i="106" s="1"/>
  <c r="E57" i="184"/>
  <c r="B7189" i="106"/>
  <c r="D7189" i="106" s="1"/>
  <c r="E64" i="184"/>
  <c r="N64"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B1381" i="106"/>
  <c r="D1381" i="106" s="1"/>
  <c r="N23" i="3"/>
  <c r="B284" i="106" s="1"/>
  <c r="D284" i="106" s="1"/>
  <c r="C367" i="29"/>
  <c r="B3622" i="106" s="1"/>
  <c r="D3622" i="106" s="1"/>
  <c r="F66" i="34"/>
  <c r="I151" i="29"/>
  <c r="F59" i="34" s="1"/>
  <c r="E19" i="184"/>
  <c r="K365" i="29"/>
  <c r="K16" i="4" s="1"/>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7243" i="106"/>
  <c r="D7243" i="106" s="1"/>
  <c r="B7224" i="106"/>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<sst xmlns="http://schemas.openxmlformats.org/spreadsheetml/2006/main" count="5297" uniqueCount="2143">
  <si>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</si>
  <si>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</si>
  <si>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</si>
  <si>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</si>
  <si>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</si>
  <si>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</si>
  <si>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</si>
  <si>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</si>
  <si>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</si>
  <si>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</si>
  <si>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</si>
  <si>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</si>
  <si>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</si>
  <si>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</si>
  <si>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</si>
  <si>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</si>
  <si>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</si>
  <si>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</si>
  <si>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</si>
  <si>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</si>
  <si>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</si>
  <si>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</si>
  <si>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</si>
  <si>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</si>
  <si>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</si>
  <si>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</si>
  <si>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</si>
  <si>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</si>
  <si>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</si>
  <si>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</si>
  <si>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</si>
  <si>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</si>
  <si>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</si>
  <si>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</si>
  <si>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</si>
  <si>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</si>
  <si>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</si>
  <si>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</si>
  <si>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</si>
  <si>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</si>
  <si>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</si>
  <si>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</si>
  <si>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</si>
  <si>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</si>
  <si>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</si>
  <si>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</si>
  <si>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</si>
  <si>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</si>
  <si>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</si>
  <si>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</si>
  <si>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</si>
  <si>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</si>
  <si>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</si>
  <si>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</si>
  <si>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</si>
  <si>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</si>
  <si>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</si>
  <si>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</si>
  <si>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</si>
  <si>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</si>
  <si>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</si>
  <si>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</si>
  <si>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</si>
  <si>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</si>
  <si>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</si>
  <si>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</si>
  <si>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</si>
  <si>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</si>
  <si>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</si>
  <si>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</si>
  <si>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</si>
  <si>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</si>
  <si>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</si>
  <si>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</si>
  <si>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</si>
  <si>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</si>
  <si>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</si>
  <si>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</si>
  <si>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</si>
  <si>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</si>
  <si>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</si>
  <si>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</si>
  <si>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</si>
  <si>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</si>
  <si>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</si>
  <si>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</si>
  <si>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</si>
  <si>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</si>
  <si>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</si>
  <si>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</si>
  <si>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</si>
  <si>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</si>
  <si>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</si>
  <si>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</si>
  <si>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</si>
  <si>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</si>
  <si>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</si>
  <si>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</si>
  <si>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</si>
  <si>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</si>
  <si>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</si>
  <si>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</si>
  <si>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</si>
  <si>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</si>
  <si>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</si>
  <si>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</si>
  <si>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</si>
  <si>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</si>
  <si>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</si>
  <si>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</si>
  <si>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</si>
  <si>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</si>
  <si>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</si>
  <si>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</si>
  <si>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</si>
  <si>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</si>
  <si>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</si>
  <si>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</si>
  <si>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</si>
  <si>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</si>
  <si>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</si>
  <si>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</si>
  <si>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</si>
  <si>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</si>
  <si>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</si>
  <si>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</si>
  <si>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</si>
  <si>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</si>
  <si>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</si>
  <si>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</si>
  <si>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</si>
  <si>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</si>
  <si>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</si>
  <si>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</si>
  <si>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</si>
  <si>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</si>
  <si>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</si>
  <si>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</si>
  <si>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</si>
  <si>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</si>
  <si>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</si>
  <si>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</si>
  <si>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</si>
  <si>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</si>
  <si>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</si>
  <si>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</si>
  <si>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</si>
  <si>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</si>
  <si>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</si>
  <si>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</si>
  <si>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</si>
  <si>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</si>
  <si>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</si>
  <si>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</si>
  <si>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</si>
  <si>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</si>
  <si>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</si>
  <si>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</si>
  <si>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</si>
  <si>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</si>
  <si>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</si>
  <si>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</si>
  <si>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</si>
  <si>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</si>
  <si>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</si>
  <si>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</si>
  <si>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</si>
  <si>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</si>
  <si>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</si>
  <si>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</si>
  <si>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</si>
  <si>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</si>
  <si>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</si>
  <si>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</si>
  <si>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</si>
  <si>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</si>
  <si>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</si>
  <si>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</si>
  <si>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</si>
  <si>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</si>
  <si>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</si>
  <si>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</si>
  <si>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</si>
  <si>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</si>
  <si>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</si>
  <si>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</si>
  <si>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</si>
  <si>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</si>
  <si>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</si>
  <si>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</si>
  <si>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</si>
  <si>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</si>
  <si>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</si>
  <si>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</si>
  <si>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</si>
  <si>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</si>
  <si>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</si>
  <si>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</si>
  <si>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</si>
  <si>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</si>
  <si>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</si>
  <si>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</si>
  <si>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</si>
  <si>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</si>
  <si>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</si>
  <si>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</si>
  <si>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</si>
  <si>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</si>
  <si>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</si>
  <si>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</si>
  <si>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</si>
  <si>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</si>
  <si>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</si>
  <si>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</si>
  <si>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</si>
  <si>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</si>
  <si>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</si>
  <si>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</si>
  <si>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</si>
  <si>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</si>
  <si>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</si>
  <si>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</si>
  <si>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</si>
  <si>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</si>
  <si>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</si>
  <si>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</si>
  <si>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</si>
  <si>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</si>
  <si>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</si>
  <si>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</si>
  <si>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</si>
  <si>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</si>
  <si>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</si>
  <si>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</si>
  <si>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</si>
  <si>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</si>
  <si>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</si>
  <si>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</si>
  <si>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</si>
  <si>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</si>
  <si>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</si>
  <si>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</si>
  <si>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</si>
  <si>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</si>
  <si>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</si>
  <si>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</si>
  <si>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</si>
  <si>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</si>
  <si>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</si>
  <si>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</si>
  <si>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</si>
  <si>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</si>
  <si>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</si>
  <si>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</si>
  <si>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</si>
  <si>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</si>
  <si>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</si>
  <si>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</si>
  <si>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</si>
  <si>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</si>
  <si>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</si>
  <si>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</si>
  <si>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</si>
  <si>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</si>
  <si>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</si>
  <si>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</si>
  <si>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</si>
  <si>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</si>
  <si>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</si>
  <si>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</si>
  <si>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</si>
  <si>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</si>
  <si>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</si>
  <si>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</si>
  <si>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</si>
  <si>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</si>
  <si>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</si>
  <si>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</si>
  <si>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</si>
  <si>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</si>
  <si>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</si>
  <si>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</si>
  <si>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</si>
  <si>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</si>
  <si>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</si>
  <si>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</si>
  <si>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</si>
  <si>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</si>
  <si>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</si>
  <si>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</si>
  <si>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</si>
  <si>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</si>
  <si>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</si>
  <si>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</si>
  <si>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</si>
  <si>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</si>
  <si>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</si>
  <si>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</si>
  <si>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</si>
  <si>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</si>
  <si>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</si>
  <si>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</si>
  <si>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</si>
  <si>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</si>
  <si>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</si>
  <si>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</si>
  <si>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</si>
  <si>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</si>
  <si>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</si>
  <si>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</si>
  <si>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</si>
  <si>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</si>
  <si>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</si>
  <si>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</si>
  <si>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</si>
  <si>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</si>
  <si>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</si>
  <si>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</si>
  <si>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</si>
  <si>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</si>
  <si>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</si>
  <si>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</si>
  <si>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</si>
  <si>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</si>
  <si>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</si>
  <si>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</si>
  <si>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</si>
  <si>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</si>
  <si>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</si>
  <si>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</si>
  <si>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</si>
  <si>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</si>
  <si>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</si>
  <si>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</si>
  <si>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</si>
  <si>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</si>
  <si>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</si>
  <si>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</si>
  <si>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</si>
  <si>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</si>
  <si>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</si>
  <si>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</si>
  <si>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</si>
  <si>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</si>
  <si>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</si>
  <si>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</si>
  <si>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</si>
  <si>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</si>
  <si>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</si>
  <si>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</si>
  <si>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</si>
  <si>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</si>
  <si>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</si>
  <si>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</si>
  <si>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</si>
  <si>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</si>
  <si>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</si>
  <si>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</si>
  <si>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</si>
  <si>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</si>
  <si>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</si>
  <si>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</si>
  <si>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</si>
  <si>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</si>
  <si>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</si>
  <si>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</si>
  <si>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</si>
  <si>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</si>
  <si>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</si>
  <si>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</si>
  <si>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</si>
  <si>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</si>
  <si>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</si>
  <si>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</si>
  <si>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</si>
  <si>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</si>
  <si>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</si>
  <si>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</si>
  <si>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</si>
  <si>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</si>
  <si>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</si>
  <si>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</si>
  <si>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</si>
  <si>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</si>
  <si>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</si>
  <si>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</si>
  <si>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</si>
  <si>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</si>
  <si>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</si>
  <si>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</si>
  <si>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</si>
  <si>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</si>
  <si>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</si>
  <si>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</si>
  <si>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</si>
  <si>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</si>
  <si>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</si>
  <si>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</si>
  <si>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</si>
  <si>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</si>
  <si>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</si>
  <si>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</si>
  <si>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</si>
  <si>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</si>
  <si>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</si>
  <si>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</si>
  <si>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</si>
  <si>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</si>
  <si>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</si>
  <si>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</si>
  <si>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</si>
  <si>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</si>
  <si>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</si>
  <si>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</si>
  <si>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</si>
  <si>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</si>
  <si>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</si>
  <si>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</si>
  <si>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</si>
  <si>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</si>
  <si>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</si>
  <si>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</si>
  <si>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</si>
  <si>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</si>
  <si>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</si>
  <si>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</si>
  <si>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</si>
  <si>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</si>
  <si>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</si>
  <si>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</si>
  <si>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</si>
  <si>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</si>
  <si>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</si>
  <si>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</si>
  <si>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</si>
  <si>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</si>
  <si>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</si>
  <si>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</si>
  <si>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</si>
  <si>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</si>
  <si>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</si>
  <si>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</si>
  <si>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</si>
  <si>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</si>
  <si>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</si>
  <si>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</si>
  <si>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</si>
  <si>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</si>
  <si>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</si>
  <si>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</si>
  <si>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</si>
  <si>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</si>
  <si>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</si>
  <si>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</si>
  <si>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</si>
  <si>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</si>
  <si>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</si>
  <si>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</si>
  <si>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</si>
  <si>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</si>
  <si>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</si>
  <si>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</si>
  <si>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</si>
  <si>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</si>
  <si>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</si>
  <si>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</si>
  <si>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</si>
  <si>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</si>
  <si>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</si>
  <si>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</si>
  <si>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</si>
  <si>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</si>
  <si>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</si>
  <si>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</si>
  <si>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</si>
  <si>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</si>
  <si>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</si>
  <si>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</si>
  <si>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</si>
  <si>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</si>
  <si>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</si>
  <si>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</si>
  <si>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</si>
  <si>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</si>
  <si>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</si>
  <si>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</si>
  <si>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</si>
  <si>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</si>
  <si>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</si>
  <si>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</si>
  <si>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</si>
  <si>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</si>
  <si>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</si>
  <si>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</si>
  <si>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</si>
  <si>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</si>
  <si>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</si>
  <si>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</si>
  <si>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</si>
  <si>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</si>
  <si>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</si>
  <si>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</si>
  <si>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</si>
  <si>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</si>
  <si>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</si>
  <si>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</si>
  <si>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</si>
  <si>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</si>
  <si>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</si>
  <si>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</si>
  <si>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</si>
  <si>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</si>
  <si>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</si>
  <si>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</si>
  <si>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</si>
  <si>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</si>
  <si>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</si>
  <si>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</si>
  <si>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</si>
  <si>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</si>
  <si>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</si>
  <si>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</si>
  <si>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</si>
  <si>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</si>
  <si>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</si>
  <si>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</si>
  <si>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</si>
  <si>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</si>
  <si>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</si>
  <si>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</si>
  <si>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</si>
  <si>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</si>
  <si>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</si>
  <si>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</si>
  <si>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</si>
  <si>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</si>
  <si>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</si>
  <si>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</si>
  <si>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</si>
  <si>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</si>
  <si>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</si>
  <si>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</si>
  <si>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</si>
  <si>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</si>
  <si>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</si>
  <si>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</si>
  <si>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</si>
  <si>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</si>
  <si>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</si>
  <si>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</si>
  <si>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</si>
  <si>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</si>
  <si>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</si>
  <si>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</si>
  <si>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</si>
  <si>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</si>
  <si>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</si>
  <si>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</si>
  <si>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</si>
  <si>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</si>
  <si>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</si>
  <si>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</si>
  <si>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</si>
  <si>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</si>
  <si>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</si>
  <si>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</si>
  <si>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</si>
  <si>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</si>
  <si>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</si>
  <si>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</si>
  <si>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</si>
  <si>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</si>
  <si>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</si>
  <si>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</si>
  <si>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</si>
  <si>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</si>
  <si>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</si>
  <si>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</si>
  <si>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</si>
  <si>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</si>
  <si>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</si>
  <si>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</si>
  <si>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</si>
  <si>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</si>
  <si>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</si>
  <si>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</si>
  <si>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</si>
  <si>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</si>
  <si>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</si>
  <si>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</si>
  <si>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</si>
  <si>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</si>
  <si>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</si>
  <si>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</si>
  <si>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</si>
  <si>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</si>
  <si>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</si>
  <si>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</si>
  <si>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</si>
  <si>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</si>
  <si>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</si>
  <si>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</si>
  <si>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</si>
  <si>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</si>
  <si>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</si>
  <si>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</si>
  <si>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</si>
  <si>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</si>
  <si>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</si>
  <si>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</si>
  <si>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</si>
  <si>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</si>
  <si>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</si>
  <si>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</si>
  <si>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</si>
  <si>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</si>
  <si>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</si>
  <si>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</si>
  <si>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</si>
  <si>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</si>
  <si>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</si>
  <si>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</si>
  <si>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</si>
  <si>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</si>
  <si>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</si>
  <si>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</si>
  <si>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</si>
  <si>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</si>
  <si>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</si>
  <si>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</si>
  <si>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</si>
  <si>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</si>
  <si>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</si>
  <si>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</si>
  <si>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</si>
  <si>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</si>
  <si>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</si>
  <si>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</si>
  <si>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</si>
  <si>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</si>
  <si>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</si>
  <si>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</si>
  <si>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</si>
  <si>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</si>
  <si>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</si>
  <si>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</si>
  <si>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</si>
  <si>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</si>
  <si>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</si>
  <si>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</si>
  <si>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</si>
  <si>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</si>
  <si>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</si>
  <si>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</si>
  <si>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</si>
  <si>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</si>
  <si>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</si>
  <si>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</si>
  <si>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</si>
  <si>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</si>
  <si>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</si>
  <si>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</si>
  <si>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</si>
  <si>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</si>
  <si>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</si>
  <si>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</si>
  <si>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</si>
  <si>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</si>
  <si>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</si>
  <si>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</si>
  <si>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</si>
  <si>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</si>
  <si>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</si>
  <si>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</si>
  <si>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</si>
  <si>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</si>
  <si>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</si>
  <si>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</si>
  <si>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</si>
  <si>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</si>
  <si>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</si>
  <si>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</si>
  <si>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</si>
  <si>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</si>
  <si>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</si>
  <si>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</si>
  <si>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</si>
  <si>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</si>
  <si>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</si>
  <si>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</si>
  <si>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</si>
  <si>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</si>
  <si>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</si>
  <si>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</si>
  <si>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</si>
  <si>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</si>
  <si>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</si>
  <si>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</si>
  <si>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</si>
  <si>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</si>
  <si>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</si>
  <si>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</si>
  <si>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</si>
  <si>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</si>
  <si>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</si>
  <si>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</si>
  <si>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</si>
  <si>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</si>
  <si>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</si>
  <si>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</si>
  <si>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</si>
  <si>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</si>
  <si>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</si>
  <si>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</si>
  <si>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</si>
  <si>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</si>
  <si>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</si>
  <si>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</si>
  <si>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</si>
  <si>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</si>
  <si>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</si>
  <si>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</si>
  <si>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</si>
  <si>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</si>
  <si>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</si>
  <si>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</si>
  <si>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</si>
  <si>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</si>
  <si>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</si>
  <si>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</si>
  <si>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</si>
  <si>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</si>
  <si>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</si>
  <si>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</si>
  <si>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</si>
  <si>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</si>
  <si>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</si>
  <si>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</si>
  <si>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</si>
  <si>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</si>
  <si>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</si>
  <si>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</si>
  <si>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</si>
  <si>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</si>
  <si>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</si>
  <si>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</si>
  <si>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</si>
  <si>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</si>
  <si>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</si>
  <si>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</si>
  <si>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</si>
  <si>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</si>
  <si>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</si>
  <si>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</si>
  <si>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</si>
  <si>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</si>
  <si>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</si>
  <si>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</si>
  <si>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</si>
  <si>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</si>
  <si>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</si>
  <si>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</si>
  <si>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</si>
  <si>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</si>
  <si>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</si>
  <si>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</si>
  <si>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</si>
  <si>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</si>
  <si>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</si>
  <si>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</si>
  <si>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</si>
  <si>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</si>
  <si>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</si>
  <si>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</si>
  <si>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</si>
  <si>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</si>
  <si>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</si>
  <si>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</si>
  <si>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</si>
  <si>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</si>
  <si>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</si>
  <si>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</si>
  <si>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</si>
  <si>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</si>
  <si>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</si>
  <si>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</si>
  <si>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</si>
  <si>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</si>
  <si>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</si>
  <si>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</si>
  <si>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</si>
  <si>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</si>
  <si>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</si>
  <si>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</si>
  <si>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</si>
  <si>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</si>
  <si>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</si>
  <si>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</si>
  <si>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</si>
  <si>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</si>
  <si>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</si>
  <si>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</si>
  <si>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</si>
  <si>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</si>
  <si>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</si>
  <si>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</si>
  <si>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</si>
  <si>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</si>
  <si>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</si>
  <si>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</si>
  <si>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</si>
  <si>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</si>
  <si>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</si>
  <si>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</si>
  <si>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</si>
  <si>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</si>
  <si>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</si>
  <si>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</si>
  <si>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</si>
  <si>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</si>
  <si>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</si>
  <si>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</si>
  <si>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</si>
  <si>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</si>
  <si>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</si>
  <si>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</si>
  <si>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</si>
  <si>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</si>
  <si>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</si>
  <si>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</si>
  <si>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</si>
  <si>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</si>
  <si>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</si>
  <si>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</si>
  <si>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</si>
  <si>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</si>
  <si>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</si>
  <si>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</si>
  <si>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</si>
  <si>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</si>
  <si>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</si>
  <si>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</si>
  <si>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</si>
  <si>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</si>
  <si>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</si>
  <si>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</si>
  <si>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</si>
  <si>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</si>
  <si>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</si>
  <si>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</si>
  <si>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</si>
  <si>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</si>
  <si>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</si>
  <si>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</si>
  <si>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</si>
  <si>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</si>
  <si>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</si>
  <si>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</si>
  <si>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</si>
  <si>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</si>
  <si>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</si>
  <si>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</si>
  <si>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</si>
  <si>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</si>
  <si>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</si>
  <si>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</si>
  <si>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</si>
  <si>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</si>
  <si>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</si>
  <si>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</si>
  <si>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</si>
  <si>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</si>
  <si>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</si>
  <si>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</si>
  <si>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</si>
  <si>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</si>
  <si>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</si>
  <si>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</si>
  <si>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</si>
  <si>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</si>
  <si>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</si>
  <si>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</si>
  <si>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</si>
  <si>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</si>
  <si>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</si>
  <si>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</si>
  <si>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</si>
  <si>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</si>
  <si>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</si>
  <si>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</si>
  <si>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</si>
  <si>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</si>
  <si>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</si>
  <si>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</si>
  <si>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</si>
  <si>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</si>
  <si>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</si>
  <si>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</si>
  <si>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</si>
  <si>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</si>
  <si>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</si>
  <si>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</si>
  <si>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</si>
  <si>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</si>
  <si>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</si>
  <si>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</si>
  <si>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</si>
  <si>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</si>
  <si>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</si>
  <si>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</si>
  <si>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</si>
  <si>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</si>
  <si>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</si>
  <si>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</si>
  <si>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</si>
  <si>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</si>
  <si>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</si>
  <si>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</si>
  <si>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</si>
  <si>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</si>
  <si>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</si>
  <si>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</si>
  <si>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</si>
  <si>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</si>
  <si>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</si>
  <si>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</si>
  <si>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</si>
  <si>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</si>
  <si>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</si>
  <si>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</si>
  <si>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</si>
  <si>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</si>
  <si>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</si>
  <si>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</si>
  <si>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</si>
  <si>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</si>
  <si>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</si>
  <si>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</si>
  <si>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</si>
  <si>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</si>
  <si>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</si>
  <si>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</si>
  <si>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</si>
  <si>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</si>
  <si>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</si>
  <si>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</si>
  <si>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</si>
  <si>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</si>
  <si>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</si>
  <si>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</si>
  <si>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</si>
  <si>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</si>
  <si>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</si>
  <si>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</si>
  <si>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</si>
  <si>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</si>
  <si>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</si>
  <si>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</si>
  <si>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</si>
  <si>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</si>
  <si>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</si>
  <si>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</si>
  <si>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</si>
  <si>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</si>
  <si>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</si>
  <si>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</si>
  <si>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</si>
  <si>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</si>
  <si>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</si>
  <si>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</si>
  <si>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</si>
  <si>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</si>
  <si>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</si>
  <si>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</si>
  <si>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</si>
  <si>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</si>
  <si>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</si>
  <si>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</si>
  <si>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</si>
  <si>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</si>
  <si>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</si>
  <si>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</si>
  <si>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</si>
  <si>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</si>
  <si>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</si>
  <si>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</si>
  <si>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</si>
  <si>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</si>
  <si>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</si>
  <si>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</si>
  <si>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</si>
  <si>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</si>
  <si>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</si>
  <si>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</si>
  <si>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</si>
  <si>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</si>
  <si>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</si>
  <si>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</si>
  <si>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</si>
  <si>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</si>
  <si>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</si>
  <si>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</si>
  <si>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</si>
  <si>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</si>
  <si>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</si>
  <si>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</si>
  <si>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</si>
  <si>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</si>
  <si>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</si>
  <si>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</si>
  <si>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</si>
  <si>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</si>
  <si>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</si>
  <si>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</si>
  <si>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</si>
  <si>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</si>
  <si>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</si>
  <si>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</si>
  <si>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</si>
  <si>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</si>
  <si>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</si>
  <si>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</si>
  <si>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</si>
  <si>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</si>
  <si>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</si>
  <si>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</si>
  <si>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</si>
  <si>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</si>
  <si>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</si>
  <si>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</si>
  <si>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</si>
  <si>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</si>
  <si>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</si>
  <si>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</si>
  <si>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</si>
  <si>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</si>
  <si>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</si>
  <si>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</si>
  <si>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</si>
  <si>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</si>
  <si>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</si>
  <si>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</si>
  <si>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</si>
  <si>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</si>
  <si>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</si>
  <si>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</si>
  <si>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</si>
  <si>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</si>
  <si>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</si>
  <si>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</si>
  <si>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</si>
  <si>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</si>
  <si>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</si>
  <si>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</si>
  <si>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</si>
  <si>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</si>
  <si>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</si>
  <si>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</si>
  <si>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</si>
  <si>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</si>
  <si>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</si>
  <si>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</si>
  <si>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</si>
  <si>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</si>
  <si>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</si>
  <si>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</si>
  <si>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</si>
  <si>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</si>
  <si>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</si>
  <si>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</si>
  <si>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</si>
  <si>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</si>
  <si>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</si>
  <si>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</si>
  <si>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</si>
  <si>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</si>
  <si>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</si>
  <si>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</si>
  <si>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</si>
  <si>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</si>
  <si>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</si>
  <si>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</si>
  <si>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</si>
  <si>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</si>
  <si>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</si>
  <si>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</si>
  <si>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</si>
  <si>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</si>
  <si>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</si>
  <si>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</si>
  <si>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</si>
  <si>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</si>
  <si>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</si>
  <si>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</si>
  <si>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</si>
  <si>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</si>
  <si>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</si>
  <si>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</si>
  <si>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</si>
  <si>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</si>
  <si>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</si>
  <si>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</si>
  <si>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</si>
  <si>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</si>
  <si>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</si>
  <si>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</si>
  <si>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</si>
  <si>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</si>
  <si>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</si>
  <si>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</si>
  <si>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</si>
  <si>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</si>
  <si>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</si>
  <si>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</si>
  <si>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</si>
  <si>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</si>
  <si>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</si>
  <si>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</si>
  <si>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</si>
  <si>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</si>
  <si>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</si>
  <si>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</si>
  <si>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</si>
  <si>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</si>
  <si>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</si>
  <si>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</si>
  <si>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</si>
  <si>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</si>
  <si>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</si>
  <si>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</si>
  <si>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</si>
  <si>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</si>
  <si>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</si>
  <si>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</si>
  <si>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</si>
  <si>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</si>
  <si>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</si>
  <si>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</si>
  <si>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</si>
  <si>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</si>
  <si>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</si>
  <si>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</si>
  <si>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</si>
  <si>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</si>
  <si>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</si>
  <si>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</si>
  <si>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</si>
  <si>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</si>
  <si>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</si>
  <si>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</si>
  <si>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</si>
  <si>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</si>
  <si>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</si>
  <si>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</si>
  <si>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</si>
  <si>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</si>
  <si>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</si>
  <si>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</si>
  <si>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</si>
  <si>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</si>
  <si>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</si>
  <si>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</si>
  <si>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</si>
  <si>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</si>
  <si>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</si>
  <si>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</si>
  <si>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</si>
  <si>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</si>
  <si>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</si>
  <si>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</si>
  <si>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</si>
  <si>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</si>
  <si>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</si>
  <si>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</si>
  <si>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</si>
  <si>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</si>
  <si>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</si>
  <si>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</si>
  <si>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</si>
  <si>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</si>
  <si>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</si>
  <si>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</si>
  <si>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</si>
  <si>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</si>
  <si>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</si>
  <si>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</si>
  <si>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</si>
  <si>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</si>
  <si>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</si>
  <si>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</si>
  <si>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</si>
  <si>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</si>
  <si>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</si>
  <si>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</si>
  <si>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</si>
  <si>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</si>
  <si>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</si>
  <si>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</si>
  <si>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</si>
  <si>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</si>
  <si>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</si>
  <si>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</si>
  <si>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</si>
  <si>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</si>
  <si>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</si>
  <si>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</si>
  <si>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</si>
  <si>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</si>
  <si>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</si>
  <si>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</si>
  <si>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</si>
  <si>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</si>
  <si>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</si>
  <si>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</si>
  <si>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</si>
  <si>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</si>
  <si>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</si>
  <si>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</si>
  <si>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</si>
  <si>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</si>
  <si>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</si>
  <si>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</si>
  <si>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</si>
  <si>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</si>
  <si>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</si>
  <si>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</si>
  <si>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</si>
  <si>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</si>
  <si>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</si>
  <si>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</si>
  <si>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</si>
  <si>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</si>
  <si>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</si>
  <si>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</si>
  <si>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</si>
  <si>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</si>
  <si>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</si>
  <si>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</si>
  <si>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</si>
  <si>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</si>
  <si>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</si>
  <si>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</si>
  <si>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</si>
  <si>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</si>
  <si>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</si>
  <si>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</si>
  <si>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</si>
  <si>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</si>
  <si>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</si>
  <si>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</si>
  <si>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</si>
  <si>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</si>
  <si>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</si>
  <si>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</si>
  <si>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</si>
  <si>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</si>
  <si>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</si>
  <si>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</si>
  <si>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</si>
  <si>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</si>
  <si>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</si>
  <si>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</si>
  <si>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</si>
  <si>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</si>
  <si>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</si>
  <si>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</si>
  <si>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</si>
  <si>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</si>
  <si>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</si>
  <si>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</si>
  <si>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</si>
  <si>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</si>
  <si>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</si>
  <si>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</si>
  <si>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</si>
  <si>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</si>
  <si>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</si>
  <si>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</si>
  <si>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</si>
  <si>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</si>
  <si>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</si>
  <si>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</si>
  <si>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</si>
  <si>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</si>
  <si>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</si>
  <si>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</si>
  <si>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</si>
  <si>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</si>
  <si>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</si>
  <si>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</si>
  <si>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</si>
  <si>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</si>
  <si>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</si>
  <si>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</si>
  <si>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</si>
  <si>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</si>
  <si>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</si>
  <si>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</si>
  <si>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</si>
  <si>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</si>
  <si>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</si>
  <si>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</si>
  <si>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</si>
  <si>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</si>
  <si>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</si>
  <si>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</si>
  <si>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</si>
  <si>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</si>
  <si>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</si>
  <si>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</si>
  <si>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</si>
  <si>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</si>
  <si>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</si>
  <si>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</si>
  <si>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</si>
  <si>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</si>
  <si>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</si>
  <si>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</si>
  <si>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</si>
  <si>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</si>
  <si>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</si>
  <si>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</si>
  <si>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</si>
  <si>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</si>
  <si>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</si>
  <si>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</si>
  <si>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</si>
  <si>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</si>
  <si>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</si>
  <si>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</si>
  <si>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</si>
  <si>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</si>
  <si>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</si>
  <si>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</si>
  <si>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</si>
  <si>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</si>
  <si>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</si>
  <si>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</si>
  <si>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</si>
  <si>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</si>
  <si>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</si>
  <si>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</si>
  <si>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</si>
  <si>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</si>
  <si>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</si>
  <si>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</si>
  <si>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</si>
  <si>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</si>
  <si>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</si>
  <si>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</si>
  <si>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</si>
  <si>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</si>
  <si>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</si>
  <si>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</si>
  <si>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</si>
  <si>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</si>
  <si>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</si>
  <si>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</si>
  <si>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</si>
  <si>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</si>
  <si>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</si>
  <si>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</si>
  <si>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</si>
  <si>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</si>
  <si>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</si>
  <si>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</si>
  <si>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</si>
  <si>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</si>
  <si>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</si>
  <si>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</si>
  <si>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</si>
  <si>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</si>
  <si>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</si>
  <si>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</si>
  <si>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</si>
  <si>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</si>
  <si>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</si>
  <si>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</si>
  <si>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</si>
  <si>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</si>
  <si>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</si>
  <si>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</si>
  <si>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</si>
  <si>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</si>
  <si>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</si>
  <si>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</si>
  <si>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</si>
  <si>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</si>
  <si>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</si>
  <si>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</si>
  <si>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</si>
  <si>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</si>
  <si>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</si>
  <si>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</si>
  <si>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</si>
  <si>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</si>
  <si>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</si>
  <si>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</si>
  <si>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</si>
  <si>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</si>
  <si>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</si>
  <si>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</si>
  <si>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</si>
  <si>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</si>
  <si>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</si>
  <si>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</si>
  <si>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</si>
  <si>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</si>
  <si>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</si>
  <si>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</si>
  <si>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</si>
  <si>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</si>
  <si>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</si>
  <si>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</si>
  <si>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</si>
  <si>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</si>
  <si>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</si>
  <si>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</si>
  <si>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</si>
  <si>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</si>
  <si>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</si>
  <si>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</si>
  <si>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</si>
  <si>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</si>
  <si>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</si>
  <si>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</si>
  <si>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</si>
  <si>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</si>
  <si>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</si>
  <si>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</si>
  <si>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</si>
  <si>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</si>
  <si>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</si>
  <si>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</si>
  <si>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</si>
  <si>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</si>
  <si>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</si>
  <si>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</si>
  <si>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</si>
  <si>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</si>
  <si>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</si>
  <si>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</si>
  <si>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</si>
  <si>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</si>
  <si>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</si>
  <si>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</si>
  <si>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</si>
  <si>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</si>
  <si>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</si>
  <si>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</si>
  <si>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</si>
  <si>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</si>
  <si>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</si>
  <si>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</si>
  <si>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</si>
  <si>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</si>
  <si>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</si>
  <si>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</si>
  <si>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</si>
  <si>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</si>
  <si>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</si>
  <si>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</si>
  <si>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</si>
  <si>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</si>
  <si>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</si>
  <si>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</si>
  <si>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</si>
  <si>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</si>
  <si>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</si>
  <si>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</si>
  <si>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</si>
  <si>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</si>
  <si>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</si>
  <si>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</si>
  <si>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</si>
  <si>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</si>
  <si>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</si>
  <si>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</si>
  <si>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</si>
  <si>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</si>
  <si>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</si>
  <si>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</si>
  <si>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</si>
  <si>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</si>
  <si>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</si>
  <si>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</si>
  <si>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</si>
  <si>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</si>
  <si>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</si>
  <si>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</si>
  <si>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</si>
  <si>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</si>
  <si>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</si>
  <si>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</si>
  <si>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</si>
  <si>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</si>
  <si>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</si>
  <si>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</si>
  <si>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</si>
  <si>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</si>
  <si>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</si>
  <si>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</si>
  <si>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</si>
  <si>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</si>
  <si>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</si>
  <si>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</si>
  <si>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</si>
  <si>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</si>
  <si>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</si>
  <si>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</si>
  <si>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</si>
  <si>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</si>
  <si>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</si>
  <si>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</si>
  <si>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</si>
  <si>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</si>
  <si>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</si>
  <si>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</si>
  <si>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</si>
  <si>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</si>
  <si>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</si>
  <si>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</si>
  <si>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</si>
  <si>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</si>
  <si>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</si>
  <si>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</si>
  <si>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</si>
  <si>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</si>
  <si>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</si>
  <si>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</si>
  <si>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</si>
  <si>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</si>
  <si>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</si>
  <si>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</si>
  <si>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</si>
  <si>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</si>
  <si>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</si>
  <si>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</si>
  <si>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</si>
  <si>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</si>
  <si>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</si>
  <si>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</si>
  <si>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</si>
  <si>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</si>
  <si>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</si>
  <si>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</si>
  <si>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</si>
  <si>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</si>
  <si>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</si>
  <si>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</si>
  <si>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</si>
  <si>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</si>
  <si>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</si>
  <si>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</si>
  <si>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</si>
  <si>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</si>
  <si>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</si>
  <si>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</si>
  <si>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</si>
  <si>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</si>
  <si>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</si>
  <si>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</si>
  <si>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</si>
  <si>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</si>
  <si>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</si>
  <si>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</si>
  <si>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</si>
  <si>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</si>
  <si>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</si>
  <si>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</si>
  <si>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</si>
  <si>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</si>
  <si>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</si>
  <si>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</si>
  <si>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</si>
  <si>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</si>
  <si>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</si>
  <si>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</si>
  <si>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</si>
  <si>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</si>
  <si>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</si>
  <si>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</si>
  <si>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</si>
  <si>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</si>
  <si>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</si>
  <si>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</si>
  <si>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</si>
  <si>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</si>
  <si>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</si>
  <si>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</si>
  <si>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</si>
  <si>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</si>
  <si>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</si>
  <si>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</si>
  <si>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</si>
  <si>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</si>
  <si>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</si>
  <si>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</si>
  <si>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</si>
  <si>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</si>
  <si>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</si>
  <si>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</si>
  <si>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</si>
  <si>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</si>
  <si>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</si>
  <si>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</si>
  <si>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</si>
  <si>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</si>
  <si>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</si>
  <si>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</si>
  <si>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</si>
  <si>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</si>
  <si>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</si>
  <si>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</si>
  <si>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</si>
  <si>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</si>
  <si>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</si>
  <si>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</si>
  <si>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</si>
  <si>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</si>
  <si>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</si>
  <si>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</si>
  <si>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</si>
  <si>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</si>
  <si>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</si>
  <si>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</si>
  <si>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</si>
  <si>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</si>
  <si>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</si>
  <si>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</si>
  <si>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</si>
  <si>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</si>
  <si>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</si>
  <si>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</si>
  <si>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</si>
  <si>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</si>
  <si>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</si>
  <si>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</si>
  <si>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</si>
  <si>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</si>
  <si>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</si>
  <si>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</si>
  <si>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</si>
  <si>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</si>
  <si>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</si>
  <si>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</si>
  <si>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</si>
  <si>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</si>
  <si>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</si>
  <si>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</si>
  <si>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</si>
  <si>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</si>
  <si>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</si>
  <si>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</si>
  <si>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</si>
  <si>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</si>
  <si>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</si>
  <si>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</si>
  <si>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</si>
  <si>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</si>
  <si>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</si>
  <si>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</si>
  <si>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</si>
  <si>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</si>
  <si>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</si>
  <si>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</si>
  <si>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</si>
  <si>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</si>
  <si>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</si>
  <si>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</si>
  <si>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</si>
  <si>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</si>
  <si>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</si>
  <si>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</si>
  <si>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</si>
  <si>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</si>
  <si>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</si>
  <si>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</si>
  <si>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</si>
  <si>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</si>
  <si>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</si>
  <si>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</si>
  <si>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</si>
  <si>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</si>
  <si>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</si>
  <si>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</si>
  <si>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</si>
  <si>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</si>
  <si>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</si>
  <si>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</si>
  <si>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</si>
  <si>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</si>
  <si>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</si>
  <si>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</si>
  <si>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</si>
  <si>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</si>
  <si>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</si>
  <si>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</si>
  <si>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</si>
  <si>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</si>
  <si>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</si>
  <si>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</si>
  <si>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</si>
  <si>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</si>
  <si>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</si>
  <si>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</si>
  <si>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</si>
  <si>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</si>
  <si>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</si>
  <si>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</si>
  <si>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</si>
  <si>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</si>
  <si>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</si>
  <si>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</si>
  <si>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</si>
  <si>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</si>
  <si>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</si>
  <si>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</si>
  <si>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</si>
  <si>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</si>
  <si>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</si>
  <si>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</si>
  <si>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</si>
  <si>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</si>
  <si>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</si>
  <si>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</si>
  <si>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</si>
  <si>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</si>
  <si>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</si>
  <si>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</si>
  <si>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</si>
  <si>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</si>
  <si>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</si>
  <si>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</si>
  <si>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</si>
  <si>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</si>
  <si>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</si>
  <si>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</si>
  <si>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</si>
  <si>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</si>
  <si>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</si>
  <si>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</si>
  <si>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</si>
  <si>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</si>
  <si>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</si>
  <si>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</si>
  <si>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</si>
  <si>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</si>
  <si>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</si>
  <si>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</si>
  <si>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</si>
  <si>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</si>
  <si>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</si>
  <si>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</si>
  <si>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</si>
  <si>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</si>
  <si>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</si>
  <si>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</si>
  <si>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</si>
  <si>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</si>
  <si>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</si>
  <si>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</si>
  <si>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</si>
  <si>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</si>
  <si>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</si>
  <si>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</si>
  <si>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</si>
  <si>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</si>
  <si>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</si>
  <si>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</si>
  <si>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</si>
  <si>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</si>
  <si>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</si>
  <si>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</si>
  <si>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</si>
  <si>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</si>
  <si>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</si>
  <si>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</si>
  <si>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</si>
  <si>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</si>
  <si>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</si>
  <si>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</si>
  <si>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</si>
  <si>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</si>
  <si>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</si>
  <si>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</si>
  <si>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</si>
  <si>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</si>
  <si>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</si>
  <si>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</si>
  <si>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</si>
  <si>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</si>
  <si>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</si>
  <si>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</si>
  <si>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</si>
  <si>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</si>
  <si>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</si>
  <si>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</si>
  <si>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</si>
  <si>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</si>
  <si>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</si>
  <si>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</si>
  <si>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</si>
  <si>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</si>
  <si>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</si>
  <si>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</si>
  <si>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</si>
  <si>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</si>
  <si>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</si>
  <si>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</si>
  <si>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</si>
  <si>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</si>
  <si>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</si>
  <si>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</si>
  <si>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</si>
  <si>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</si>
  <si>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</si>
  <si>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</si>
  <si>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</si>
  <si>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</si>
  <si>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</si>
  <si>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</si>
  <si>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</si>
  <si>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</si>
  <si>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</si>
  <si>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</si>
  <si>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</si>
  <si>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</si>
  <si>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</si>
  <si>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</si>
  <si>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</si>
  <si>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</si>
  <si>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</si>
  <si>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</si>
  <si>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</si>
  <si>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</si>
  <si>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</si>
  <si>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</si>
  <si>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</si>
  <si>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</si>
  <si>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</si>
  <si>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</si>
  <si>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</si>
  <si>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</si>
  <si>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</si>
  <si>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</si>
  <si>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</si>
  <si>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</si>
  <si>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</si>
  <si>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</si>
  <si>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</si>
  <si>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</si>
  <si>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</si>
  <si>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</si>
  <si>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</si>
  <si>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</si>
  <si>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</si>
  <si>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</si>
  <si>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</si>
  <si>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</si>
  <si>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</si>
  <si>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</si>
  <si>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</si>
  <si>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</si>
  <si>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</si>
  <si>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</si>
  <si>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</si>
  <si>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</si>
  <si>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</si>
  <si>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</si>
  <si>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</si>
  <si>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</si>
  <si>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</si>
  <si>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</si>
  <si>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</si>
  <si>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</si>
  <si>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</si>
  <si>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</si>
  <si>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</si>
  <si>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</si>
  <si>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</si>
  <si>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</si>
  <si>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</si>
  <si>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</si>
  <si>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</si>
  <si>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</si>
  <si>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</si>
  <si>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</si>
  <si>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</si>
  <si>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</si>
  <si>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</si>
  <si>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</si>
  <si>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</si>
  <si>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</si>
  <si>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</si>
  <si>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</si>
  <si>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</si>
  <si>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</si>
  <si>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</si>
  <si>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</si>
  <si>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</si>
  <si>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</si>
  <si>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</si>
  <si>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</si>
  <si>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</si>
  <si>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</si>
  <si>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</si>
  <si>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</si>
  <si>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</si>
  <si>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</si>
  <si>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</si>
  <si>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</si>
  <si>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</si>
  <si>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</si>
  <si>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</si>
  <si>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</si>
  <si>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</si>
  <si>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</si>
  <si>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</si>
  <si>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</si>
  <si>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</si>
  <si>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</si>
  <si>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</si>
  <si>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</si>
  <si>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</si>
  <si>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</si>
  <si>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</si>
  <si>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</si>
  <si>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</si>
  <si>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</si>
  <si>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</si>
  <si>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</si>
  <si>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</si>
  <si>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</si>
  <si>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</si>
  <si>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</si>
  <si>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</si>
  <si>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</si>
  <si>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</si>
  <si>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</si>
  <si>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</si>
  <si>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</si>
  <si>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</si>
  <si>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</si>
  <si>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</si>
  <si>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</si>
  <si>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</si>
  <si>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</si>
  <si>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</si>
  <si>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</si>
  <si>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</si>
  <si>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</si>
  <si>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</si>
  <si>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</si>
  <si>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</si>
  <si>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</si>
  <si>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</si>
  <si>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</si>
  <si>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</si>
  <si>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</si>
  <si>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</si>
  <si>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</si>
  <si>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</si>
  <si>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</si>
  <si>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</si>
  <si>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</si>
  <si>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</si>
  <si>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</si>
  <si>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</si>
  <si>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</si>
  <si>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</si>
  <si>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</si>
  <si>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</si>
  <si>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</si>
  <si>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</si>
  <si>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</si>
  <si>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</si>
  <si>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</si>
  <si>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</si>
  <si>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</si>
  <si>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</si>
  <si>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</si>
  <si>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</si>
  <si>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</si>
  <si>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</si>
  <si>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</si>
  <si>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</si>
  <si>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</si>
  <si>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</si>
  <si>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</si>
  <si>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</si>
  <si>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</si>
  <si>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</si>
  <si>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</si>
  <si>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</si>
  <si>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</si>
  <si>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</si>
  <si>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</si>
  <si>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</si>
  <si>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</si>
  <si>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</si>
  <si>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</si>
  <si>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</si>
  <si>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</si>
  <si>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</si>
  <si>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</si>
  <si>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</si>
  <si>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</si>
  <si>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</si>
  <si>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</si>
  <si>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</si>
  <si>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</si>
  <si>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</si>
  <si>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</si>
  <si>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</si>
  <si>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</si>
  <si>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</si>
  <si>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</si>
  <si>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</si>
  <si>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</si>
  <si>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</si>
  <si>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</si>
  <si>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</si>
  <si>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KENT D. KULL</t>
  </si>
  <si>
    <t>DEWITT</t>
  </si>
  <si>
    <t>1210 STATE ROUTE 54 WEST</t>
  </si>
  <si>
    <t>CLINTON</t>
  </si>
  <si>
    <t>cnettles@cusd15.org</t>
  </si>
  <si>
    <t>CURT NETTLES</t>
  </si>
  <si>
    <t>217-935-8321</t>
  </si>
  <si>
    <t>217-935-2300</t>
  </si>
  <si>
    <t>MARK JONTRY</t>
  </si>
  <si>
    <t>jontrym@roe17.org</t>
  </si>
  <si>
    <t>309-888-5120</t>
  </si>
  <si>
    <t>309-862-0420</t>
  </si>
  <si>
    <t>Lease Purchase Agreement</t>
  </si>
  <si>
    <t>GO School Building Bonds, 2012A</t>
  </si>
  <si>
    <t>GO School Building Bonds, 2013A</t>
  </si>
  <si>
    <t>GO School Bonds, 2016</t>
  </si>
  <si>
    <t>Computer Equipment Lease Purchase Agreement</t>
  </si>
  <si>
    <t>Copier Lease Purchase Agreement</t>
  </si>
  <si>
    <t>Bus Lease Purchase Agreement</t>
  </si>
  <si>
    <t>Tri-County Special Ed Cooperative</t>
  </si>
  <si>
    <t>Regional Office of Education #17</t>
  </si>
  <si>
    <t>Bloomington Area Career Center</t>
  </si>
  <si>
    <t>Clinton Police Department - Resource Officer</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</si>
  <si>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</si>
  <si>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</si>
  <si>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</si>
  <si>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</si>
  <si>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</si>
  <si>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</si>
  <si>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</si>
  <si>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</si>
  <si>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</si>
  <si>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</si>
  <si>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</si>
  <si>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</si>
  <si>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</si>
  <si>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</si>
  <si>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</si>
  <si>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</si>
  <si>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</si>
  <si>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</si>
  <si>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</si>
  <si>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</si>
  <si>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</si>
  <si>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</si>
  <si>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</si>
  <si>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</si>
  <si>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</si>
  <si>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</si>
  <si>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</si>
  <si>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</si>
  <si>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</si>
  <si>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</si>
  <si>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</si>
  <si>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</si>
  <si>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GO School Bonds, 2020</t>
  </si>
  <si>
    <t>.</t>
  </si>
  <si>
    <t>066-003845</t>
  </si>
  <si>
    <t>Page 5, Line 12 "Other Current Assets"</t>
  </si>
  <si>
    <t xml:space="preserve">   Transportation Fund </t>
  </si>
  <si>
    <t xml:space="preserve">     Prepaid Payroll Liabilities $20</t>
  </si>
  <si>
    <t xml:space="preserve">   Municipal Retirement/Social Security Fund</t>
  </si>
  <si>
    <t xml:space="preserve">     Prepaid Payroll Liabilities $4,897</t>
  </si>
  <si>
    <t xml:space="preserve">   Tort Fund</t>
  </si>
  <si>
    <t>Page 10, Line 72 "Sales to Pupils - Other"</t>
  </si>
  <si>
    <t xml:space="preserve">   Educational Fund</t>
  </si>
  <si>
    <t xml:space="preserve">     Milk $8,776</t>
  </si>
  <si>
    <t>Page 11, Line 106 "Other Local Fees"</t>
  </si>
  <si>
    <t xml:space="preserve">     Crossing Guards $13,784</t>
  </si>
  <si>
    <t>Page 11, Line 107 "Other Local Revenues"</t>
  </si>
  <si>
    <t xml:space="preserve">     Reimbursements $3,752</t>
  </si>
  <si>
    <t xml:space="preserve">   Transportation Fund</t>
  </si>
  <si>
    <t xml:space="preserve">     Reimbursements $914</t>
  </si>
  <si>
    <t>Page 12, Line 168 "Other Restricted Revenue from State Sources"</t>
  </si>
  <si>
    <t xml:space="preserve">     E-Rate State Matching Grant $33,644</t>
  </si>
  <si>
    <t xml:space="preserve">     STEP Grant $738</t>
  </si>
  <si>
    <t xml:space="preserve">     Supplies &amp; Materials - Graduation and Honor Supplies $3,248</t>
  </si>
  <si>
    <t>Page 16, Line 73 "Other Support Services"</t>
  </si>
  <si>
    <t xml:space="preserve">     Retiree Vision, Dental, and Health Insurance $1,588</t>
  </si>
  <si>
    <t>Page 16, Line 83 "Other Payments to In-State Gov't Units"</t>
  </si>
  <si>
    <t xml:space="preserve">     Other Objects - Reimbursements $5,377</t>
  </si>
  <si>
    <t>Page 18, Line 171 "Debt Services- Other"</t>
  </si>
  <si>
    <t xml:space="preserve">   Debt Services Fund</t>
  </si>
  <si>
    <t xml:space="preserve">     Purchased Services - Agent Fees $1,333</t>
  </si>
  <si>
    <t>Page 20, Line 260 "Other Support Services - School Administration"</t>
  </si>
  <si>
    <t xml:space="preserve">     Employee Benefits - Transportation Coordinator Retirement $159</t>
  </si>
  <si>
    <t>Page 23, Line 18 "Other"</t>
  </si>
  <si>
    <t xml:space="preserve">   Austin Land Crop Adjustment ($6,008)</t>
  </si>
  <si>
    <t>Audit Check #8</t>
  </si>
  <si>
    <t xml:space="preserve">   principal of $7,642 equals $1,913,494.  This equals Page 24 Total Retired Debt.</t>
  </si>
  <si>
    <t xml:space="preserve">   Page 18, cell H170, Fund 30 payments on principal of $1,905,852 plus Page 19, cell H206, Fund 40 payments on</t>
  </si>
  <si>
    <t>Audit Check #13</t>
  </si>
  <si>
    <t xml:space="preserve">   There were no contracts within the current year.</t>
  </si>
  <si>
    <t>20.  Improprer cut-off of disbursements; 23. Opinion is adverse due to regulatory basis presentation.</t>
  </si>
  <si>
    <t xml:space="preserve">     Prepaid Payroll Liabilities $6,327</t>
  </si>
  <si>
    <t xml:space="preserve">Internal controls over financial reporting on modified cash basis financial statements must provide for proper cut-off of receipts and disbursements. </t>
  </si>
  <si>
    <t xml:space="preserve">Internal controls should include procedures to ensure proper cut-off of receipts and disbursements. </t>
  </si>
  <si>
    <t xml:space="preserve">The June 30, 2020 unadjusted financial statements did not reflect a proper cut-off of disbursements, resulting in disbursements being overstated by $1,680,179. Audit adjustments were requred to reverse the payroll transactions. </t>
  </si>
  <si>
    <t xml:space="preserve">District personnel were told this was an acceptable practice by accounting software personnel. </t>
  </si>
  <si>
    <t>Unadjusted fiscal year 2020 disbursements included July and August 2020 accrued payroll.  Checks were not written and distibuted to employees as of June 30, 2020. The accrued payroll was also not included on the June 30, 2020 Form 941.</t>
  </si>
  <si>
    <t xml:space="preserve">Payroll disbursements totaling $1,680,179 were accrued in June 2020 and checks were not written and disbributed to employees as of June 30, 2020. </t>
  </si>
  <si>
    <t>The District will no longer accrue payrolls at the end of the fiscal year.</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</si>
  <si>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</si>
  <si>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</si>
  <si>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</si>
  <si>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Management will monitor the adequacy of the treasurer's bond and will increase the penalty of the bond as necessary.</t>
  </si>
  <si>
    <t>The Municipal Retirement levy is a restricted tax levy which may only be spent on Illinois Municipal Retirement expenditures.</t>
  </si>
  <si>
    <t xml:space="preserve">Municipal Retirement tax levy proceeds were spent on social security and medicare expenditures. </t>
  </si>
  <si>
    <t xml:space="preserve">The District is not in compliance with Illinois statutes. </t>
  </si>
  <si>
    <t xml:space="preserve">The District should monitor expenditures in the Municipal Retirement/Social Security Fund by purpose and ensure that an adequate amount of property taxes are levied to pay for the respective expenditures.  </t>
  </si>
  <si>
    <t xml:space="preserve">The District will implement the auditor's recommendation for fiscal year 2020. </t>
  </si>
  <si>
    <t>The treasurer's bond should periodically be evaluated for adequacy and compliance with statutory requirements.</t>
  </si>
  <si>
    <t>A material amount of fund balance in the Municipal Retirement/Social Security Fund that is restricted for Illinois Municipal Retirement expenditures was used to pay for social security and medicare expenditures as of the fiscal year ending June 30, 2020.</t>
  </si>
  <si>
    <t>The District's prior Social Security levies were not adequate to pay for the District's social security and medicare expenditures as of the fiscal year ending June 30, 2020.</t>
  </si>
  <si>
    <t xml:space="preserve">The treasurer's bond was not increased to cover the highest level of district assets. </t>
  </si>
  <si>
    <t>The treasurer's bond was not adequate for the months of August 2019 through June 2020 during fiscal year 2020.</t>
  </si>
  <si>
    <t>NONE</t>
  </si>
  <si>
    <t>Page 14, Line 265 "Other Restricted Revenue from Federal Sources"</t>
  </si>
  <si>
    <t>Page 15, Line 41 "Other Support Services - Pupils"</t>
  </si>
  <si>
    <t xml:space="preserve">  Clinton CUSD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</si>
</sst>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0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66" fillId="0" borderId="162" xfId="3" applyNumberFormat="1" applyFont="1" applyBorder="1" applyAlignment="1">
      <alignment horizontal="center" vertical="center"/>
    </xf>
    <xf numFmtId="0" fontId="66" fillId="0" borderId="162" xfId="3" applyNumberFormat="1" applyFont="1" applyBorder="1" applyAlignment="1">
      <alignment horizontal="left" vertical="center"/>
    </xf>
    <xf numFmtId="0" fontId="58" fillId="0" borderId="163" xfId="3" applyNumberFormat="1" applyFont="1" applyBorder="1" applyAlignment="1">
      <alignment vertical="center"/>
    </xf>
    <xf numFmtId="0" fontId="101" fillId="0" borderId="0" xfId="20" applyFont="1"/>
    <xf numFmtId="0" fontId="58" fillId="0" borderId="164" xfId="3" applyNumberFormat="1" applyFont="1" applyBorder="1" applyAlignment="1">
      <alignment vertical="center"/>
    </xf>
    <xf numFmtId="0" fontId="58" fillId="0" borderId="0" xfId="3" applyNumberFormat="1" applyFont="1" applyBorder="1" applyAlignment="1">
      <alignment horizontal="center" vertical="center"/>
    </xf>
    <xf numFmtId="0" fontId="66" fillId="0" borderId="0" xfId="3" applyNumberFormat="1" applyFont="1" applyBorder="1" applyAlignment="1">
      <alignment horizontal="left" vertical="center"/>
    </xf>
    <xf numFmtId="0" fontId="58" fillId="0" borderId="165" xfId="3" applyNumberFormat="1" applyFont="1" applyBorder="1" applyAlignment="1">
      <alignment vertical="center"/>
    </xf>
    <xf numFmtId="0" fontId="66" fillId="22" borderId="166" xfId="3" applyNumberFormat="1" applyFont="1" applyFill="1" applyBorder="1" applyAlignment="1">
      <alignment horizontal="left"/>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67" xfId="3" applyNumberFormat="1" applyFont="1" applyFill="1" applyBorder="1" applyAlignment="1">
      <alignment vertical="center"/>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58" fillId="0" borderId="166"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164"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164" fontId="66" fillId="0" borderId="168" xfId="3" applyNumberFormat="1" applyFont="1" applyBorder="1" applyAlignment="1">
      <alignment horizontal="right"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NumberFormat="1" applyFont="1" applyBorder="1" applyAlignment="1">
      <alignment horizontal="left" vertical="top" indent="1"/>
    </xf>
    <xf numFmtId="164" fontId="66" fillId="0" borderId="168" xfId="3" applyNumberFormat="1" applyFont="1" applyBorder="1" applyAlignment="1">
      <alignment vertical="top"/>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164"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58" fillId="0" borderId="0" xfId="3" applyNumberFormat="1" applyFont="1" applyBorder="1" applyAlignment="1">
      <alignment horizontal="right" vertical="center"/>
    </xf>
    <xf numFmtId="0" fontId="66" fillId="0" borderId="164" xfId="3" applyNumberFormat="1" applyFont="1" applyBorder="1" applyAlignment="1">
      <alignment vertical="center"/>
    </xf>
    <xf numFmtId="0" fontId="58" fillId="0" borderId="164"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4" xfId="3" applyNumberFormat="1" applyFont="1" applyBorder="1" applyAlignment="1">
      <alignment vertical="center"/>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128" xfId="3" applyNumberFormat="1" applyFont="1" applyBorder="1" applyAlignment="1">
      <alignment horizontal="center"/>
    </xf>
    <xf numFmtId="0" fontId="81" fillId="0" borderId="0" xfId="3" applyNumberFormat="1" applyFont="1" applyBorder="1" applyAlignment="1"/>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58" fillId="0" borderId="0" xfId="3" applyFont="1" applyBorder="1" applyAlignment="1">
      <alignment vertical="top" wrapText="1"/>
    </xf>
    <xf numFmtId="0" fontId="58" fillId="0" borderId="169" xfId="3" applyNumberFormat="1" applyFont="1" applyBorder="1" applyAlignment="1">
      <alignment vertical="center"/>
    </xf>
    <xf numFmtId="0" fontId="58" fillId="0" borderId="170" xfId="3" applyNumberFormat="1" applyFont="1" applyBorder="1" applyAlignment="1">
      <alignment vertical="center"/>
    </xf>
    <xf numFmtId="0" fontId="58" fillId="0" borderId="171" xfId="3" applyNumberFormat="1" applyFont="1" applyBorder="1" applyAlignment="1">
      <alignment vertical="center"/>
    </xf>
    <xf numFmtId="0" fontId="58" fillId="0" borderId="164" xfId="20" applyFont="1" applyBorder="1"/>
    <xf numFmtId="0" fontId="58" fillId="0" borderId="0" xfId="20" applyFont="1" applyBorder="1"/>
    <xf numFmtId="0" fontId="58" fillId="0" borderId="165" xfId="20" applyFont="1" applyBorder="1"/>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143" fillId="0" borderId="164" xfId="20" applyFont="1" applyBorder="1" applyAlignment="1"/>
    <xf numFmtId="0" fontId="89" fillId="0" borderId="0" xfId="20" applyFont="1" applyBorder="1"/>
    <xf numFmtId="0" fontId="100" fillId="0" borderId="0" xfId="20" applyFont="1" applyBorder="1" applyAlignment="1">
      <alignment wrapText="1"/>
    </xf>
    <xf numFmtId="0" fontId="100" fillId="0" borderId="165"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79" xfId="20" applyFont="1" applyBorder="1" applyAlignment="1">
      <alignment horizontal="center" wrapText="1"/>
    </xf>
    <xf numFmtId="0" fontId="58" fillId="0" borderId="181" xfId="20" applyFont="1" applyBorder="1" applyAlignment="1">
      <alignment horizontal="center"/>
    </xf>
    <xf numFmtId="38" fontId="66" fillId="16" borderId="182" xfId="20" applyNumberFormat="1" applyFont="1" applyFill="1" applyBorder="1" applyAlignment="1">
      <alignment horizontal="center"/>
    </xf>
    <xf numFmtId="38" fontId="58" fillId="26" borderId="0" xfId="20" applyNumberFormat="1" applyFont="1" applyFill="1" applyBorder="1" applyAlignment="1">
      <alignment horizontal="center"/>
    </xf>
    <xf numFmtId="38" fontId="58" fillId="0" borderId="183"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16" borderId="184" xfId="20" applyNumberFormat="1" applyFont="1" applyFill="1" applyBorder="1" applyAlignment="1">
      <alignment horizontal="center" wrapText="1"/>
    </xf>
    <xf numFmtId="0" fontId="58" fillId="0" borderId="186" xfId="20" applyFont="1" applyBorder="1" applyAlignment="1">
      <alignment horizontal="center"/>
    </xf>
    <xf numFmtId="38" fontId="66" fillId="16" borderId="187" xfId="20" applyNumberFormat="1" applyFont="1" applyFill="1" applyBorder="1" applyAlignment="1">
      <alignment horizontal="center"/>
    </xf>
    <xf numFmtId="38" fontId="58" fillId="0" borderId="188" xfId="20" applyNumberFormat="1" applyFont="1" applyBorder="1" applyAlignment="1" applyProtection="1">
      <alignment horizontal="center"/>
      <protection locked="0"/>
    </xf>
    <xf numFmtId="38" fontId="58" fillId="0" borderId="186" xfId="20" applyNumberFormat="1" applyFont="1" applyBorder="1" applyAlignment="1" applyProtection="1">
      <alignment horizontal="center"/>
      <protection locked="0"/>
    </xf>
    <xf numFmtId="0" fontId="58" fillId="0" borderId="190" xfId="20" applyFont="1" applyBorder="1" applyAlignment="1">
      <alignment horizontal="center"/>
    </xf>
    <xf numFmtId="38" fontId="66" fillId="16" borderId="191" xfId="20" applyNumberFormat="1" applyFont="1" applyFill="1" applyBorder="1" applyAlignment="1">
      <alignment horizontal="center"/>
    </xf>
    <xf numFmtId="38" fontId="58" fillId="0" borderId="192" xfId="20" applyNumberFormat="1" applyFont="1" applyBorder="1" applyAlignment="1" applyProtection="1">
      <alignment horizontal="center"/>
      <protection locked="0"/>
    </xf>
    <xf numFmtId="38" fontId="58" fillId="0" borderId="190"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79" xfId="20" applyNumberFormat="1" applyFont="1" applyFill="1" applyBorder="1" applyAlignment="1">
      <alignment horizontal="center"/>
    </xf>
    <xf numFmtId="0" fontId="101" fillId="0" borderId="164" xfId="20" applyFont="1" applyBorder="1"/>
    <xf numFmtId="0" fontId="101" fillId="0" borderId="0" xfId="20" applyFont="1" applyBorder="1"/>
    <xf numFmtId="0" fontId="101" fillId="0" borderId="165" xfId="20" applyFont="1" applyBorder="1"/>
    <xf numFmtId="0" fontId="100" fillId="0" borderId="164" xfId="20" applyFont="1" applyBorder="1"/>
    <xf numFmtId="0" fontId="101" fillId="0" borderId="169" xfId="20" applyFont="1" applyBorder="1"/>
    <xf numFmtId="0" fontId="101" fillId="0" borderId="170" xfId="20" applyFont="1" applyBorder="1"/>
    <xf numFmtId="0" fontId="101" fillId="0" borderId="171" xfId="20" applyFont="1" applyBorder="1"/>
    <xf numFmtId="0" fontId="55" fillId="0" borderId="0" xfId="3" applyFont="1" applyAlignment="1" applyProtection="1">
      <alignment horizontal="center" vertical="center"/>
    </xf>
    <xf numFmtId="0" fontId="2" fillId="0" borderId="152"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64"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67"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85" xfId="20" applyFont="1" applyBorder="1" applyAlignment="1">
      <alignment wrapText="1"/>
    </xf>
    <xf numFmtId="0" fontId="58" fillId="0" borderId="186"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72" xfId="20" applyFont="1" applyBorder="1" applyAlignment="1">
      <alignment horizontal="center"/>
    </xf>
    <xf numFmtId="0" fontId="142" fillId="0" borderId="173" xfId="20" applyFont="1" applyBorder="1" applyAlignment="1">
      <alignment horizontal="center"/>
    </xf>
    <xf numFmtId="0" fontId="142" fillId="0" borderId="174" xfId="20" applyFont="1" applyBorder="1" applyAlignment="1">
      <alignment horizontal="center"/>
    </xf>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58" fillId="0" borderId="175" xfId="3" applyNumberFormat="1" applyFont="1" applyBorder="1" applyAlignment="1">
      <alignment horizontal="left" vertical="center"/>
    </xf>
    <xf numFmtId="166" fontId="58" fillId="0" borderId="176" xfId="3" applyNumberFormat="1" applyFont="1" applyBorder="1" applyAlignment="1">
      <alignment horizontal="left" vertical="center" indent="1"/>
    </xf>
    <xf numFmtId="0" fontId="58" fillId="26" borderId="177" xfId="20" applyFont="1" applyFill="1" applyBorder="1"/>
    <xf numFmtId="0" fontId="58" fillId="26" borderId="77" xfId="20" applyFont="1" applyFill="1" applyBorder="1"/>
    <xf numFmtId="0" fontId="66" fillId="0" borderId="162" xfId="20" applyFont="1" applyBorder="1" applyAlignment="1">
      <alignment horizontal="center" wrapText="1"/>
    </xf>
    <xf numFmtId="0" fontId="66" fillId="0" borderId="163" xfId="20" applyFont="1" applyBorder="1" applyAlignment="1">
      <alignment horizontal="center" wrapText="1"/>
    </xf>
    <xf numFmtId="0" fontId="102" fillId="0" borderId="178"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0" xfId="20" applyFont="1" applyBorder="1" applyAlignment="1"/>
    <xf numFmtId="0" fontId="58" fillId="0" borderId="181" xfId="20" applyFont="1" applyBorder="1" applyAlignment="1"/>
    <xf numFmtId="0" fontId="58" fillId="0" borderId="185" xfId="20" applyFont="1" applyBorder="1" applyAlignment="1"/>
    <xf numFmtId="0" fontId="58" fillId="0" borderId="186" xfId="20" applyFont="1" applyBorder="1" applyAlignment="1"/>
    <xf numFmtId="0" fontId="58" fillId="0" borderId="189" xfId="20" applyFont="1" applyBorder="1" applyAlignment="1"/>
    <xf numFmtId="0" fontId="58" fillId="0" borderId="190" xfId="20" applyFont="1" applyBorder="1" applyAlignment="1"/>
    <xf numFmtId="0" fontId="66" fillId="0" borderId="177"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11" fillId="0" borderId="0" xfId="3" applyFont="1" applyBorder="1" applyAlignment="1" applyProtection="1">
      <alignment horizontal="left" vertical="top" wrapText="1"/>
      <protection locked="0"/>
    </xf>
    <xf numFmtId="0" fontId="11" fillId="0" borderId="0" xfId="3" applyAlignment="1" applyProtection="1">
      <alignment horizontal="left" vertical="top" wrapText="1"/>
      <protection locked="0"/>
    </xf>
    <xf numFmtId="8" fontId="11" fillId="0" borderId="0" xfId="3" applyNumberFormat="1" applyAlignment="1" applyProtection="1">
      <alignment horizontal="left" vertical="top" wrapText="1"/>
      <protection locked="0"/>
    </xf>
    <xf numFmtId="0" fontId="11" fillId="0" borderId="0" xfId="3" applyBorder="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142875</xdr:colOff>
          <xdr:row>1</xdr:row>
          <xdr:rowOff>57150</xdr:rowOff>
        </xdr:from>
        <xdr:to>
          <xdr:col>1</xdr:col>
          <xdr:colOff>1047750</xdr:colOff>
          <xdr:row>5</xdr:row>
          <xdr:rowOff>95250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47625</xdr:rowOff>
        </xdr:from>
        <xdr:to>
          <xdr:col>1</xdr:col>
          <xdr:colOff>1047750</xdr:colOff>
          <xdr:row>10</xdr:row>
          <xdr:rowOff>85725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1</xdr:row>
          <xdr:rowOff>66675</xdr:rowOff>
        </xdr:from>
        <xdr:to>
          <xdr:col>1</xdr:col>
          <xdr:colOff>2143125</xdr:colOff>
          <xdr:row>5</xdr:row>
          <xdr:rowOff>104775</xdr:rowOff>
        </xdr:to>
        <xdr:sp macro="" textlink="">
          <xdr:nvSpPr>
            <xdr:cNvPr id="45060" name="Object 4" hidden="1">
              <a:extLst>
                <a:ext uri="{63B3BB69-23CF-44E3-9099-C40C66FF867C}">
                  <a14:compatExt spid="_x0000_s45060"/>
                </a:ext>
                <a:ext uri="{FF2B5EF4-FFF2-40B4-BE49-F238E27FC236}">
                  <a16:creationId xmlns:a16="http://schemas.microsoft.com/office/drawing/2014/main" id="{00000000-0008-0000-1400-000004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6</xdr:row>
          <xdr:rowOff>47625</xdr:rowOff>
        </xdr:from>
        <xdr:to>
          <xdr:col>1</xdr:col>
          <xdr:colOff>2143125</xdr:colOff>
          <xdr:row>10</xdr:row>
          <xdr:rowOff>85725</xdr:rowOff>
        </xdr:to>
        <xdr:sp macro="" textlink="">
          <xdr:nvSpPr>
            <xdr:cNvPr id="45061" name="Object 5" hidden="1">
              <a:extLst>
                <a:ext uri="{63B3BB69-23CF-44E3-9099-C40C66FF867C}">
                  <a14:compatExt spid="_x0000_s45061"/>
                </a:ext>
                <a:ext uri="{FF2B5EF4-FFF2-40B4-BE49-F238E27FC236}">
                  <a16:creationId xmlns:a16="http://schemas.microsoft.com/office/drawing/2014/main" id="{00000000-0008-0000-1400-000005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xdr:row>
          <xdr:rowOff>66675</xdr:rowOff>
        </xdr:from>
        <xdr:to>
          <xdr:col>1</xdr:col>
          <xdr:colOff>3267075</xdr:colOff>
          <xdr:row>5</xdr:row>
          <xdr:rowOff>104775</xdr:rowOff>
        </xdr:to>
        <xdr:sp macro="" textlink="">
          <xdr:nvSpPr>
            <xdr:cNvPr id="45062" name="Object 6" hidden="1">
              <a:extLst>
                <a:ext uri="{63B3BB69-23CF-44E3-9099-C40C66FF867C}">
                  <a14:compatExt spid="_x0000_s45062"/>
                </a:ext>
                <a:ext uri="{FF2B5EF4-FFF2-40B4-BE49-F238E27FC236}">
                  <a16:creationId xmlns:a16="http://schemas.microsoft.com/office/drawing/2014/main" id="{00000000-0008-0000-1400-000006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6</xdr:row>
          <xdr:rowOff>47625</xdr:rowOff>
        </xdr:from>
        <xdr:to>
          <xdr:col>1</xdr:col>
          <xdr:colOff>3276600</xdr:colOff>
          <xdr:row>10</xdr:row>
          <xdr:rowOff>85725</xdr:rowOff>
        </xdr:to>
        <xdr:sp macro="" textlink="">
          <xdr:nvSpPr>
            <xdr:cNvPr id="45063" name="Object 7" hidden="1">
              <a:extLst>
                <a:ext uri="{63B3BB69-23CF-44E3-9099-C40C66FF867C}">
                  <a14:compatExt spid="_x0000_s45063"/>
                </a:ext>
                <a:ext uri="{FF2B5EF4-FFF2-40B4-BE49-F238E27FC236}">
                  <a16:creationId xmlns:a16="http://schemas.microsoft.com/office/drawing/2014/main" id="{00000000-0008-0000-1400-000007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3438525</xdr:colOff>
          <xdr:row>1</xdr:row>
          <xdr:rowOff>76200</xdr:rowOff>
        </xdr:from>
        <xdr:to>
          <xdr:col>2</xdr:col>
          <xdr:colOff>371475</xdr:colOff>
          <xdr:row>5</xdr:row>
          <xdr:rowOff>114300</xdr:rowOff>
        </xdr:to>
        <xdr:sp macro="" textlink="">
          <xdr:nvSpPr>
            <xdr:cNvPr id="45064" name="Object 8" hidden="1">
              <a:extLst>
                <a:ext uri="{63B3BB69-23CF-44E3-9099-C40C66FF867C}">
                  <a14:compatExt spid="_x0000_s45064"/>
                </a:ext>
                <a:ext uri="{FF2B5EF4-FFF2-40B4-BE49-F238E27FC236}">
                  <a16:creationId xmlns:a16="http://schemas.microsoft.com/office/drawing/2014/main" id="{00000000-0008-0000-1400-000008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3476625</xdr:colOff>
          <xdr:row>6</xdr:row>
          <xdr:rowOff>57150</xdr:rowOff>
        </xdr:from>
        <xdr:to>
          <xdr:col>2</xdr:col>
          <xdr:colOff>409575</xdr:colOff>
          <xdr:row>10</xdr:row>
          <xdr:rowOff>95250</xdr:rowOff>
        </xdr:to>
        <xdr:sp macro="" textlink="">
          <xdr:nvSpPr>
            <xdr:cNvPr id="45066" name="Object 10" hidden="1">
              <a:extLst>
                <a:ext uri="{63B3BB69-23CF-44E3-9099-C40C66FF867C}">
                  <a14:compatExt spid="_x0000_s45066"/>
                </a:ext>
                <a:ext uri="{FF2B5EF4-FFF2-40B4-BE49-F238E27FC236}">
                  <a16:creationId xmlns:a16="http://schemas.microsoft.com/office/drawing/2014/main" id="{00000000-0008-0000-1400-00000A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4">
        <f>+'AFR20'!E4</f>
        <v>44119</v>
      </c>
      <c r="C1" s="2104"/>
      <c r="D1" s="2105"/>
      <c r="I1" s="2063" t="s">
        <v>402</v>
      </c>
      <c r="J1" s="2064"/>
      <c r="K1" s="2064"/>
      <c r="L1" s="2064"/>
      <c r="M1" s="2064"/>
      <c r="N1" s="2064"/>
      <c r="O1" s="2064"/>
      <c r="P1" s="2064"/>
      <c r="Q1" s="2064"/>
      <c r="R1" s="2064"/>
      <c r="S1" s="2064"/>
    </row>
    <row r="2" spans="1:32" ht="12" customHeight="1" x14ac:dyDescent="0.2">
      <c r="A2" s="1816" t="str">
        <f>"Due to ISBE on "</f>
        <v xml:space="preserve">Due to ISBE on </v>
      </c>
      <c r="B2" s="2106">
        <f>+'AFR20'!F4</f>
        <v>44151</v>
      </c>
      <c r="C2" s="2106"/>
      <c r="D2" s="2107"/>
      <c r="I2" s="2065" t="s">
        <v>2000</v>
      </c>
      <c r="J2" s="2064"/>
      <c r="K2" s="2064"/>
      <c r="L2" s="2064"/>
      <c r="M2" s="2064"/>
      <c r="N2" s="2064"/>
      <c r="O2" s="2064"/>
      <c r="P2" s="2064"/>
      <c r="Q2" s="2064"/>
      <c r="R2" s="2064"/>
      <c r="S2" s="2064"/>
    </row>
    <row r="3" spans="1:32" ht="12" customHeight="1" x14ac:dyDescent="0.2">
      <c r="A3" s="1819" t="str">
        <f>"SD/JA"&amp;MID('AFR20'!E2,3,2)</f>
        <v>SD/JA20</v>
      </c>
      <c r="B3" s="151"/>
      <c r="C3" s="151"/>
      <c r="D3" s="152"/>
      <c r="I3" s="2065" t="s">
        <v>52</v>
      </c>
      <c r="J3" s="2064"/>
      <c r="K3" s="2064"/>
      <c r="L3" s="2064"/>
      <c r="M3" s="2064"/>
      <c r="N3" s="2064"/>
      <c r="O3" s="2064"/>
      <c r="P3" s="2064"/>
      <c r="Q3" s="2064"/>
      <c r="R3" s="2064"/>
      <c r="S3" s="2064"/>
    </row>
    <row r="4" spans="1:32" ht="12" customHeight="1" x14ac:dyDescent="0.2">
      <c r="A4" s="37"/>
      <c r="I4" s="2065" t="s">
        <v>521</v>
      </c>
      <c r="J4" s="2064"/>
      <c r="K4" s="2064"/>
      <c r="L4" s="2064"/>
      <c r="M4" s="2064"/>
      <c r="N4" s="2064"/>
      <c r="O4" s="2064"/>
      <c r="P4" s="2064"/>
      <c r="Q4" s="2064"/>
      <c r="R4" s="2064"/>
      <c r="S4" s="2064"/>
    </row>
    <row r="5" spans="1:32" ht="14.1" customHeight="1" x14ac:dyDescent="0.2">
      <c r="B5" s="101" t="s">
        <v>2015</v>
      </c>
      <c r="C5" s="26" t="s">
        <v>903</v>
      </c>
      <c r="D5" s="81"/>
      <c r="E5" s="81"/>
      <c r="H5" s="38"/>
      <c r="I5" s="2073" t="s">
        <v>675</v>
      </c>
      <c r="J5" s="2072"/>
      <c r="K5" s="2072"/>
      <c r="L5" s="2072"/>
      <c r="M5" s="2072"/>
      <c r="N5" s="2072"/>
      <c r="O5" s="2072"/>
      <c r="P5" s="2072"/>
      <c r="Q5" s="2072"/>
      <c r="R5" s="2072"/>
      <c r="S5" s="2072"/>
      <c r="AF5" s="1812"/>
    </row>
    <row r="6" spans="1:32" ht="14.1" customHeight="1" x14ac:dyDescent="0.2">
      <c r="B6" s="101"/>
      <c r="C6" s="26" t="s">
        <v>904</v>
      </c>
      <c r="D6" s="81"/>
      <c r="E6" s="81"/>
      <c r="I6" s="2071" t="s">
        <v>876</v>
      </c>
      <c r="J6" s="2072"/>
      <c r="K6" s="2072"/>
      <c r="L6" s="2072"/>
      <c r="M6" s="2072"/>
      <c r="N6" s="2072"/>
      <c r="O6" s="2072"/>
      <c r="P6" s="2072"/>
      <c r="Q6" s="2072"/>
      <c r="R6" s="2072"/>
      <c r="S6" s="2072"/>
    </row>
    <row r="7" spans="1:32" ht="12.2" customHeight="1" x14ac:dyDescent="0.2">
      <c r="I7" s="2066" t="str">
        <f>"June 30, "&amp;'AFR20'!E2</f>
        <v>June 30, 2020</v>
      </c>
      <c r="J7" s="2067"/>
      <c r="K7" s="2067"/>
      <c r="L7" s="2067"/>
      <c r="M7" s="2067"/>
      <c r="N7" s="2067"/>
      <c r="O7" s="2067"/>
      <c r="P7" s="2067"/>
      <c r="Q7" s="2067"/>
      <c r="R7" s="2067"/>
      <c r="S7" s="206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8" t="s">
        <v>669</v>
      </c>
      <c r="J9" s="2069"/>
      <c r="K9" s="2069"/>
      <c r="L9" s="2069"/>
      <c r="M9" s="2069"/>
      <c r="N9" s="2069"/>
      <c r="O9" s="2069"/>
      <c r="P9" s="2069"/>
      <c r="Q9" s="2069"/>
      <c r="R9" s="2069"/>
      <c r="S9" s="2070"/>
      <c r="T9" s="2121" t="s">
        <v>530</v>
      </c>
      <c r="U9" s="2122"/>
      <c r="V9" s="2122"/>
      <c r="W9" s="2122"/>
      <c r="X9" s="2122"/>
      <c r="Y9" s="2122"/>
      <c r="Z9" s="2122"/>
      <c r="AA9" s="2123"/>
    </row>
    <row r="10" spans="1:32" ht="13.5" customHeight="1" x14ac:dyDescent="0.2">
      <c r="A10" s="2128" t="s">
        <v>670</v>
      </c>
      <c r="B10" s="2129"/>
      <c r="C10" s="2129"/>
      <c r="D10" s="2129"/>
      <c r="E10" s="2129"/>
      <c r="F10" s="2129"/>
      <c r="G10" s="2129"/>
      <c r="H10" s="2130"/>
      <c r="I10" s="29"/>
      <c r="J10" s="30"/>
      <c r="K10" s="28"/>
      <c r="R10" s="30"/>
      <c r="S10" s="30"/>
      <c r="T10" s="2124"/>
      <c r="U10" s="2072"/>
      <c r="V10" s="2072"/>
      <c r="W10" s="2072"/>
      <c r="X10" s="2072"/>
      <c r="Y10" s="2072"/>
      <c r="Z10" s="2072"/>
      <c r="AA10" s="2078"/>
    </row>
    <row r="11" spans="1:32" ht="14.25" customHeight="1" x14ac:dyDescent="0.2">
      <c r="A11" s="2131" t="s">
        <v>948</v>
      </c>
      <c r="B11" s="2132"/>
      <c r="C11" s="2132"/>
      <c r="D11" s="2132"/>
      <c r="E11" s="2132"/>
      <c r="F11" s="2132"/>
      <c r="G11" s="2132"/>
      <c r="H11" s="2133"/>
      <c r="I11" s="27"/>
      <c r="J11" s="71"/>
      <c r="K11" s="27"/>
      <c r="O11" s="144" t="s">
        <v>2015</v>
      </c>
      <c r="P11" s="97" t="s">
        <v>199</v>
      </c>
      <c r="Q11" s="30"/>
      <c r="R11" s="28"/>
      <c r="S11" s="27"/>
      <c r="T11" s="2125"/>
      <c r="U11" s="2126"/>
      <c r="V11" s="2126"/>
      <c r="W11" s="2126"/>
      <c r="X11" s="2126"/>
      <c r="Y11" s="2126"/>
      <c r="Z11" s="2126"/>
      <c r="AA11" s="212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4">
        <v>17020015026</v>
      </c>
      <c r="B13" s="2085"/>
      <c r="C13" s="2085"/>
      <c r="D13" s="2085"/>
      <c r="E13" s="2085"/>
      <c r="F13" s="2085"/>
      <c r="G13" s="2085"/>
      <c r="H13" s="2086"/>
      <c r="I13" s="31"/>
      <c r="J13" s="30"/>
      <c r="K13" s="28"/>
      <c r="L13" s="30"/>
      <c r="M13" s="30"/>
      <c r="N13" s="30"/>
      <c r="O13" s="30"/>
      <c r="P13" s="30"/>
      <c r="Q13" s="30"/>
      <c r="R13" s="30"/>
      <c r="S13" s="30"/>
      <c r="T13" s="2090" t="s">
        <v>2016</v>
      </c>
      <c r="U13" s="2091"/>
      <c r="V13" s="2091"/>
      <c r="W13" s="2091"/>
      <c r="X13" s="2091"/>
      <c r="Y13" s="2092"/>
      <c r="Z13" s="2092"/>
      <c r="AA13" s="209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7" t="s">
        <v>2024</v>
      </c>
      <c r="B15" s="2088"/>
      <c r="C15" s="2088"/>
      <c r="D15" s="2088"/>
      <c r="E15" s="2088"/>
      <c r="F15" s="2088"/>
      <c r="G15" s="2088"/>
      <c r="H15" s="2089"/>
      <c r="T15" s="2094" t="s">
        <v>2023</v>
      </c>
      <c r="U15" s="2051"/>
      <c r="V15" s="2051"/>
      <c r="W15" s="2051"/>
      <c r="X15" s="2051"/>
      <c r="Y15" s="2095"/>
      <c r="Z15" s="2095"/>
      <c r="AA15" s="209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7" t="s">
        <v>2142</v>
      </c>
      <c r="B17" s="2058"/>
      <c r="C17" s="2058"/>
      <c r="D17" s="2058"/>
      <c r="E17" s="2058"/>
      <c r="F17" s="2058"/>
      <c r="G17" s="2058"/>
      <c r="H17" s="2083"/>
      <c r="T17" s="2101" t="s">
        <v>2017</v>
      </c>
      <c r="U17" s="2102"/>
      <c r="V17" s="2102"/>
      <c r="W17" s="2102"/>
      <c r="X17" s="2102"/>
      <c r="Y17" s="2102"/>
      <c r="Z17" s="2102"/>
      <c r="AA17" s="2103"/>
    </row>
    <row r="18" spans="1:27" ht="13.5" customHeight="1" x14ac:dyDescent="0.2">
      <c r="A18" s="82" t="s">
        <v>527</v>
      </c>
      <c r="B18" s="73"/>
      <c r="C18" s="69"/>
      <c r="D18" s="73"/>
      <c r="E18" s="73"/>
      <c r="F18" s="73"/>
      <c r="G18" s="73"/>
      <c r="H18" s="53"/>
      <c r="I18" s="2082" t="s">
        <v>671</v>
      </c>
      <c r="J18" s="2033"/>
      <c r="K18" s="2033"/>
      <c r="L18" s="2033"/>
      <c r="M18" s="2033"/>
      <c r="N18" s="2033"/>
      <c r="O18" s="2033"/>
      <c r="P18" s="2033"/>
      <c r="Q18" s="2033"/>
      <c r="R18" s="2033"/>
      <c r="S18" s="2034"/>
      <c r="T18" s="82" t="s">
        <v>705</v>
      </c>
      <c r="U18" s="48"/>
      <c r="V18" s="69"/>
      <c r="W18" s="47"/>
      <c r="X18" s="82" t="s">
        <v>264</v>
      </c>
      <c r="Y18" s="78"/>
      <c r="Z18" s="154" t="s">
        <v>672</v>
      </c>
      <c r="AA18" s="44"/>
    </row>
    <row r="19" spans="1:27" ht="13.5" customHeight="1" x14ac:dyDescent="0.2">
      <c r="A19" s="2087" t="s">
        <v>2025</v>
      </c>
      <c r="B19" s="2043"/>
      <c r="C19" s="2043"/>
      <c r="D19" s="2043"/>
      <c r="E19" s="2043"/>
      <c r="F19" s="2043"/>
      <c r="G19" s="2043"/>
      <c r="H19" s="2023"/>
      <c r="I19" s="30"/>
      <c r="J19" s="96"/>
      <c r="K19" s="40"/>
      <c r="L19" s="38"/>
      <c r="M19" s="109" t="s">
        <v>312</v>
      </c>
      <c r="P19" s="27"/>
      <c r="Q19" s="27"/>
      <c r="R19" s="27"/>
      <c r="S19" s="31"/>
      <c r="T19" s="2087" t="s">
        <v>2018</v>
      </c>
      <c r="U19" s="2022"/>
      <c r="V19" s="2022"/>
      <c r="W19" s="2023"/>
      <c r="X19" s="2099" t="s">
        <v>2019</v>
      </c>
      <c r="Y19" s="2100"/>
      <c r="Z19" s="2097">
        <v>62565</v>
      </c>
      <c r="AA19" s="2098"/>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21" t="s">
        <v>2026</v>
      </c>
      <c r="B21" s="2022"/>
      <c r="C21" s="2022"/>
      <c r="D21" s="2022"/>
      <c r="E21" s="2022"/>
      <c r="F21" s="2022"/>
      <c r="G21" s="2022"/>
      <c r="H21" s="2023"/>
      <c r="I21" s="2077" t="s">
        <v>673</v>
      </c>
      <c r="J21" s="2072"/>
      <c r="K21" s="2072"/>
      <c r="L21" s="2072"/>
      <c r="M21" s="2072"/>
      <c r="N21" s="2072"/>
      <c r="O21" s="2072"/>
      <c r="P21" s="2072"/>
      <c r="Q21" s="2072"/>
      <c r="R21" s="2072"/>
      <c r="S21" s="2078"/>
      <c r="T21" s="2112" t="s">
        <v>2020</v>
      </c>
      <c r="U21" s="2113"/>
      <c r="V21" s="2113"/>
      <c r="W21" s="2113"/>
      <c r="X21" s="2118" t="s">
        <v>2021</v>
      </c>
      <c r="Y21" s="2119"/>
      <c r="Z21" s="2119"/>
      <c r="AA21" s="2120"/>
    </row>
    <row r="22" spans="1:27" ht="13.5" customHeight="1" x14ac:dyDescent="0.2">
      <c r="A22" s="84" t="s">
        <v>528</v>
      </c>
      <c r="B22" s="56"/>
      <c r="C22" s="56"/>
      <c r="D22" s="56"/>
      <c r="E22" s="56"/>
      <c r="F22" s="56"/>
      <c r="G22" s="56"/>
      <c r="H22" s="57"/>
      <c r="I22" s="2079" t="s">
        <v>1409</v>
      </c>
      <c r="J22" s="2080"/>
      <c r="K22" s="2080"/>
      <c r="L22" s="2080"/>
      <c r="M22" s="2080"/>
      <c r="N22" s="2080"/>
      <c r="O22" s="2080"/>
      <c r="P22" s="2080"/>
      <c r="Q22" s="2080"/>
      <c r="R22" s="2080"/>
      <c r="S22" s="2081"/>
      <c r="T22" s="82" t="s">
        <v>1496</v>
      </c>
      <c r="U22" s="48"/>
      <c r="V22" s="69"/>
      <c r="W22" s="48"/>
      <c r="X22" s="155" t="s">
        <v>1306</v>
      </c>
      <c r="Z22" s="43"/>
      <c r="AA22" s="44"/>
    </row>
    <row r="23" spans="1:27" ht="13.5" customHeight="1" x14ac:dyDescent="0.2">
      <c r="A23" s="2074" t="s">
        <v>2027</v>
      </c>
      <c r="B23" s="2075"/>
      <c r="C23" s="2075"/>
      <c r="D23" s="2075"/>
      <c r="E23" s="2075"/>
      <c r="F23" s="2075"/>
      <c r="G23" s="2075"/>
      <c r="H23" s="2076"/>
      <c r="T23" s="2057" t="s">
        <v>2080</v>
      </c>
      <c r="U23" s="2111"/>
      <c r="V23" s="2111"/>
      <c r="W23" s="2111"/>
      <c r="X23" s="2115">
        <v>44530</v>
      </c>
      <c r="Y23" s="2116"/>
      <c r="Z23" s="2116"/>
      <c r="AA23" s="2117"/>
    </row>
    <row r="24" spans="1:27" ht="14.1" customHeight="1" x14ac:dyDescent="0.2">
      <c r="A24" s="85" t="s">
        <v>672</v>
      </c>
      <c r="B24" s="46"/>
      <c r="C24" s="46"/>
      <c r="D24" s="46"/>
      <c r="E24" s="46"/>
      <c r="F24" s="46"/>
      <c r="G24" s="46"/>
      <c r="H24" s="58"/>
      <c r="J24" s="2044">
        <f>IF(B5="x",IF(AUDITCHECK!D29="AFR form Incomplete.","",IF(AUDITCHECK!D29="Deficit reduction plan is required.","School District must complete a deficit reduction plan in the 2020-2021 Budget",)),"")</f>
        <v>0</v>
      </c>
      <c r="K24" s="2044"/>
      <c r="L24" s="2044"/>
      <c r="M24" s="2044"/>
      <c r="N24" s="2044"/>
      <c r="O24" s="2044"/>
      <c r="P24" s="2044"/>
      <c r="Q24" s="2044"/>
      <c r="R24" s="2044"/>
      <c r="S24" s="2045"/>
      <c r="T24" s="102" t="s">
        <v>528</v>
      </c>
      <c r="U24" s="103"/>
      <c r="V24" s="103"/>
      <c r="W24" s="103"/>
      <c r="X24" s="104"/>
      <c r="Y24" s="104"/>
      <c r="Z24" s="104"/>
      <c r="AA24" s="105"/>
    </row>
    <row r="25" spans="1:27" ht="14.1" customHeight="1" x14ac:dyDescent="0.2">
      <c r="A25" s="2021">
        <v>61727</v>
      </c>
      <c r="B25" s="2022"/>
      <c r="C25" s="2022"/>
      <c r="D25" s="2022"/>
      <c r="E25" s="2022"/>
      <c r="F25" s="2022"/>
      <c r="G25" s="2022"/>
      <c r="H25" s="2023"/>
      <c r="I25" s="110"/>
      <c r="J25" s="2046"/>
      <c r="K25" s="2046"/>
      <c r="L25" s="2046"/>
      <c r="M25" s="2046"/>
      <c r="N25" s="2046"/>
      <c r="O25" s="2046"/>
      <c r="P25" s="2046"/>
      <c r="Q25" s="2046"/>
      <c r="R25" s="2046"/>
      <c r="S25" s="2047"/>
      <c r="T25" s="2108" t="s">
        <v>2022</v>
      </c>
      <c r="U25" s="2109"/>
      <c r="V25" s="2109"/>
      <c r="W25" s="2109"/>
      <c r="X25" s="2109"/>
      <c r="Y25" s="2109"/>
      <c r="Z25" s="2109"/>
      <c r="AA25" s="211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2" t="s">
        <v>1491</v>
      </c>
      <c r="J27" s="2033"/>
      <c r="K27" s="2033"/>
      <c r="L27" s="2033"/>
      <c r="M27" s="2033"/>
      <c r="N27" s="2033"/>
      <c r="O27" s="2033"/>
      <c r="P27" s="2033"/>
      <c r="Q27" s="2033"/>
      <c r="R27" s="2033"/>
      <c r="S27" s="203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144" t="s">
        <v>2015</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144"/>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43"/>
      <c r="Q35" s="2022"/>
      <c r="R35" s="202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7" t="s">
        <v>2028</v>
      </c>
      <c r="B38" s="2058"/>
      <c r="C38" s="2058"/>
      <c r="D38" s="2058"/>
      <c r="E38" s="2058"/>
      <c r="F38" s="2022"/>
      <c r="G38" s="2022"/>
      <c r="H38" s="2023"/>
      <c r="I38" s="2050"/>
      <c r="J38" s="2051"/>
      <c r="K38" s="2051"/>
      <c r="L38" s="2051"/>
      <c r="M38" s="2051"/>
      <c r="N38" s="2051"/>
      <c r="O38" s="2051"/>
      <c r="P38" s="2052"/>
      <c r="Q38" s="2052"/>
      <c r="R38" s="2052"/>
      <c r="S38" s="2053"/>
      <c r="T38" s="2094" t="s">
        <v>2031</v>
      </c>
      <c r="U38" s="2051"/>
      <c r="V38" s="2051"/>
      <c r="W38" s="2051"/>
      <c r="X38" s="2052"/>
      <c r="Y38" s="2052"/>
      <c r="Z38" s="2052"/>
      <c r="AA38" s="2053"/>
    </row>
    <row r="39" spans="1:27" ht="12" customHeight="1" x14ac:dyDescent="0.2">
      <c r="A39" s="2027" t="s">
        <v>528</v>
      </c>
      <c r="B39" s="2028"/>
      <c r="C39" s="69"/>
      <c r="D39" s="66"/>
      <c r="E39" s="66"/>
      <c r="F39" s="76"/>
      <c r="G39" s="66"/>
      <c r="H39" s="53"/>
      <c r="I39" s="2027" t="s">
        <v>528</v>
      </c>
      <c r="J39" s="2028"/>
      <c r="K39" s="2028"/>
      <c r="L39" s="2028"/>
      <c r="M39" s="2028"/>
      <c r="N39" s="64"/>
      <c r="O39" s="69"/>
      <c r="P39" s="69"/>
      <c r="Q39" s="75"/>
      <c r="R39" s="69"/>
      <c r="S39" s="53"/>
      <c r="T39" s="69" t="s">
        <v>528</v>
      </c>
      <c r="U39" s="48"/>
      <c r="V39" s="69"/>
      <c r="W39" s="47"/>
      <c r="X39" s="75"/>
      <c r="Y39" s="43"/>
      <c r="Z39" s="43"/>
      <c r="AA39" s="44"/>
    </row>
    <row r="40" spans="1:27" ht="13.5" customHeight="1" x14ac:dyDescent="0.2">
      <c r="A40" s="2035" t="s">
        <v>2027</v>
      </c>
      <c r="B40" s="2036"/>
      <c r="C40" s="2037"/>
      <c r="D40" s="2037"/>
      <c r="E40" s="2037"/>
      <c r="F40" s="2038"/>
      <c r="G40" s="2038"/>
      <c r="H40" s="2039"/>
      <c r="I40" s="2060"/>
      <c r="J40" s="2061"/>
      <c r="K40" s="2061"/>
      <c r="L40" s="2061"/>
      <c r="M40" s="2061"/>
      <c r="N40" s="2061"/>
      <c r="O40" s="2061"/>
      <c r="P40" s="2061"/>
      <c r="Q40" s="2061"/>
      <c r="R40" s="2061"/>
      <c r="S40" s="2062"/>
      <c r="T40" s="2060" t="s">
        <v>2032</v>
      </c>
      <c r="U40" s="2114"/>
      <c r="V40" s="2061"/>
      <c r="W40" s="2061"/>
      <c r="X40" s="2061"/>
      <c r="Y40" s="2061"/>
      <c r="Z40" s="2061"/>
      <c r="AA40" s="206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9" t="s">
        <v>2029</v>
      </c>
      <c r="B42" s="2041"/>
      <c r="C42" s="2042"/>
      <c r="D42" s="2040" t="s">
        <v>2030</v>
      </c>
      <c r="E42" s="2041"/>
      <c r="F42" s="2041"/>
      <c r="G42" s="2041"/>
      <c r="H42" s="2042"/>
      <c r="I42" s="2024"/>
      <c r="J42" s="2025"/>
      <c r="K42" s="2025"/>
      <c r="L42" s="2025"/>
      <c r="M42" s="2025"/>
      <c r="N42" s="2025"/>
      <c r="O42" s="2026"/>
      <c r="P42" s="2059"/>
      <c r="Q42" s="2025"/>
      <c r="R42" s="2025"/>
      <c r="S42" s="2026"/>
      <c r="T42" s="2024" t="s">
        <v>2033</v>
      </c>
      <c r="U42" s="2025"/>
      <c r="V42" s="2025"/>
      <c r="W42" s="2026"/>
      <c r="X42" s="2059" t="s">
        <v>2034</v>
      </c>
      <c r="Y42" s="2025"/>
      <c r="Z42" s="2025"/>
      <c r="AA42" s="202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4"/>
      <c r="B44" s="2055"/>
      <c r="C44" s="2055"/>
      <c r="D44" s="2055"/>
      <c r="E44" s="2055"/>
      <c r="F44" s="2055"/>
      <c r="G44" s="2055"/>
      <c r="H44" s="2056"/>
      <c r="I44" s="2029"/>
      <c r="J44" s="2030"/>
      <c r="K44" s="2030"/>
      <c r="L44" s="2030"/>
      <c r="M44" s="2030"/>
      <c r="N44" s="2030"/>
      <c r="O44" s="2030"/>
      <c r="P44" s="2030"/>
      <c r="Q44" s="2030"/>
      <c r="R44" s="2030"/>
      <c r="S44" s="2031"/>
      <c r="T44" s="2029"/>
      <c r="U44" s="2048"/>
      <c r="V44" s="2048"/>
      <c r="W44" s="2048"/>
      <c r="X44" s="2048"/>
      <c r="Y44" s="2048"/>
      <c r="Z44" s="2030"/>
      <c r="AA44" s="2031"/>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p2AT2VrHgX5vjdgIPw5F8zRzigJ67V9dvLD/VP09ca/wxBlOXKE0r7tETf5jvaG48QsaeFb4hb+72q176h2vQ==" saltValue="dX0l3HUCDl6kEHrPI3lFG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N34" sqref="N3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2"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3"/>
      <c r="B3" s="1294"/>
      <c r="C3" s="1295"/>
      <c r="D3" s="1296" t="s">
        <v>254</v>
      </c>
      <c r="E3" s="1295"/>
      <c r="F3" s="1296" t="s">
        <v>255</v>
      </c>
    </row>
    <row r="4" spans="1:8" ht="13.7" customHeight="1" x14ac:dyDescent="0.2">
      <c r="A4" s="579" t="s">
        <v>1144</v>
      </c>
      <c r="B4" s="1706">
        <f>'Revenues 9-14'!C5</f>
        <v>8596760</v>
      </c>
      <c r="C4" s="1707"/>
      <c r="D4" s="1708">
        <f>B4-C4</f>
        <v>8596760</v>
      </c>
      <c r="E4" s="1707">
        <v>8751160</v>
      </c>
      <c r="F4" s="1708">
        <f>E4-C4</f>
        <v>8751160</v>
      </c>
    </row>
    <row r="5" spans="1:8" ht="13.7" customHeight="1" x14ac:dyDescent="0.2">
      <c r="A5" s="579" t="s">
        <v>864</v>
      </c>
      <c r="B5" s="1709">
        <f>'Revenues 9-14'!D5</f>
        <v>2335840</v>
      </c>
      <c r="C5" s="1654"/>
      <c r="D5" s="1710">
        <f t="shared" ref="D5:D18" si="0">B5-C5</f>
        <v>2335840</v>
      </c>
      <c r="E5" s="1654">
        <v>2378033</v>
      </c>
      <c r="F5" s="1710">
        <f>E5-C5</f>
        <v>2378033</v>
      </c>
    </row>
    <row r="6" spans="1:8" ht="13.7" customHeight="1" x14ac:dyDescent="0.2">
      <c r="A6" s="579" t="s">
        <v>408</v>
      </c>
      <c r="B6" s="1709">
        <f>'Revenues 9-14'!E5</f>
        <v>2173980</v>
      </c>
      <c r="C6" s="1654"/>
      <c r="D6" s="1710">
        <f t="shared" si="0"/>
        <v>2173980</v>
      </c>
      <c r="E6" s="1654">
        <v>2174575</v>
      </c>
      <c r="F6" s="1710">
        <f t="shared" ref="F6:F18" si="1">E6-C6</f>
        <v>2174575</v>
      </c>
    </row>
    <row r="7" spans="1:8" ht="13.7" customHeight="1" x14ac:dyDescent="0.2">
      <c r="A7" s="579" t="s">
        <v>154</v>
      </c>
      <c r="B7" s="1709">
        <f>'Revenues 9-14'!F5</f>
        <v>934256</v>
      </c>
      <c r="C7" s="1654"/>
      <c r="D7" s="1710">
        <f t="shared" si="0"/>
        <v>934256</v>
      </c>
      <c r="E7" s="1654">
        <v>951213</v>
      </c>
      <c r="F7" s="1710">
        <f t="shared" si="1"/>
        <v>951213</v>
      </c>
    </row>
    <row r="8" spans="1:8" ht="13.7" customHeight="1" x14ac:dyDescent="0.2">
      <c r="A8" s="579" t="s">
        <v>1168</v>
      </c>
      <c r="B8" s="1709">
        <f>'Revenues 9-14'!G5</f>
        <v>331166</v>
      </c>
      <c r="C8" s="1654"/>
      <c r="D8" s="1710">
        <f t="shared" si="0"/>
        <v>331166</v>
      </c>
      <c r="E8" s="1654">
        <v>332021</v>
      </c>
      <c r="F8" s="1710">
        <f t="shared" si="1"/>
        <v>332021</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233497</v>
      </c>
      <c r="C10" s="1654"/>
      <c r="D10" s="1710">
        <f t="shared" si="0"/>
        <v>233497</v>
      </c>
      <c r="E10" s="1654">
        <v>237803</v>
      </c>
      <c r="F10" s="1710">
        <f t="shared" si="1"/>
        <v>237803</v>
      </c>
    </row>
    <row r="11" spans="1:8" x14ac:dyDescent="0.2">
      <c r="A11" s="579" t="s">
        <v>406</v>
      </c>
      <c r="B11" s="1709">
        <f>'Revenues 9-14'!J5</f>
        <v>1256931</v>
      </c>
      <c r="C11" s="1654"/>
      <c r="D11" s="1710">
        <f t="shared" si="0"/>
        <v>1256931</v>
      </c>
      <c r="E11" s="1654">
        <v>1330034</v>
      </c>
      <c r="F11" s="1710">
        <f t="shared" si="1"/>
        <v>1330034</v>
      </c>
    </row>
    <row r="12" spans="1:8" ht="13.7" customHeight="1" x14ac:dyDescent="0.2">
      <c r="A12" s="579" t="s">
        <v>156</v>
      </c>
      <c r="B12" s="1709">
        <f>'Revenues 9-14'!K5</f>
        <v>233619</v>
      </c>
      <c r="C12" s="1654"/>
      <c r="D12" s="1710">
        <f t="shared" si="0"/>
        <v>233619</v>
      </c>
      <c r="E12" s="1654">
        <v>237803</v>
      </c>
      <c r="F12" s="1710">
        <f t="shared" si="1"/>
        <v>237803</v>
      </c>
    </row>
    <row r="13" spans="1:8" ht="13.7" customHeight="1" x14ac:dyDescent="0.2">
      <c r="A13" s="579" t="s">
        <v>929</v>
      </c>
      <c r="B13" s="1709">
        <f>SUM('Revenues 9-14'!C6:D6)</f>
        <v>233619</v>
      </c>
      <c r="C13" s="1654"/>
      <c r="D13" s="1710">
        <f t="shared" si="0"/>
        <v>233619</v>
      </c>
      <c r="E13" s="1654">
        <v>237803</v>
      </c>
      <c r="F13" s="1710">
        <f t="shared" si="1"/>
        <v>237803</v>
      </c>
    </row>
    <row r="14" spans="1:8" ht="13.7" customHeight="1" x14ac:dyDescent="0.2">
      <c r="A14" s="579" t="s">
        <v>407</v>
      </c>
      <c r="B14" s="1709">
        <f>SUM('Revenues 9-14'!C7:D7,'Revenues 9-14'!F7:H7)</f>
        <v>186766</v>
      </c>
      <c r="C14" s="1654"/>
      <c r="D14" s="1710">
        <f t="shared" si="0"/>
        <v>186766</v>
      </c>
      <c r="E14" s="1654">
        <v>190243</v>
      </c>
      <c r="F14" s="1710">
        <f t="shared" si="1"/>
        <v>190243</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282091</v>
      </c>
      <c r="C16" s="1654"/>
      <c r="D16" s="1710">
        <f t="shared" si="0"/>
        <v>282091</v>
      </c>
      <c r="E16" s="1654">
        <v>297016</v>
      </c>
      <c r="F16" s="1710">
        <f t="shared" si="1"/>
        <v>297016</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v>-6008</v>
      </c>
      <c r="F18" s="1710">
        <f t="shared" si="1"/>
        <v>-6008</v>
      </c>
    </row>
    <row r="19" spans="1:6" ht="13.7" customHeight="1" thickBot="1" x14ac:dyDescent="0.25">
      <c r="A19" s="1432" t="s">
        <v>1150</v>
      </c>
      <c r="B19" s="1711">
        <f>SUM(B4:B18)</f>
        <v>16798525</v>
      </c>
      <c r="C19" s="1711">
        <f>SUM(C4:C18)</f>
        <v>0</v>
      </c>
      <c r="D19" s="1711">
        <f>SUM(D4:D18)</f>
        <v>16798525</v>
      </c>
      <c r="E19" s="1711">
        <f>SUM(E4:E18)</f>
        <v>17111696</v>
      </c>
      <c r="F19" s="1711">
        <f>SUM(F4:F18)</f>
        <v>17111696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3" colorId="8" zoomScaleNormal="100" workbookViewId="0">
      <selection activeCell="N34" sqref="N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2"/>
      <c r="C1" s="585"/>
    </row>
    <row r="2" spans="1:7" ht="33.75" x14ac:dyDescent="0.2">
      <c r="A2" s="2299" t="s">
        <v>1776</v>
      </c>
      <c r="B2" s="2300"/>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1" t="s">
        <v>1103</v>
      </c>
      <c r="B3" s="2302"/>
      <c r="C3" s="2295"/>
      <c r="D3" s="2296"/>
      <c r="E3" s="2296"/>
      <c r="F3" s="2297"/>
    </row>
    <row r="4" spans="1:7" ht="12.75" customHeight="1" thickBot="1" x14ac:dyDescent="0.25">
      <c r="A4" s="2289" t="s">
        <v>626</v>
      </c>
      <c r="B4" s="2290"/>
      <c r="C4" s="1647"/>
      <c r="D4" s="1647"/>
      <c r="E4" s="1647"/>
      <c r="F4" s="1717">
        <f>SUM(C4+D4)-E4</f>
        <v>0</v>
      </c>
    </row>
    <row r="5" spans="1:7" ht="15.75" customHeight="1" thickTop="1" x14ac:dyDescent="0.2">
      <c r="A5" s="2293" t="s">
        <v>1100</v>
      </c>
      <c r="B5" s="2288"/>
      <c r="C5" s="2282"/>
      <c r="D5" s="2283"/>
      <c r="E5" s="2283"/>
      <c r="F5" s="2284"/>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85" t="s">
        <v>627</v>
      </c>
      <c r="B15" s="2286"/>
      <c r="C15" s="1717">
        <f>SUM(C6:C14)</f>
        <v>0</v>
      </c>
      <c r="D15" s="1717">
        <f>SUM(D6:D14)</f>
        <v>0</v>
      </c>
      <c r="E15" s="1717">
        <f>SUM(E6:E14)</f>
        <v>0</v>
      </c>
      <c r="F15" s="1717">
        <f>SUM(F6:F14)</f>
        <v>0</v>
      </c>
      <c r="G15" s="473"/>
    </row>
    <row r="16" spans="1:7" s="197" customFormat="1" ht="15.75" customHeight="1" thickTop="1" x14ac:dyDescent="0.2">
      <c r="A16" s="2298" t="s">
        <v>1101</v>
      </c>
      <c r="B16" s="2288"/>
      <c r="C16" s="2282"/>
      <c r="D16" s="2283"/>
      <c r="E16" s="2283"/>
      <c r="F16" s="2284"/>
    </row>
    <row r="17" spans="1:11" ht="12.75" customHeight="1" thickBot="1" x14ac:dyDescent="0.25">
      <c r="A17" s="2280" t="s">
        <v>64</v>
      </c>
      <c r="B17" s="2281"/>
      <c r="C17" s="1718"/>
      <c r="D17" s="1654"/>
      <c r="E17" s="1718"/>
      <c r="F17" s="1717">
        <f>SUM(C17+D17)-E17</f>
        <v>0</v>
      </c>
    </row>
    <row r="18" spans="1:11" ht="12.75" customHeight="1" thickTop="1" thickBot="1" x14ac:dyDescent="0.25">
      <c r="A18" s="2280" t="s">
        <v>6</v>
      </c>
      <c r="B18" s="2281"/>
      <c r="C18" s="1718"/>
      <c r="D18" s="1654"/>
      <c r="E18" s="1718"/>
      <c r="F18" s="1717">
        <f>SUM(C18+D18)-E18</f>
        <v>0</v>
      </c>
    </row>
    <row r="19" spans="1:11" ht="12.75" customHeight="1" thickTop="1" thickBot="1" x14ac:dyDescent="0.25">
      <c r="A19" s="2280" t="s">
        <v>385</v>
      </c>
      <c r="B19" s="2281"/>
      <c r="C19" s="1718"/>
      <c r="D19" s="1654"/>
      <c r="E19" s="1718"/>
      <c r="F19" s="1717">
        <f>SUM(C19+D19)-E19</f>
        <v>0</v>
      </c>
    </row>
    <row r="20" spans="1:11" ht="12.75" customHeight="1" thickTop="1" thickBot="1" x14ac:dyDescent="0.25">
      <c r="A20" s="2280" t="s">
        <v>445</v>
      </c>
      <c r="B20" s="2281"/>
      <c r="C20" s="1718"/>
      <c r="D20" s="1654"/>
      <c r="E20" s="1718"/>
      <c r="F20" s="1717">
        <f>SUM(C20+D20)-E20</f>
        <v>0</v>
      </c>
    </row>
    <row r="21" spans="1:11" ht="14.25" thickTop="1" thickBot="1" x14ac:dyDescent="0.25">
      <c r="A21" s="2285" t="s">
        <v>628</v>
      </c>
      <c r="B21" s="2286"/>
      <c r="C21" s="1717">
        <f>SUM(C17:C20)</f>
        <v>0</v>
      </c>
      <c r="D21" s="1717">
        <f>SUM(D17:D20)</f>
        <v>0</v>
      </c>
      <c r="E21" s="1717">
        <f>SUM(E17:E20)</f>
        <v>0</v>
      </c>
      <c r="F21" s="1717">
        <f>SUM(F17:F20)</f>
        <v>0</v>
      </c>
      <c r="G21" s="473"/>
    </row>
    <row r="22" spans="1:11" ht="15.75" customHeight="1" thickTop="1" x14ac:dyDescent="0.2">
      <c r="A22" s="2287" t="s">
        <v>1102</v>
      </c>
      <c r="B22" s="2288"/>
      <c r="C22" s="2282"/>
      <c r="D22" s="2283"/>
      <c r="E22" s="2283"/>
      <c r="F22" s="2284"/>
    </row>
    <row r="23" spans="1:11" ht="13.5" thickBot="1" x14ac:dyDescent="0.25">
      <c r="A23" s="2289" t="s">
        <v>629</v>
      </c>
      <c r="B23" s="2290"/>
      <c r="C23" s="1647"/>
      <c r="D23" s="1647"/>
      <c r="E23" s="1647"/>
      <c r="F23" s="1717">
        <f>SUM(C23+D23)-E23</f>
        <v>0</v>
      </c>
      <c r="G23" s="473"/>
    </row>
    <row r="24" spans="1:11" ht="15.75" customHeight="1" thickTop="1" x14ac:dyDescent="0.2">
      <c r="A24" s="2287" t="s">
        <v>2003</v>
      </c>
      <c r="B24" s="2288"/>
      <c r="C24" s="2282"/>
      <c r="D24" s="2283"/>
      <c r="E24" s="2283"/>
      <c r="F24" s="2284"/>
    </row>
    <row r="25" spans="1:11" ht="13.5" thickBot="1" x14ac:dyDescent="0.25">
      <c r="A25" s="2289" t="s">
        <v>2004</v>
      </c>
      <c r="B25" s="2290"/>
      <c r="C25" s="1647"/>
      <c r="D25" s="1647"/>
      <c r="E25" s="1647"/>
      <c r="F25" s="1717">
        <f>SUM(C25+D25)-E25</f>
        <v>0</v>
      </c>
      <c r="G25" s="473"/>
    </row>
    <row r="26" spans="1:11" ht="15.75" customHeight="1" thickTop="1" x14ac:dyDescent="0.2">
      <c r="A26" s="2293" t="s">
        <v>652</v>
      </c>
      <c r="B26" s="2288"/>
      <c r="C26" s="589"/>
      <c r="D26" s="589"/>
      <c r="E26" s="589"/>
      <c r="F26" s="590"/>
    </row>
    <row r="27" spans="1:11" ht="13.5" thickBot="1" x14ac:dyDescent="0.25">
      <c r="A27" s="2285" t="s">
        <v>1060</v>
      </c>
      <c r="B27" s="2286"/>
      <c r="C27" s="1654"/>
      <c r="D27" s="1654"/>
      <c r="E27" s="1654"/>
      <c r="F27" s="1717">
        <f>SUM(C27+D27)-E27</f>
        <v>0</v>
      </c>
      <c r="G27" s="473"/>
    </row>
    <row r="28" spans="1:11" ht="7.5" customHeight="1" thickTop="1" x14ac:dyDescent="0.2">
      <c r="A28" s="489"/>
    </row>
    <row r="29" spans="1:11" ht="23.25" customHeight="1" x14ac:dyDescent="0.2">
      <c r="A29" s="2291" t="s">
        <v>578</v>
      </c>
      <c r="B29" s="2292"/>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2036</v>
      </c>
      <c r="B31" s="595">
        <v>41122</v>
      </c>
      <c r="C31" s="1719">
        <v>10000000</v>
      </c>
      <c r="D31" s="1720">
        <v>6</v>
      </c>
      <c r="E31" s="1719">
        <v>7855000</v>
      </c>
      <c r="F31" s="1719"/>
      <c r="G31" s="1719"/>
      <c r="H31" s="1719">
        <v>480000</v>
      </c>
      <c r="I31" s="1721">
        <f>((E31+F31)-H31)+G31</f>
        <v>7375000</v>
      </c>
      <c r="J31" s="1719">
        <v>7353191</v>
      </c>
      <c r="K31" s="596"/>
    </row>
    <row r="32" spans="1:11" ht="12" customHeight="1" x14ac:dyDescent="0.2">
      <c r="A32" s="594" t="s">
        <v>2037</v>
      </c>
      <c r="B32" s="595">
        <v>41275</v>
      </c>
      <c r="C32" s="1719">
        <v>6700000</v>
      </c>
      <c r="D32" s="1720">
        <v>6</v>
      </c>
      <c r="E32" s="1719">
        <v>5230000</v>
      </c>
      <c r="F32" s="1719"/>
      <c r="G32" s="1719"/>
      <c r="H32" s="1719">
        <v>340000</v>
      </c>
      <c r="I32" s="1721">
        <f>((E32+F32)-H32)+G32</f>
        <v>4890000</v>
      </c>
      <c r="J32" s="1719">
        <v>4890000</v>
      </c>
      <c r="K32" s="596"/>
    </row>
    <row r="33" spans="1:11" ht="12" customHeight="1" x14ac:dyDescent="0.2">
      <c r="A33" s="594" t="s">
        <v>2038</v>
      </c>
      <c r="B33" s="595">
        <v>42411</v>
      </c>
      <c r="C33" s="1719">
        <v>2925000</v>
      </c>
      <c r="D33" s="1720">
        <v>1</v>
      </c>
      <c r="E33" s="1719">
        <v>914000</v>
      </c>
      <c r="F33" s="1719"/>
      <c r="G33" s="1719"/>
      <c r="H33" s="1719">
        <v>914000</v>
      </c>
      <c r="I33" s="1721">
        <f t="shared" ref="I33:I48" si="1">((E33+F33)-H33)+G33</f>
        <v>0</v>
      </c>
      <c r="J33" s="1719"/>
      <c r="K33" s="596"/>
    </row>
    <row r="34" spans="1:11" ht="12" customHeight="1" x14ac:dyDescent="0.2">
      <c r="A34" s="594" t="s">
        <v>2039</v>
      </c>
      <c r="B34" s="595">
        <v>42880</v>
      </c>
      <c r="C34" s="1719">
        <v>640698</v>
      </c>
      <c r="D34" s="1720">
        <v>7</v>
      </c>
      <c r="E34" s="1719">
        <v>161041</v>
      </c>
      <c r="F34" s="1719"/>
      <c r="G34" s="1719"/>
      <c r="H34" s="1719">
        <v>161041</v>
      </c>
      <c r="I34" s="1721">
        <f t="shared" si="1"/>
        <v>0</v>
      </c>
      <c r="J34" s="1719"/>
      <c r="K34" s="597"/>
    </row>
    <row r="35" spans="1:11" ht="12" customHeight="1" x14ac:dyDescent="0.2">
      <c r="A35" s="594" t="s">
        <v>2040</v>
      </c>
      <c r="B35" s="595">
        <v>42919</v>
      </c>
      <c r="C35" s="1722">
        <v>54351</v>
      </c>
      <c r="D35" s="1720">
        <v>7</v>
      </c>
      <c r="E35" s="1722">
        <v>34889</v>
      </c>
      <c r="F35" s="1722"/>
      <c r="G35" s="1722"/>
      <c r="H35" s="1722">
        <v>10811</v>
      </c>
      <c r="I35" s="1721">
        <f t="shared" si="1"/>
        <v>24078</v>
      </c>
      <c r="J35" s="1722">
        <v>24078</v>
      </c>
      <c r="K35" s="597"/>
    </row>
    <row r="36" spans="1:11" ht="12" customHeight="1" x14ac:dyDescent="0.2">
      <c r="A36" s="594" t="s">
        <v>2041</v>
      </c>
      <c r="B36" s="595">
        <v>43235</v>
      </c>
      <c r="C36" s="1719">
        <v>24288</v>
      </c>
      <c r="D36" s="1720">
        <v>7</v>
      </c>
      <c r="E36" s="1719">
        <v>7642</v>
      </c>
      <c r="F36" s="1719"/>
      <c r="G36" s="1719"/>
      <c r="H36" s="1719">
        <v>7642</v>
      </c>
      <c r="I36" s="1721">
        <f t="shared" si="1"/>
        <v>0</v>
      </c>
      <c r="J36" s="1719"/>
      <c r="K36" s="598"/>
    </row>
    <row r="37" spans="1:11" ht="12" customHeight="1" x14ac:dyDescent="0.2">
      <c r="A37" s="594" t="s">
        <v>2078</v>
      </c>
      <c r="B37" s="595">
        <v>43867</v>
      </c>
      <c r="C37" s="1574">
        <v>3000000</v>
      </c>
      <c r="D37" s="1723">
        <v>1</v>
      </c>
      <c r="E37" s="1574"/>
      <c r="F37" s="1574">
        <v>3000000</v>
      </c>
      <c r="G37" s="1574"/>
      <c r="H37" s="1574"/>
      <c r="I37" s="1721">
        <f t="shared" si="1"/>
        <v>3000000</v>
      </c>
      <c r="J37" s="1574">
        <v>3000000</v>
      </c>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23344337</v>
      </c>
      <c r="D49" s="1727"/>
      <c r="E49" s="1721">
        <f t="shared" ref="E49:J49" si="2">SUM(E31:E48)</f>
        <v>14202572</v>
      </c>
      <c r="F49" s="1721">
        <f t="shared" si="2"/>
        <v>3000000</v>
      </c>
      <c r="G49" s="1721">
        <f t="shared" si="2"/>
        <v>0</v>
      </c>
      <c r="H49" s="1721">
        <f t="shared" si="2"/>
        <v>1913494</v>
      </c>
      <c r="I49" s="1721">
        <f t="shared" si="2"/>
        <v>15289078</v>
      </c>
      <c r="J49" s="1721">
        <f t="shared" si="2"/>
        <v>15267269</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74" t="s">
        <v>580</v>
      </c>
      <c r="C52" s="2275"/>
      <c r="D52" s="2275"/>
      <c r="E52" s="603" t="s">
        <v>839</v>
      </c>
      <c r="F52" s="2276" t="s">
        <v>2035</v>
      </c>
      <c r="G52" s="2277"/>
      <c r="H52" s="596"/>
      <c r="I52" s="596"/>
      <c r="J52" s="600"/>
    </row>
    <row r="53" spans="1:11" ht="11.25" customHeight="1" x14ac:dyDescent="0.2">
      <c r="A53" s="604" t="s">
        <v>906</v>
      </c>
      <c r="B53" s="605" t="s">
        <v>944</v>
      </c>
      <c r="C53" s="600"/>
      <c r="D53" s="597"/>
      <c r="E53" s="603" t="s">
        <v>494</v>
      </c>
      <c r="F53" s="2278"/>
      <c r="G53" s="2279"/>
      <c r="H53" s="596"/>
      <c r="I53" s="596"/>
      <c r="J53" s="600"/>
    </row>
    <row r="54" spans="1:11" ht="11.25" customHeight="1" x14ac:dyDescent="0.2">
      <c r="A54" s="606" t="s">
        <v>907</v>
      </c>
      <c r="B54" s="601" t="s">
        <v>945</v>
      </c>
      <c r="C54" s="600"/>
      <c r="D54" s="597"/>
      <c r="E54" s="603" t="s">
        <v>495</v>
      </c>
      <c r="F54" s="2278"/>
      <c r="G54" s="227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Normal="100" workbookViewId="0">
      <selection activeCell="N34" sqref="N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3" t="s">
        <v>850</v>
      </c>
      <c r="B1" s="2304"/>
      <c r="C1" s="2304"/>
      <c r="D1" s="2304"/>
      <c r="E1" s="2304"/>
      <c r="F1" s="2304"/>
      <c r="G1" s="2305"/>
      <c r="H1" s="1298"/>
      <c r="I1" s="614"/>
      <c r="J1" s="400"/>
    </row>
    <row r="2" spans="1:11" ht="26.25" x14ac:dyDescent="0.2">
      <c r="A2" s="2322" t="s">
        <v>1655</v>
      </c>
      <c r="B2" s="2323"/>
      <c r="C2" s="2323"/>
      <c r="D2" s="2323"/>
      <c r="E2" s="2324"/>
      <c r="F2" s="615" t="s">
        <v>897</v>
      </c>
      <c r="G2" s="616" t="s">
        <v>1652</v>
      </c>
      <c r="H2" s="616" t="s">
        <v>407</v>
      </c>
      <c r="I2" s="616" t="s">
        <v>1147</v>
      </c>
      <c r="J2" s="616" t="s">
        <v>1786</v>
      </c>
      <c r="K2" s="616" t="s">
        <v>137</v>
      </c>
    </row>
    <row r="3" spans="1:11" x14ac:dyDescent="0.2">
      <c r="A3" s="2325" t="str">
        <f>"Cash Basis Fund Balance as of July 1, "&amp;'AFR20'!E2-1</f>
        <v>Cash Basis Fund Balance as of July 1, 2019</v>
      </c>
      <c r="B3" s="2326"/>
      <c r="C3" s="2326"/>
      <c r="D3" s="2326"/>
      <c r="E3" s="2327"/>
      <c r="F3" s="617"/>
      <c r="G3" s="1729"/>
      <c r="H3" s="1729"/>
      <c r="I3" s="1729"/>
      <c r="J3" s="1730">
        <v>908</v>
      </c>
      <c r="K3" s="1730"/>
    </row>
    <row r="4" spans="1:11" x14ac:dyDescent="0.2">
      <c r="A4" s="2328" t="s">
        <v>366</v>
      </c>
      <c r="B4" s="2329"/>
      <c r="C4" s="2329"/>
      <c r="D4" s="2329"/>
      <c r="E4" s="2275"/>
      <c r="F4" s="620"/>
      <c r="G4" s="1731"/>
      <c r="H4" s="1732"/>
      <c r="I4" s="1731"/>
      <c r="J4" s="1733"/>
      <c r="K4" s="1733"/>
    </row>
    <row r="5" spans="1:11" x14ac:dyDescent="0.2">
      <c r="A5" s="2306" t="s">
        <v>1059</v>
      </c>
      <c r="B5" s="2307"/>
      <c r="C5" s="2307"/>
      <c r="D5" s="2307"/>
      <c r="E5" s="2308"/>
      <c r="F5" s="622" t="s">
        <v>842</v>
      </c>
      <c r="G5" s="1734"/>
      <c r="H5" s="1729">
        <v>186766</v>
      </c>
      <c r="I5" s="1735"/>
      <c r="J5" s="1736"/>
      <c r="K5" s="1736"/>
    </row>
    <row r="6" spans="1:11" x14ac:dyDescent="0.2">
      <c r="A6" s="625" t="s">
        <v>714</v>
      </c>
      <c r="B6" s="626"/>
      <c r="C6" s="626"/>
      <c r="D6" s="626"/>
      <c r="E6" s="627"/>
      <c r="F6" s="628" t="s">
        <v>843</v>
      </c>
      <c r="G6" s="1729"/>
      <c r="H6" s="1729"/>
      <c r="I6" s="1729"/>
      <c r="J6" s="1730"/>
      <c r="K6" s="1730"/>
    </row>
    <row r="7" spans="1:11" x14ac:dyDescent="0.2">
      <c r="A7" s="629" t="s">
        <v>244</v>
      </c>
      <c r="B7" s="630"/>
      <c r="C7" s="630"/>
      <c r="D7" s="630"/>
      <c r="E7" s="631"/>
      <c r="F7" s="622" t="s">
        <v>844</v>
      </c>
      <c r="G7" s="1731"/>
      <c r="H7" s="1731"/>
      <c r="I7" s="1731"/>
      <c r="J7" s="1737"/>
      <c r="K7" s="1730">
        <v>9320</v>
      </c>
    </row>
    <row r="8" spans="1:11" x14ac:dyDescent="0.2">
      <c r="A8" s="629" t="s">
        <v>342</v>
      </c>
      <c r="B8" s="630"/>
      <c r="C8" s="630"/>
      <c r="D8" s="630"/>
      <c r="E8" s="631"/>
      <c r="F8" s="622" t="s">
        <v>845</v>
      </c>
      <c r="G8" s="1738"/>
      <c r="H8" s="1738"/>
      <c r="I8" s="1738"/>
      <c r="J8" s="1730"/>
      <c r="K8" s="1733"/>
    </row>
    <row r="9" spans="1:11" x14ac:dyDescent="0.2">
      <c r="A9" s="629" t="s">
        <v>137</v>
      </c>
      <c r="B9" s="630"/>
      <c r="C9" s="630"/>
      <c r="D9" s="630"/>
      <c r="E9" s="631"/>
      <c r="F9" s="628" t="s">
        <v>847</v>
      </c>
      <c r="G9" s="1738"/>
      <c r="H9" s="1734"/>
      <c r="I9" s="1734"/>
      <c r="J9" s="1737"/>
      <c r="K9" s="1730">
        <v>17244</v>
      </c>
    </row>
    <row r="10" spans="1:11" x14ac:dyDescent="0.2">
      <c r="A10" s="2306" t="s">
        <v>1787</v>
      </c>
      <c r="B10" s="2307"/>
      <c r="C10" s="2307"/>
      <c r="D10" s="2307"/>
      <c r="E10" s="2309"/>
      <c r="F10" s="633" t="s">
        <v>856</v>
      </c>
      <c r="G10" s="1738"/>
      <c r="H10" s="1739"/>
      <c r="I10" s="1729"/>
      <c r="J10" s="1730"/>
      <c r="K10" s="1730"/>
    </row>
    <row r="11" spans="1:11" x14ac:dyDescent="0.2">
      <c r="A11" s="2306" t="s">
        <v>159</v>
      </c>
      <c r="B11" s="2307"/>
      <c r="C11" s="2307"/>
      <c r="D11" s="2307"/>
      <c r="E11" s="2308"/>
      <c r="F11" s="622" t="s">
        <v>846</v>
      </c>
      <c r="G11" s="1734"/>
      <c r="H11" s="1729"/>
      <c r="I11" s="1729"/>
      <c r="J11" s="1730"/>
      <c r="K11" s="1736"/>
    </row>
    <row r="12" spans="1:11" ht="13.5" thickBot="1" x14ac:dyDescent="0.25">
      <c r="A12" s="2333" t="s">
        <v>898</v>
      </c>
      <c r="B12" s="2334"/>
      <c r="C12" s="2334"/>
      <c r="D12" s="2334"/>
      <c r="E12" s="2335"/>
      <c r="F12" s="1433"/>
      <c r="G12" s="1740">
        <f>SUM(G5:G11)</f>
        <v>0</v>
      </c>
      <c r="H12" s="1740">
        <f>SUM(H5:H11)</f>
        <v>186766</v>
      </c>
      <c r="I12" s="1740">
        <f>SUM(I5:I11)</f>
        <v>0</v>
      </c>
      <c r="J12" s="1740">
        <f>SUM(J5:J11)</f>
        <v>0</v>
      </c>
      <c r="K12" s="1740">
        <f>SUM(K5:K11)</f>
        <v>26564</v>
      </c>
    </row>
    <row r="13" spans="1:11" ht="13.5" thickTop="1" x14ac:dyDescent="0.2">
      <c r="A13" s="2330" t="s">
        <v>367</v>
      </c>
      <c r="B13" s="2331"/>
      <c r="C13" s="2331"/>
      <c r="D13" s="2331"/>
      <c r="E13" s="2332"/>
      <c r="F13" s="634"/>
      <c r="G13" s="1741"/>
      <c r="H13" s="1742"/>
      <c r="I13" s="1743"/>
      <c r="J13" s="1743"/>
      <c r="K13" s="1743"/>
    </row>
    <row r="14" spans="1:11" x14ac:dyDescent="0.2">
      <c r="A14" s="2313" t="s">
        <v>453</v>
      </c>
      <c r="B14" s="2313"/>
      <c r="C14" s="2313"/>
      <c r="D14" s="2313"/>
      <c r="E14" s="2314"/>
      <c r="F14" s="635" t="s">
        <v>848</v>
      </c>
      <c r="G14" s="1738"/>
      <c r="H14" s="1729">
        <v>186766</v>
      </c>
      <c r="I14" s="1734"/>
      <c r="J14" s="1736"/>
      <c r="K14" s="1730">
        <v>26564</v>
      </c>
    </row>
    <row r="15" spans="1:11" x14ac:dyDescent="0.2">
      <c r="A15" s="2307" t="s">
        <v>4</v>
      </c>
      <c r="B15" s="2307"/>
      <c r="C15" s="2307"/>
      <c r="D15" s="2307"/>
      <c r="E15" s="2308"/>
      <c r="F15" s="635" t="s">
        <v>849</v>
      </c>
      <c r="G15" s="1734"/>
      <c r="H15" s="1729"/>
      <c r="I15" s="1729"/>
      <c r="J15" s="1730"/>
      <c r="K15" s="1730"/>
    </row>
    <row r="16" spans="1:11" x14ac:dyDescent="0.2">
      <c r="A16" s="2307" t="s">
        <v>295</v>
      </c>
      <c r="B16" s="2307"/>
      <c r="C16" s="2307"/>
      <c r="D16" s="2307"/>
      <c r="E16" s="2308"/>
      <c r="F16" s="635" t="s">
        <v>916</v>
      </c>
      <c r="G16" s="1735"/>
      <c r="H16" s="1731"/>
      <c r="I16" s="1731"/>
      <c r="J16" s="1733"/>
      <c r="K16" s="1733"/>
    </row>
    <row r="17" spans="1:15" x14ac:dyDescent="0.2">
      <c r="A17" s="2340" t="s">
        <v>928</v>
      </c>
      <c r="B17" s="2340"/>
      <c r="C17" s="2340"/>
      <c r="D17" s="2340"/>
      <c r="E17" s="2341"/>
      <c r="F17" s="636"/>
      <c r="G17" s="1744"/>
      <c r="H17" s="1745"/>
      <c r="I17" s="1745"/>
      <c r="J17" s="1746"/>
      <c r="K17" s="1747"/>
    </row>
    <row r="18" spans="1:15" x14ac:dyDescent="0.2">
      <c r="A18" s="2317" t="s">
        <v>365</v>
      </c>
      <c r="B18" s="2318"/>
      <c r="C18" s="2318"/>
      <c r="D18" s="2318"/>
      <c r="E18" s="2319"/>
      <c r="F18" s="635" t="s">
        <v>925</v>
      </c>
      <c r="G18" s="1738"/>
      <c r="H18" s="1738"/>
      <c r="I18" s="1738"/>
      <c r="J18" s="1730"/>
      <c r="K18" s="1748"/>
    </row>
    <row r="19" spans="1:15" ht="21.75" customHeight="1" x14ac:dyDescent="0.2">
      <c r="A19" s="2315" t="s">
        <v>1783</v>
      </c>
      <c r="B19" s="2315"/>
      <c r="C19" s="2315"/>
      <c r="D19" s="2315"/>
      <c r="E19" s="2316"/>
      <c r="F19" s="635" t="s">
        <v>926</v>
      </c>
      <c r="G19" s="1738"/>
      <c r="H19" s="1738"/>
      <c r="I19" s="1738"/>
      <c r="J19" s="1730"/>
      <c r="K19" s="1748"/>
    </row>
    <row r="20" spans="1:15" x14ac:dyDescent="0.2">
      <c r="A20" s="2317" t="s">
        <v>1788</v>
      </c>
      <c r="B20" s="2318"/>
      <c r="C20" s="2318"/>
      <c r="D20" s="2318"/>
      <c r="E20" s="2319"/>
      <c r="F20" s="635" t="s">
        <v>927</v>
      </c>
      <c r="G20" s="1738"/>
      <c r="H20" s="1738"/>
      <c r="I20" s="1738"/>
      <c r="J20" s="1730"/>
      <c r="K20" s="1748"/>
    </row>
    <row r="21" spans="1:15" ht="13.5" thickBot="1" x14ac:dyDescent="0.25">
      <c r="A21" s="2336" t="s">
        <v>633</v>
      </c>
      <c r="B21" s="2336"/>
      <c r="C21" s="2336"/>
      <c r="D21" s="2336"/>
      <c r="E21" s="2336"/>
      <c r="F21" s="1434"/>
      <c r="G21" s="1745"/>
      <c r="H21" s="1749"/>
      <c r="I21" s="1749"/>
      <c r="J21" s="1750">
        <f>SUM(J18:J20)</f>
        <v>0</v>
      </c>
      <c r="K21" s="1746"/>
    </row>
    <row r="22" spans="1:15" ht="13.5" thickTop="1" x14ac:dyDescent="0.2">
      <c r="A22" s="2307" t="s">
        <v>1789</v>
      </c>
      <c r="B22" s="2307"/>
      <c r="C22" s="2307"/>
      <c r="D22" s="2307"/>
      <c r="E22" s="2308"/>
      <c r="F22" s="635" t="s">
        <v>856</v>
      </c>
      <c r="G22" s="1738"/>
      <c r="H22" s="1729"/>
      <c r="I22" s="1729"/>
      <c r="J22" s="1751"/>
      <c r="K22" s="1730"/>
    </row>
    <row r="23" spans="1:15" ht="13.5" thickBot="1" x14ac:dyDescent="0.25">
      <c r="A23" s="2337" t="s">
        <v>899</v>
      </c>
      <c r="B23" s="2336"/>
      <c r="C23" s="2336"/>
      <c r="D23" s="2336"/>
      <c r="E23" s="2336"/>
      <c r="F23" s="1436"/>
      <c r="G23" s="1740">
        <f>SUM(G14:G16,G21,G22)</f>
        <v>0</v>
      </c>
      <c r="H23" s="1740">
        <f>SUM(H14:H16,H21,H22)</f>
        <v>186766</v>
      </c>
      <c r="I23" s="1740">
        <f>SUM(I14:I16,I21,I22)</f>
        <v>0</v>
      </c>
      <c r="J23" s="1740">
        <f>SUM(J14:J16,J21,J22)</f>
        <v>0</v>
      </c>
      <c r="K23" s="1740">
        <f>SUM(K14:K16,K21,K22)</f>
        <v>26564</v>
      </c>
      <c r="M23" s="1831"/>
      <c r="N23" s="1831"/>
      <c r="O23" s="1831"/>
    </row>
    <row r="24" spans="1:15" ht="14.25" thickTop="1" thickBot="1" x14ac:dyDescent="0.25">
      <c r="A24" s="2338" t="str">
        <f>"Ending Cash Basis Fund Balance as of June 30, "&amp;'AFR20'!E2</f>
        <v>Ending Cash Basis Fund Balance as of June 30, 2020</v>
      </c>
      <c r="B24" s="2339"/>
      <c r="C24" s="2339"/>
      <c r="D24" s="2339"/>
      <c r="E24" s="2339"/>
      <c r="F24" s="1437"/>
      <c r="G24" s="1752">
        <f>SUM(G3,G12)-G23</f>
        <v>0</v>
      </c>
      <c r="H24" s="1752">
        <f>SUM(H3,H12)-H23</f>
        <v>0</v>
      </c>
      <c r="I24" s="1752">
        <f>SUM(I3,I12)-I23</f>
        <v>0</v>
      </c>
      <c r="J24" s="1752">
        <f>SUM(J3,J12)-J23</f>
        <v>908</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v>908</v>
      </c>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10"/>
      <c r="I31" s="2311"/>
      <c r="J31" s="2311"/>
      <c r="K31" s="2311"/>
    </row>
    <row r="32" spans="1:15" x14ac:dyDescent="0.2">
      <c r="A32" s="649"/>
      <c r="B32" s="232"/>
      <c r="C32" s="232"/>
      <c r="D32" s="232"/>
      <c r="E32" s="645"/>
      <c r="F32" s="651" t="s">
        <v>537</v>
      </c>
      <c r="G32" s="618"/>
      <c r="H32" s="2312"/>
      <c r="I32" s="2311"/>
      <c r="J32" s="2311"/>
      <c r="K32" s="2311"/>
    </row>
    <row r="33" spans="1:11" ht="1.5" customHeight="1" x14ac:dyDescent="0.2">
      <c r="A33" s="652" t="s">
        <v>1158</v>
      </c>
      <c r="B33" s="341"/>
      <c r="C33" s="341"/>
      <c r="D33" s="341"/>
      <c r="E33" s="341"/>
      <c r="F33" s="341"/>
      <c r="G33" s="653"/>
      <c r="H33" s="2312"/>
      <c r="I33" s="2311"/>
      <c r="J33" s="2311"/>
      <c r="K33" s="2311"/>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7" t="s">
        <v>538</v>
      </c>
      <c r="B41" s="2320"/>
      <c r="C41" s="2320"/>
      <c r="D41" s="2320"/>
      <c r="E41" s="2320"/>
      <c r="F41" s="232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N34" sqref="N3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4" t="s">
        <v>1872</v>
      </c>
      <c r="B1" s="2345"/>
      <c r="C1" s="2346"/>
      <c r="D1" s="666"/>
      <c r="E1" s="667"/>
      <c r="F1" s="667"/>
      <c r="G1" s="668"/>
      <c r="H1" s="669"/>
      <c r="I1" s="670"/>
      <c r="J1" s="2342"/>
      <c r="K1" s="2343"/>
      <c r="L1" s="2343"/>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536629</v>
      </c>
      <c r="D5" s="1755"/>
      <c r="E5" s="1755"/>
      <c r="F5" s="1750">
        <f>(C5+D5)-E5</f>
        <v>536629</v>
      </c>
      <c r="G5" s="676"/>
      <c r="H5" s="680"/>
      <c r="I5" s="680"/>
      <c r="J5" s="680"/>
      <c r="K5" s="637"/>
      <c r="L5" s="1442">
        <f>F5-K5</f>
        <v>536629</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55550192</v>
      </c>
      <c r="D8" s="1756">
        <v>67835</v>
      </c>
      <c r="E8" s="1756"/>
      <c r="F8" s="1750">
        <f>(C8+D8)-E8</f>
        <v>55618027</v>
      </c>
      <c r="G8" s="681">
        <v>50</v>
      </c>
      <c r="H8" s="619">
        <v>19026229</v>
      </c>
      <c r="I8" s="619">
        <v>1006491</v>
      </c>
      <c r="J8" s="619"/>
      <c r="K8" s="1442">
        <f>(H8+I8)-J8</f>
        <v>20032720</v>
      </c>
      <c r="L8" s="1442">
        <f>F8-K8</f>
        <v>35585307</v>
      </c>
    </row>
    <row r="9" spans="1:14" ht="14.25" thickTop="1" thickBot="1" x14ac:dyDescent="0.25">
      <c r="A9" s="629" t="s">
        <v>1108</v>
      </c>
      <c r="B9" s="679">
        <v>232</v>
      </c>
      <c r="C9" s="1730">
        <v>3635</v>
      </c>
      <c r="D9" s="1730"/>
      <c r="E9" s="1730"/>
      <c r="F9" s="1750">
        <f>(C9+D9)-E9</f>
        <v>3635</v>
      </c>
      <c r="G9" s="681">
        <v>20</v>
      </c>
      <c r="H9" s="619">
        <v>728</v>
      </c>
      <c r="I9" s="619">
        <v>182</v>
      </c>
      <c r="J9" s="619"/>
      <c r="K9" s="1442">
        <f>(H9+I9)-J9</f>
        <v>910</v>
      </c>
      <c r="L9" s="1442">
        <f>F9-K9</f>
        <v>2725</v>
      </c>
    </row>
    <row r="10" spans="1:14" ht="24" thickTop="1" thickBot="1" x14ac:dyDescent="0.25">
      <c r="A10" s="682" t="s">
        <v>1109</v>
      </c>
      <c r="B10" s="679">
        <v>240</v>
      </c>
      <c r="C10" s="1757">
        <v>3302203</v>
      </c>
      <c r="D10" s="1757"/>
      <c r="E10" s="1757"/>
      <c r="F10" s="1758">
        <f>(C10+D10)-E10</f>
        <v>3302203</v>
      </c>
      <c r="G10" s="681">
        <v>20</v>
      </c>
      <c r="H10" s="683">
        <v>2097620</v>
      </c>
      <c r="I10" s="683">
        <v>100068</v>
      </c>
      <c r="J10" s="683"/>
      <c r="K10" s="1442">
        <f>(H10+I10)-J10</f>
        <v>2197688</v>
      </c>
      <c r="L10" s="1442">
        <f>F10-K10</f>
        <v>1104515</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5300267</v>
      </c>
      <c r="D12" s="1756">
        <v>334282</v>
      </c>
      <c r="E12" s="1756">
        <v>450105</v>
      </c>
      <c r="F12" s="1750">
        <f>(C12+D12)-E12</f>
        <v>5184444</v>
      </c>
      <c r="G12" s="681">
        <v>10</v>
      </c>
      <c r="H12" s="619">
        <v>2853741</v>
      </c>
      <c r="I12" s="619">
        <v>518355</v>
      </c>
      <c r="J12" s="619">
        <v>450105</v>
      </c>
      <c r="K12" s="1442">
        <f>(H12+I12)-J12</f>
        <v>2921991</v>
      </c>
      <c r="L12" s="1442">
        <f>F12-K12</f>
        <v>2262453</v>
      </c>
    </row>
    <row r="13" spans="1:14" ht="14.25" thickTop="1" thickBot="1" x14ac:dyDescent="0.25">
      <c r="A13" s="684" t="s">
        <v>1111</v>
      </c>
      <c r="B13" s="679">
        <v>252</v>
      </c>
      <c r="C13" s="1756">
        <v>1489300</v>
      </c>
      <c r="D13" s="1756">
        <v>534600</v>
      </c>
      <c r="E13" s="1756">
        <v>166357</v>
      </c>
      <c r="F13" s="1750">
        <f>(C13+D13)-E13</f>
        <v>1857543</v>
      </c>
      <c r="G13" s="681">
        <v>5</v>
      </c>
      <c r="H13" s="619">
        <v>1019595</v>
      </c>
      <c r="I13" s="619">
        <v>268519</v>
      </c>
      <c r="J13" s="619">
        <v>166357</v>
      </c>
      <c r="K13" s="1442">
        <f>(H13+I13)-J13</f>
        <v>1121757</v>
      </c>
      <c r="L13" s="1442">
        <f>F13-K13</f>
        <v>735786</v>
      </c>
    </row>
    <row r="14" spans="1:14" ht="14.25" thickTop="1" thickBot="1" x14ac:dyDescent="0.25">
      <c r="A14" s="684" t="s">
        <v>1112</v>
      </c>
      <c r="B14" s="679">
        <v>253</v>
      </c>
      <c r="C14" s="1730">
        <v>0</v>
      </c>
      <c r="D14" s="1730"/>
      <c r="E14" s="1730"/>
      <c r="F14" s="1750">
        <f>(C14+D14)-E14</f>
        <v>0</v>
      </c>
      <c r="G14" s="681">
        <v>3</v>
      </c>
      <c r="H14" s="619">
        <v>0</v>
      </c>
      <c r="I14" s="619"/>
      <c r="J14" s="619"/>
      <c r="K14" s="1442">
        <f>(H14+I14)-J14</f>
        <v>0</v>
      </c>
      <c r="L14" s="1442">
        <f>F14-K14</f>
        <v>0</v>
      </c>
    </row>
    <row r="15" spans="1:14" ht="15" customHeight="1" thickTop="1" thickBot="1" x14ac:dyDescent="0.25">
      <c r="A15" s="1366" t="s">
        <v>525</v>
      </c>
      <c r="B15" s="1365">
        <v>260</v>
      </c>
      <c r="C15" s="1756">
        <v>0</v>
      </c>
      <c r="D15" s="1756">
        <v>59085</v>
      </c>
      <c r="E15" s="1756"/>
      <c r="F15" s="1750">
        <f>(C15+D15)-E15</f>
        <v>59085</v>
      </c>
      <c r="G15" s="685" t="s">
        <v>856</v>
      </c>
      <c r="H15" s="632"/>
      <c r="I15" s="632"/>
      <c r="J15" s="632"/>
      <c r="K15" s="632"/>
      <c r="L15" s="1442">
        <f>F15-K15</f>
        <v>59085</v>
      </c>
    </row>
    <row r="16" spans="1:14" ht="15" customHeight="1" thickTop="1" thickBot="1" x14ac:dyDescent="0.25">
      <c r="A16" s="1438" t="s">
        <v>638</v>
      </c>
      <c r="B16" s="1439">
        <v>200</v>
      </c>
      <c r="C16" s="1750">
        <f>SUM(C3,C5:C6,C8:C10,C12:C15)</f>
        <v>66182226</v>
      </c>
      <c r="D16" s="1750">
        <f>SUM(D3,D5:D6,D8:D10,D12:D15)</f>
        <v>995802</v>
      </c>
      <c r="E16" s="1750">
        <f>SUM(E3,E5:E6,E8:E10,E12:E15)</f>
        <v>616462</v>
      </c>
      <c r="F16" s="1750">
        <f>SUM(F3,F5:F6,F8:F10,F12:F15)</f>
        <v>66561566</v>
      </c>
      <c r="G16" s="681"/>
      <c r="H16" s="1435">
        <f>SUM(H3,H6,H8:H10,H12:H14,)</f>
        <v>24997913</v>
      </c>
      <c r="I16" s="1435">
        <f>SUM(I3,I6,I8:I10,I12:I14,)</f>
        <v>1893615</v>
      </c>
      <c r="J16" s="1435">
        <f>SUM(J3,J6,J8:J10,J12:J14,)</f>
        <v>616462</v>
      </c>
      <c r="K16" s="1435">
        <f>(H16+I16)-J16</f>
        <v>26275066</v>
      </c>
      <c r="L16" s="1435">
        <f>F16-K16</f>
        <v>40286500</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1893615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3" activePane="bottomLeft" state="frozen"/>
      <selection activeCell="N34" sqref="N34"/>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0" t="str">
        <f>"ESTIMATED OPERATING EXPENSE PER PUPIL (OEPP)/PER CAPITA TUITION CHARGE (PCTC) COMPUTATIONS ("&amp;'AFR20'!E2-1&amp;" - "&amp;'AFR20'!E2&amp;")"</f>
        <v>ESTIMATED OPERATING EXPENSE PER PUPIL (OEPP)/PER CAPITA TUITION CHARGE (PCTC) COMPUTATIONS (2019 - 2020)</v>
      </c>
      <c r="B1" s="2351"/>
      <c r="C1" s="2351"/>
      <c r="D1" s="2351"/>
      <c r="E1" s="2351"/>
      <c r="F1" s="2352"/>
      <c r="G1" s="691"/>
      <c r="I1" s="701"/>
    </row>
    <row r="2" spans="1:9" ht="15" customHeight="1" thickBot="1" x14ac:dyDescent="0.25">
      <c r="A2" s="2353" t="s">
        <v>474</v>
      </c>
      <c r="B2" s="2354"/>
      <c r="C2" s="2354"/>
      <c r="D2" s="2354"/>
      <c r="E2" s="2354"/>
      <c r="F2" s="2355"/>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6"/>
      <c r="B5" s="2357"/>
      <c r="C5" s="2357"/>
      <c r="D5" s="2357"/>
      <c r="E5" s="2357"/>
      <c r="F5" s="2357"/>
    </row>
    <row r="6" spans="1:9" ht="13.5" customHeight="1" thickBot="1" x14ac:dyDescent="0.25">
      <c r="A6" s="2347" t="s">
        <v>1094</v>
      </c>
      <c r="B6" s="2348"/>
      <c r="C6" s="2348"/>
      <c r="D6" s="2348"/>
      <c r="E6" s="2348"/>
      <c r="F6" s="2349"/>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15914130</v>
      </c>
      <c r="G8" s="701"/>
    </row>
    <row r="9" spans="1:9" x14ac:dyDescent="0.2">
      <c r="A9" s="705" t="s">
        <v>457</v>
      </c>
      <c r="B9" s="706" t="s">
        <v>1845</v>
      </c>
      <c r="C9" s="707"/>
      <c r="D9" s="705" t="s">
        <v>498</v>
      </c>
      <c r="E9" s="704"/>
      <c r="F9" s="1760">
        <f>'Expenditures 15-22'!K151</f>
        <v>1527630</v>
      </c>
      <c r="G9" s="708"/>
    </row>
    <row r="10" spans="1:9" x14ac:dyDescent="0.2">
      <c r="A10" s="705" t="s">
        <v>496</v>
      </c>
      <c r="B10" s="706" t="s">
        <v>1846</v>
      </c>
      <c r="C10" s="707"/>
      <c r="D10" s="705" t="s">
        <v>498</v>
      </c>
      <c r="E10" s="704"/>
      <c r="F10" s="1760">
        <f>'Expenditures 15-22'!K174</f>
        <v>2350216</v>
      </c>
      <c r="G10" s="708"/>
    </row>
    <row r="11" spans="1:9" x14ac:dyDescent="0.2">
      <c r="A11" s="705" t="s">
        <v>458</v>
      </c>
      <c r="B11" s="706" t="s">
        <v>1847</v>
      </c>
      <c r="C11" s="707"/>
      <c r="D11" s="705" t="s">
        <v>498</v>
      </c>
      <c r="E11" s="704"/>
      <c r="F11" s="1760">
        <f>'Expenditures 15-22'!K210</f>
        <v>1420294</v>
      </c>
      <c r="G11" s="708"/>
    </row>
    <row r="12" spans="1:9" x14ac:dyDescent="0.2">
      <c r="A12" s="705" t="s">
        <v>459</v>
      </c>
      <c r="B12" s="706" t="s">
        <v>1848</v>
      </c>
      <c r="C12" s="707"/>
      <c r="D12" s="705" t="s">
        <v>498</v>
      </c>
      <c r="E12" s="704"/>
      <c r="F12" s="1760">
        <f>'Expenditures 15-22'!K295</f>
        <v>586951</v>
      </c>
      <c r="G12" s="708"/>
    </row>
    <row r="13" spans="1:9" x14ac:dyDescent="0.2">
      <c r="A13" s="705" t="s">
        <v>106</v>
      </c>
      <c r="B13" s="706" t="s">
        <v>1849</v>
      </c>
      <c r="C13" s="707"/>
      <c r="D13" s="705" t="s">
        <v>498</v>
      </c>
      <c r="E13" s="704"/>
      <c r="F13" s="1760">
        <f>'Expenditures 15-22'!K342</f>
        <v>772961</v>
      </c>
      <c r="G13" s="709"/>
    </row>
    <row r="14" spans="1:9" ht="12" customHeight="1" thickBot="1" x14ac:dyDescent="0.25">
      <c r="A14" s="1443"/>
      <c r="B14" s="1444"/>
      <c r="C14" s="1445"/>
      <c r="D14" s="1446" t="s">
        <v>498</v>
      </c>
      <c r="E14" s="1447" t="s">
        <v>951</v>
      </c>
      <c r="F14" s="1761">
        <f>SUM(F8:F13)</f>
        <v>22572182</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296267</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173440</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512</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413</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611893</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1015</v>
      </c>
      <c r="G52" s="701"/>
    </row>
    <row r="53" spans="1:7" x14ac:dyDescent="0.2">
      <c r="A53" s="705" t="s">
        <v>456</v>
      </c>
      <c r="B53" s="705" t="s">
        <v>1455</v>
      </c>
      <c r="C53" s="724">
        <f>'Expenditures 15-22'!B102</f>
        <v>4000</v>
      </c>
      <c r="D53" s="723" t="str">
        <f>'Expenditures 15-22'!A102</f>
        <v>Total Payments to Other Govt Units</v>
      </c>
      <c r="E53" s="704"/>
      <c r="F53" s="1767">
        <f>'Expenditures 15-22'!K102</f>
        <v>664409</v>
      </c>
      <c r="G53" s="701"/>
    </row>
    <row r="54" spans="1:7" x14ac:dyDescent="0.2">
      <c r="A54" s="705" t="s">
        <v>456</v>
      </c>
      <c r="B54" s="705" t="s">
        <v>1456</v>
      </c>
      <c r="C54" s="724" t="s">
        <v>974</v>
      </c>
      <c r="D54" s="720" t="s">
        <v>1085</v>
      </c>
      <c r="E54" s="704"/>
      <c r="F54" s="1767">
        <f>'Expenditures 15-22'!G114</f>
        <v>371673</v>
      </c>
      <c r="G54" s="701"/>
    </row>
    <row r="55" spans="1:7" x14ac:dyDescent="0.2">
      <c r="A55" s="705" t="s">
        <v>456</v>
      </c>
      <c r="B55" s="705" t="s">
        <v>1457</v>
      </c>
      <c r="C55" s="724" t="s">
        <v>974</v>
      </c>
      <c r="D55" s="720" t="s">
        <v>288</v>
      </c>
      <c r="E55" s="704"/>
      <c r="F55" s="1767">
        <f>'Expenditures 15-22'!I114</f>
        <v>0</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0</v>
      </c>
      <c r="G57" s="701"/>
    </row>
    <row r="58" spans="1:7" x14ac:dyDescent="0.2">
      <c r="A58" s="705" t="s">
        <v>457</v>
      </c>
      <c r="B58" s="705" t="s">
        <v>1851</v>
      </c>
      <c r="C58" s="721" t="s">
        <v>974</v>
      </c>
      <c r="D58" s="720" t="s">
        <v>1085</v>
      </c>
      <c r="E58" s="704"/>
      <c r="F58" s="1769">
        <f>'Expenditures 15-22'!G151</f>
        <v>25090</v>
      </c>
      <c r="G58" s="701"/>
    </row>
    <row r="59" spans="1:7" x14ac:dyDescent="0.2">
      <c r="A59" s="728" t="s">
        <v>457</v>
      </c>
      <c r="B59" s="692" t="s">
        <v>1852</v>
      </c>
      <c r="C59" s="729" t="s">
        <v>974</v>
      </c>
      <c r="D59" s="692" t="s">
        <v>288</v>
      </c>
      <c r="F59" s="1770">
        <f>'Expenditures 15-22'!I151</f>
        <v>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1905852</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1857</v>
      </c>
      <c r="C64" s="731" t="str">
        <f>'Expenditures 15-22'!B206</f>
        <v>5300</v>
      </c>
      <c r="D64" s="727" t="s">
        <v>308</v>
      </c>
      <c r="E64" s="704"/>
      <c r="F64" s="1767">
        <f>'Expenditures 15-22'!K206</f>
        <v>7642</v>
      </c>
      <c r="G64" s="701"/>
    </row>
    <row r="65" spans="1:9" x14ac:dyDescent="0.2">
      <c r="A65" s="705" t="s">
        <v>458</v>
      </c>
      <c r="B65" s="705" t="s">
        <v>1858</v>
      </c>
      <c r="C65" s="721" t="s">
        <v>974</v>
      </c>
      <c r="D65" s="720" t="s">
        <v>1085</v>
      </c>
      <c r="E65" s="704"/>
      <c r="F65" s="1767">
        <f>'Expenditures 15-22'!G210</f>
        <v>479814</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14453</v>
      </c>
      <c r="G67" s="701"/>
    </row>
    <row r="68" spans="1:9" x14ac:dyDescent="0.2">
      <c r="A68" s="705" t="s">
        <v>459</v>
      </c>
      <c r="B68" s="705" t="s">
        <v>1459</v>
      </c>
      <c r="C68" s="721" t="str">
        <f>'Expenditures 15-22'!B218</f>
        <v>1225</v>
      </c>
      <c r="D68" s="727" t="str">
        <f>'Expenditures 15-22'!A218</f>
        <v>Special Education Programs - Pre-K</v>
      </c>
      <c r="E68" s="704"/>
      <c r="F68" s="1767">
        <f>'Expenditures 15-22'!K218</f>
        <v>5716</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6</v>
      </c>
      <c r="G71" s="701"/>
    </row>
    <row r="72" spans="1:9" x14ac:dyDescent="0.2">
      <c r="A72" s="705" t="s">
        <v>459</v>
      </c>
      <c r="B72" s="705" t="s">
        <v>1864</v>
      </c>
      <c r="C72" s="721">
        <f>'Expenditures 15-22'!B280</f>
        <v>3000</v>
      </c>
      <c r="D72" s="712" t="s">
        <v>446</v>
      </c>
      <c r="E72" s="704"/>
      <c r="F72" s="1767">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0</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4558195</v>
      </c>
      <c r="G77" s="701"/>
    </row>
    <row r="78" spans="1:9" s="728" customFormat="1" ht="12" customHeight="1" thickTop="1" thickBot="1" x14ac:dyDescent="0.25">
      <c r="A78" s="1450"/>
      <c r="B78" s="1448"/>
      <c r="C78" s="1445"/>
      <c r="D78" s="1449" t="s">
        <v>2009</v>
      </c>
      <c r="E78" s="1447"/>
      <c r="F78" s="1773">
        <f>(F14-F77)</f>
        <v>18013987</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1604.3</v>
      </c>
      <c r="G79" s="733"/>
      <c r="H79" s="705"/>
      <c r="I79" s="705"/>
    </row>
    <row r="80" spans="1:9" s="728" customFormat="1" ht="12" customHeight="1" thickBot="1" x14ac:dyDescent="0.25">
      <c r="A80" s="1452"/>
      <c r="B80" s="1448"/>
      <c r="C80" s="1445"/>
      <c r="D80" s="1449" t="s">
        <v>2010</v>
      </c>
      <c r="E80" s="1447" t="s">
        <v>951</v>
      </c>
      <c r="F80" s="1775">
        <f>IF(F79&gt;0,F78/F79," Complete Line 79")</f>
        <v>11228.565106276881</v>
      </c>
      <c r="G80" s="705"/>
    </row>
    <row r="81" spans="1:7" s="728" customFormat="1" ht="8.25" customHeight="1" thickTop="1" x14ac:dyDescent="0.2">
      <c r="A81" s="734"/>
      <c r="B81" s="705"/>
      <c r="C81" s="707"/>
      <c r="D81" s="735"/>
      <c r="E81" s="704"/>
      <c r="F81" s="1776"/>
      <c r="G81" s="705"/>
    </row>
    <row r="82" spans="1:7" s="728" customFormat="1" ht="12" thickBot="1" x14ac:dyDescent="0.25">
      <c r="A82" s="2347" t="s">
        <v>1095</v>
      </c>
      <c r="B82" s="2348"/>
      <c r="C82" s="2348"/>
      <c r="D82" s="2348"/>
      <c r="E82" s="2348"/>
      <c r="F82" s="234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265689</v>
      </c>
      <c r="G95" s="745"/>
    </row>
    <row r="96" spans="1:7" x14ac:dyDescent="0.2">
      <c r="A96" s="741" t="s">
        <v>139</v>
      </c>
      <c r="B96" s="741" t="s">
        <v>174</v>
      </c>
      <c r="C96" s="743">
        <v>1700</v>
      </c>
      <c r="D96" s="751" t="str">
        <f>'Revenues 9-14'!A82</f>
        <v>Total District/School Activity Income</v>
      </c>
      <c r="E96" s="739"/>
      <c r="F96" s="1778">
        <f>SUM('Revenues 9-14'!C82,'Revenues 9-14'!D82)</f>
        <v>54537</v>
      </c>
      <c r="G96" s="745"/>
    </row>
    <row r="97" spans="1:7" x14ac:dyDescent="0.2">
      <c r="A97" s="741" t="s">
        <v>456</v>
      </c>
      <c r="B97" s="741" t="s">
        <v>175</v>
      </c>
      <c r="C97" s="743">
        <f>'Revenues 9-14'!B84</f>
        <v>1811</v>
      </c>
      <c r="D97" s="744" t="str">
        <f>'Revenues 9-14'!A84</f>
        <v>Rentals - Regular Textbooks</v>
      </c>
      <c r="E97" s="739"/>
      <c r="F97" s="1778">
        <f>'Revenues 9-14'!C84</f>
        <v>59656</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16260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90000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8">
        <f>('Revenues 9-14'!C106)</f>
        <v>13784</v>
      </c>
      <c r="G105" s="745"/>
    </row>
    <row r="106" spans="1:7" x14ac:dyDescent="0.2">
      <c r="A106" s="741" t="s">
        <v>500</v>
      </c>
      <c r="B106" s="741" t="s">
        <v>1907</v>
      </c>
      <c r="C106" s="746">
        <v>3100</v>
      </c>
      <c r="D106" s="752" t="str">
        <f>'Revenues 9-14'!A132</f>
        <v>Total Special Education</v>
      </c>
      <c r="E106" s="739"/>
      <c r="F106" s="1778">
        <f>SUM('Revenues 9-14'!C132:D132,'Revenues 9-14'!F132)</f>
        <v>414737</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9633</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5735</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17245</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612185</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0</v>
      </c>
      <c r="G121" s="763"/>
    </row>
    <row r="122" spans="1:7" x14ac:dyDescent="0.2">
      <c r="A122" s="760" t="s">
        <v>497</v>
      </c>
      <c r="B122" s="760" t="s">
        <v>1923</v>
      </c>
      <c r="C122" s="761">
        <f>'Revenues 9-14'!B168</f>
        <v>3999</v>
      </c>
      <c r="D122" s="762" t="s">
        <v>540</v>
      </c>
      <c r="E122" s="764"/>
      <c r="F122" s="1778">
        <f>SUM('Revenues 9-14'!C168:G168,'Revenues 9-14'!J168)</f>
        <v>33644</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0</v>
      </c>
      <c r="G124" s="763"/>
    </row>
    <row r="125" spans="1:7" x14ac:dyDescent="0.2">
      <c r="A125" s="760" t="s">
        <v>663</v>
      </c>
      <c r="B125" s="760" t="s">
        <v>1926</v>
      </c>
      <c r="C125" s="765">
        <v>4100</v>
      </c>
      <c r="D125" s="766" t="str">
        <f>'Revenues 9-14'!A188</f>
        <v>Total Title V</v>
      </c>
      <c r="E125" s="739"/>
      <c r="F125" s="1778">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8">
        <f>SUM('Revenues 9-14'!C198,'Revenues 9-14'!G198)</f>
        <v>434806</v>
      </c>
      <c r="G126" s="763"/>
    </row>
    <row r="127" spans="1:7" x14ac:dyDescent="0.2">
      <c r="A127" s="760" t="s">
        <v>663</v>
      </c>
      <c r="B127" s="760" t="s">
        <v>1928</v>
      </c>
      <c r="C127" s="765">
        <v>4300</v>
      </c>
      <c r="D127" s="766" t="str">
        <f>'Revenues 9-14'!A204</f>
        <v>Total Title I</v>
      </c>
      <c r="E127" s="739"/>
      <c r="F127" s="1778">
        <f>SUM('Revenues 9-14'!C204,'Revenues 9-14'!D204,'Revenues 9-14'!F204,'Revenues 9-14'!G204)</f>
        <v>529845</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51856</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563063</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0</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97711</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86712</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738</v>
      </c>
      <c r="G171" s="760"/>
    </row>
    <row r="172" spans="1:7" x14ac:dyDescent="0.2">
      <c r="A172" s="1529" t="s">
        <v>5</v>
      </c>
      <c r="B172" s="1530" t="s">
        <v>1882</v>
      </c>
      <c r="C172" s="1531">
        <v>3100</v>
      </c>
      <c r="D172" s="1532" t="s">
        <v>1884</v>
      </c>
      <c r="E172" s="739"/>
      <c r="F172" s="1779">
        <v>612399</v>
      </c>
      <c r="G172" s="760"/>
    </row>
    <row r="173" spans="1:7" x14ac:dyDescent="0.2">
      <c r="A173" s="1529" t="s">
        <v>659</v>
      </c>
      <c r="B173" s="1530" t="s">
        <v>1882</v>
      </c>
      <c r="C173" s="1531">
        <v>3300</v>
      </c>
      <c r="D173" s="1532" t="s">
        <v>1885</v>
      </c>
      <c r="E173" s="739"/>
      <c r="F173" s="1779">
        <v>17</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3970252</v>
      </c>
    </row>
    <row r="176" spans="1:7" ht="12" customHeight="1" x14ac:dyDescent="0.2">
      <c r="A176" s="1443"/>
      <c r="B176" s="1453"/>
      <c r="C176" s="1454"/>
      <c r="D176" s="1455" t="s">
        <v>2011</v>
      </c>
      <c r="E176" s="1456"/>
      <c r="F176" s="1778">
        <f>'PCTC-OEPP 27-28'!F78-F175</f>
        <v>14043735</v>
      </c>
    </row>
    <row r="177" spans="1:9" ht="12" customHeight="1" x14ac:dyDescent="0.2">
      <c r="A177" s="1443"/>
      <c r="B177" s="1453"/>
      <c r="C177" s="1454"/>
      <c r="D177" s="1455" t="s">
        <v>1791</v>
      </c>
      <c r="E177" s="1456"/>
      <c r="F177" s="1778">
        <f>'Cap Outlay Deprec 26'!I18</f>
        <v>1893615</v>
      </c>
    </row>
    <row r="178" spans="1:9" ht="12" customHeight="1" x14ac:dyDescent="0.2">
      <c r="A178" s="1443"/>
      <c r="B178" s="1453"/>
      <c r="C178" s="1454"/>
      <c r="D178" s="1455" t="s">
        <v>2012</v>
      </c>
      <c r="E178" s="1456"/>
      <c r="F178" s="1778">
        <f>F176+F177</f>
        <v>15937350</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1604.3</v>
      </c>
      <c r="G179" s="763"/>
      <c r="I179" s="701"/>
    </row>
    <row r="180" spans="1:9" ht="12" customHeight="1" thickBot="1" x14ac:dyDescent="0.25">
      <c r="A180" s="1443"/>
      <c r="B180" s="1457"/>
      <c r="C180" s="1454"/>
      <c r="D180" s="1455" t="s">
        <v>2014</v>
      </c>
      <c r="E180" s="1456" t="s">
        <v>1525</v>
      </c>
      <c r="F180" s="1783">
        <f>F178/F179</f>
        <v>9934.1457333416438</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9" zoomScaleNormal="100" workbookViewId="0">
      <selection activeCell="A19" sqref="A19"/>
    </sheetView>
  </sheetViews>
  <sheetFormatPr defaultColWidth="9.140625"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1804</v>
      </c>
      <c r="B1" s="1845"/>
      <c r="C1" s="1846"/>
      <c r="D1" s="1846"/>
      <c r="E1" s="1846"/>
      <c r="F1" s="1846"/>
    </row>
    <row r="2" spans="1:6" x14ac:dyDescent="0.25">
      <c r="A2" s="1848"/>
      <c r="B2" s="1849"/>
      <c r="C2" s="1896" t="s">
        <v>2000</v>
      </c>
      <c r="D2" s="1848"/>
      <c r="E2" s="1848"/>
      <c r="F2" s="1848"/>
    </row>
    <row r="3" spans="1:6" ht="5.25" customHeight="1" x14ac:dyDescent="0.25">
      <c r="A3" s="1850"/>
      <c r="B3" s="1851"/>
      <c r="C3" s="1850"/>
      <c r="D3" s="1850"/>
      <c r="E3" s="1850"/>
      <c r="F3" s="1850"/>
    </row>
    <row r="4" spans="1:6" ht="18.75" customHeight="1" x14ac:dyDescent="0.25">
      <c r="A4" s="2361" t="s">
        <v>1792</v>
      </c>
      <c r="B4" s="2362"/>
      <c r="C4" s="2362"/>
      <c r="D4" s="2362"/>
      <c r="E4" s="2362"/>
      <c r="F4" s="2363"/>
    </row>
    <row r="5" spans="1:6" x14ac:dyDescent="0.25">
      <c r="A5" s="2364"/>
      <c r="B5" s="2365"/>
      <c r="C5" s="2365"/>
      <c r="D5" s="2365"/>
      <c r="E5" s="2365"/>
      <c r="F5" s="2366"/>
    </row>
    <row r="6" spans="1:6" ht="18.75" x14ac:dyDescent="0.25">
      <c r="A6" s="1852" t="s">
        <v>1793</v>
      </c>
      <c r="B6" s="1853"/>
      <c r="C6" s="1854"/>
      <c r="D6" s="1854"/>
      <c r="E6" s="1854"/>
      <c r="F6" s="1855"/>
    </row>
    <row r="7" spans="1:6" ht="47.25" customHeight="1" x14ac:dyDescent="0.25">
      <c r="A7" s="2367" t="s">
        <v>1982</v>
      </c>
      <c r="B7" s="2368"/>
      <c r="C7" s="2368"/>
      <c r="D7" s="2368"/>
      <c r="E7" s="2368"/>
      <c r="F7" s="2369"/>
    </row>
    <row r="8" spans="1:6" ht="20.25" customHeight="1" x14ac:dyDescent="0.25">
      <c r="A8" s="1886" t="s">
        <v>1984</v>
      </c>
      <c r="B8" s="1887"/>
      <c r="C8" s="1887"/>
      <c r="D8" s="1887"/>
      <c r="E8" s="1856"/>
      <c r="F8" s="1857"/>
    </row>
    <row r="9" spans="1:6" ht="18" customHeight="1" x14ac:dyDescent="0.25">
      <c r="A9" s="1858" t="s">
        <v>1981</v>
      </c>
      <c r="B9" s="1860"/>
      <c r="C9" s="1860"/>
      <c r="D9" s="1860"/>
      <c r="E9" s="1856"/>
      <c r="F9" s="1857"/>
    </row>
    <row r="10" spans="1:6" ht="15.75" customHeight="1" x14ac:dyDescent="0.25">
      <c r="A10" s="2370" t="s">
        <v>1978</v>
      </c>
      <c r="B10" s="2371"/>
      <c r="C10" s="2371"/>
      <c r="D10" s="2371"/>
      <c r="E10" s="2371"/>
      <c r="F10" s="2372"/>
    </row>
    <row r="11" spans="1:6" ht="33" customHeight="1" x14ac:dyDescent="0.25">
      <c r="A11" s="2367" t="s">
        <v>1983</v>
      </c>
      <c r="B11" s="2368"/>
      <c r="C11" s="2368"/>
      <c r="D11" s="2368"/>
      <c r="E11" s="2368"/>
      <c r="F11" s="2369"/>
    </row>
    <row r="12" spans="1:6" ht="15" customHeight="1" x14ac:dyDescent="0.25">
      <c r="A12" s="1858" t="s">
        <v>1979</v>
      </c>
      <c r="B12" s="1859"/>
      <c r="C12" s="1860"/>
      <c r="D12" s="1860"/>
      <c r="E12" s="1860"/>
      <c r="F12" s="1861"/>
    </row>
    <row r="13" spans="1:6" ht="17.25" customHeight="1" x14ac:dyDescent="0.25">
      <c r="A13" s="2367" t="s">
        <v>1980</v>
      </c>
      <c r="B13" s="2368"/>
      <c r="C13" s="2368"/>
      <c r="D13" s="2368"/>
      <c r="E13" s="2368"/>
      <c r="F13" s="2369"/>
    </row>
    <row r="14" spans="1:6" ht="15" customHeight="1" x14ac:dyDescent="0.25">
      <c r="A14" s="1858" t="s">
        <v>1797</v>
      </c>
      <c r="B14" s="1859"/>
      <c r="C14" s="1860"/>
      <c r="D14" s="1860"/>
      <c r="E14" s="1860"/>
      <c r="F14" s="1861"/>
    </row>
    <row r="15" spans="1:6" ht="32.25" customHeight="1" x14ac:dyDescent="0.25">
      <c r="A15" s="235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9"/>
      <c r="C15" s="2359"/>
      <c r="D15" s="2359"/>
      <c r="E15" s="2359"/>
      <c r="F15" s="2360"/>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1" t="s">
        <v>1796</v>
      </c>
      <c r="C17" s="1866" t="s">
        <v>1794</v>
      </c>
      <c r="D17" s="1867">
        <v>500000</v>
      </c>
      <c r="E17" s="1867" t="str">
        <f>IF(D17&lt;25000,D17,"25,000")</f>
        <v>25,000</v>
      </c>
      <c r="F17" s="1868">
        <f>IF(D17&gt;=25000,(D17-E17),"0")</f>
        <v>475000</v>
      </c>
    </row>
    <row r="18" spans="1:7" x14ac:dyDescent="0.25">
      <c r="A18" s="2020" t="s">
        <v>2139</v>
      </c>
      <c r="B18" s="1892"/>
      <c r="C18" s="1897"/>
      <c r="D18" s="1870"/>
      <c r="E18" s="1890">
        <f t="shared" ref="E18:E34" si="0">IF(D18&lt;25000,D18,"25,000")</f>
        <v>0</v>
      </c>
      <c r="F18" s="1890" t="str">
        <f t="shared" ref="F18:F34" si="1">IF(D18&gt;=25000,(D18-E18),"0")</f>
        <v>0</v>
      </c>
      <c r="G18" s="1871"/>
    </row>
    <row r="19" spans="1:7" x14ac:dyDescent="0.25">
      <c r="A19" s="1872"/>
      <c r="B19" s="1892"/>
      <c r="C19" s="1869"/>
      <c r="D19" s="1870"/>
      <c r="E19" s="1890">
        <f t="shared" si="0"/>
        <v>0</v>
      </c>
      <c r="F19" s="1890" t="str">
        <f t="shared" si="1"/>
        <v>0</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0</v>
      </c>
      <c r="E36" s="1877">
        <f>SUM(E18:E35)</f>
        <v>0</v>
      </c>
      <c r="F36" s="1878">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N34" sqref="N3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3" t="s">
        <v>1657</v>
      </c>
      <c r="B5" s="2374"/>
      <c r="C5" s="2374"/>
      <c r="D5" s="2374"/>
      <c r="E5" s="2374"/>
      <c r="F5" s="2374"/>
      <c r="G5" s="237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395608</v>
      </c>
      <c r="F10" s="805"/>
      <c r="G10" s="806"/>
      <c r="H10" s="157"/>
      <c r="I10" s="157"/>
    </row>
    <row r="11" spans="1:13" s="542" customFormat="1" ht="22.5" customHeight="1" x14ac:dyDescent="0.2">
      <c r="A11" s="237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9"/>
      <c r="C11" s="2379"/>
      <c r="D11" s="2380"/>
      <c r="E11" s="1786">
        <v>70225</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11935141</v>
      </c>
      <c r="F19" s="1787"/>
      <c r="G19" s="1789">
        <f>'Expenditures 15-22'!K33-SUM('Expenditures 15-22'!G33,'Expenditures 15-22'!I33)+'Expenditures 15-22'!D229</f>
        <v>11935141</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566928</v>
      </c>
      <c r="F21" s="1790"/>
      <c r="G21" s="1793">
        <f>'Expenditures 15-22'!K42-SUM('Expenditures 15-22'!G42,'Expenditures 15-22'!I42)+'Expenditures 15-22'!K120-SUM('Expenditures 15-22'!G120,'Expenditures 15-22'!I120)+'Expenditures 15-22'!K180-SUM('Expenditures 15-22'!G180,'Expenditures 15-22'!I180)+'Expenditures 15-22'!D238</f>
        <v>566928</v>
      </c>
      <c r="H21" s="817"/>
      <c r="I21" s="157"/>
    </row>
    <row r="22" spans="1:9" s="542" customFormat="1" ht="12" customHeight="1" x14ac:dyDescent="0.2">
      <c r="A22" s="824" t="s">
        <v>560</v>
      </c>
      <c r="B22" s="825"/>
      <c r="C22" s="823">
        <v>2200</v>
      </c>
      <c r="D22" s="1790"/>
      <c r="E22" s="1792">
        <f>'Expenditures 15-22'!K47-SUM('Expenditures 15-22'!G47,'Expenditures 15-22'!I47)+'Expenditures 15-22'!D243</f>
        <v>419619</v>
      </c>
      <c r="F22" s="1790"/>
      <c r="G22" s="1793">
        <f>'Expenditures 15-22'!K47-SUM('Expenditures 15-22'!G47,'Expenditures 15-22'!I47)+'Expenditures 15-22'!D243</f>
        <v>419619</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1111096</v>
      </c>
      <c r="F23" s="1790"/>
      <c r="G23" s="1792">
        <f>'Expenditures 15-22'!K53-SUM('Expenditures 15-22'!G53,'Expenditures 15-22'!I53)+'Expenditures 15-22'!D257+'Expenditures 15-22'!K330-SUM('Expenditures 15-22'!G330,'Expenditures 15-22'!I330)</f>
        <v>1111096</v>
      </c>
      <c r="H23" s="817"/>
      <c r="I23" s="157"/>
    </row>
    <row r="24" spans="1:9" s="542" customFormat="1" ht="12" customHeight="1" x14ac:dyDescent="0.2">
      <c r="A24" s="824" t="s">
        <v>562</v>
      </c>
      <c r="B24" s="825"/>
      <c r="C24" s="823">
        <v>2400</v>
      </c>
      <c r="D24" s="1790"/>
      <c r="E24" s="1792">
        <f>'Expenditures 15-22'!K57-SUM('Expenditures 15-22'!G57,'Expenditures 15-22'!I57)+'Expenditures 15-22'!D261</f>
        <v>824595</v>
      </c>
      <c r="F24" s="1790"/>
      <c r="G24" s="1793">
        <f>'Expenditures 15-22'!K57-SUM('Expenditures 15-22'!G57,'Expenditures 15-22'!I57)+'Expenditures 15-22'!D261</f>
        <v>824595</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88420</v>
      </c>
      <c r="E26" s="1792">
        <f>'Expenditures 15-22'!K122-SUM('Expenditures 15-22'!G122,'Expenditures 15-22'!I122)+E7</f>
        <v>0</v>
      </c>
      <c r="F26" s="1792">
        <f>'Expenditures 15-22'!K59-SUM('Expenditures 15-22'!G59,'Expenditures 15-22'!I59)+'Expenditures 15-22'!D263-E7</f>
        <v>88420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223847</v>
      </c>
      <c r="E27" s="1792">
        <f>E8</f>
        <v>0</v>
      </c>
      <c r="F27" s="1792">
        <f>'Expenditures 15-22'!K60-SUM('Expenditures 15-22'!G60,'Expenditures 15-22'!I60)+'Expenditures 15-22'!D264-E8</f>
        <v>223847</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1699194</v>
      </c>
      <c r="F28" s="1794">
        <f>'Expenditures 15-22'!K61-SUM('Expenditures 15-22'!G61,'Expenditures 15-22'!I61)+'Expenditures 15-22'!K124-SUM('Expenditures 15-22'!G124,'Expenditures 15-22'!I124)+'Expenditures 15-22'!D266-E9</f>
        <v>1699194</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1015236</v>
      </c>
      <c r="F29" s="1790"/>
      <c r="G29" s="1793">
        <f>'Expenditures 15-22'!K62-SUM('Expenditures 15-22'!G62,'Expenditures 15-22'!I62)+'Expenditures 15-22'!K125-SUM('Expenditures 15-22'!G125,'Expenditures 15-22'!I125)+'Expenditures 15-22'!K182-SUM('Expenditures 15-22'!G182,'Expenditures 15-22'!I182)+'Expenditures 15-22'!D267</f>
        <v>1015236</v>
      </c>
      <c r="H29" s="815"/>
    </row>
    <row r="30" spans="1:9" ht="12" customHeight="1" x14ac:dyDescent="0.2">
      <c r="A30" s="824" t="s">
        <v>100</v>
      </c>
      <c r="B30" s="827"/>
      <c r="C30" s="823">
        <v>2560</v>
      </c>
      <c r="D30" s="1790"/>
      <c r="E30" s="1792">
        <f>'Expenditures 15-22'!K63-SUM('Expenditures 15-22'!G63,'Expenditures 15-22'!I63)+'Expenditures 15-22'!D268-E10</f>
        <v>374377</v>
      </c>
      <c r="F30" s="1790"/>
      <c r="G30" s="1792">
        <f>'Expenditures 15-22'!K63-SUM('Expenditures 15-22'!G63,'Expenditures 15-22'!I63)+'Expenditures 15-22'!D268-E10</f>
        <v>374377</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12893</v>
      </c>
      <c r="F35" s="1790"/>
      <c r="G35" s="1792">
        <f>'Expenditures 15-22'!K69-SUM('Expenditures 15-22'!G69,'Expenditures 15-22'!I69)+'Expenditures 15-22'!D274</f>
        <v>12893</v>
      </c>
    </row>
    <row r="36" spans="1:7" ht="12" customHeight="1" x14ac:dyDescent="0.2">
      <c r="A36" s="824" t="s">
        <v>400</v>
      </c>
      <c r="B36" s="827"/>
      <c r="C36" s="823">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824" t="s">
        <v>401</v>
      </c>
      <c r="B37" s="827"/>
      <c r="C37" s="823">
        <v>2660</v>
      </c>
      <c r="D37" s="1792">
        <f>'Expenditures 15-22'!K71-SUM('Expenditures 15-22'!G71,'Expenditures 15-22'!I71)+'Expenditures 15-22'!D276-E14</f>
        <v>1835</v>
      </c>
      <c r="E37" s="1792">
        <f>E14</f>
        <v>0</v>
      </c>
      <c r="F37" s="1792">
        <f>'Expenditures 15-22'!K71-SUM('Expenditures 15-22'!G71,'Expenditures 15-22'!I71)+'Expenditures 15-22'!D276-E14</f>
        <v>1835</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1588</v>
      </c>
      <c r="F38" s="1790"/>
      <c r="G38" s="1792">
        <f>'Expenditures 15-22'!K73-SUM('Expenditures 15-22'!G73,'Expenditures 15-22'!I73)+'Expenditures 15-22'!K128-SUM('Expenditures 15-22'!G128,'Expenditures 15-22'!I128)+'Expenditures 15-22'!K183-SUM('Expenditures 15-22'!G183,'Expenditures 15-22'!I183)+'Expenditures 15-22'!D278</f>
        <v>1588</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1015</v>
      </c>
      <c r="F39" s="1790"/>
      <c r="G39" s="1792">
        <f>'Expenditures 15-22'!K75-SUM('Expenditures 15-22'!G75,'Expenditures 15-22'!I75)+'Expenditures 15-22'!K130-SUM('Expenditures 15-22'!G130,'Expenditures 15-22'!I130)+'Expenditures 15-22'!K185-SUM('Expenditures 15-22'!G185,'Expenditures 15-22'!I185)+'Expenditures 15-22'!D280</f>
        <v>1015</v>
      </c>
    </row>
    <row r="40" spans="1:7" ht="12" customHeight="1" x14ac:dyDescent="0.2">
      <c r="A40" s="820" t="s">
        <v>1795</v>
      </c>
      <c r="B40" s="821"/>
      <c r="C40" s="823"/>
      <c r="D40" s="1790"/>
      <c r="E40" s="1794">
        <f>-'Contracts Paid in CY 29'!F36</f>
        <v>0</v>
      </c>
      <c r="F40" s="1790"/>
      <c r="G40" s="1794">
        <f>-'Contracts Paid in CY 29'!F36</f>
        <v>0</v>
      </c>
    </row>
    <row r="41" spans="1:7" ht="12" customHeight="1" x14ac:dyDescent="0.2">
      <c r="A41" s="828" t="s">
        <v>155</v>
      </c>
      <c r="B41" s="829"/>
      <c r="C41" s="830"/>
      <c r="D41" s="1794">
        <f>SUM(D19:D39)</f>
        <v>314102</v>
      </c>
      <c r="E41" s="1794">
        <f>SUM(E19:E40)</f>
        <v>17961682</v>
      </c>
      <c r="F41" s="1794">
        <f>SUM(F19:F39)</f>
        <v>2013296</v>
      </c>
      <c r="G41" s="1794">
        <f>SUM(G19:G40)</f>
        <v>16262488</v>
      </c>
    </row>
    <row r="42" spans="1:7" x14ac:dyDescent="0.2">
      <c r="A42" s="817"/>
      <c r="B42" s="157"/>
      <c r="C42" s="831"/>
      <c r="D42" s="2376" t="s">
        <v>519</v>
      </c>
      <c r="E42" s="2377"/>
      <c r="F42" s="832" t="s">
        <v>520</v>
      </c>
      <c r="G42" s="833"/>
    </row>
    <row r="43" spans="1:7" ht="12" customHeight="1" x14ac:dyDescent="0.2">
      <c r="A43" s="817"/>
      <c r="B43" s="157"/>
      <c r="C43" s="831"/>
      <c r="D43" s="1458" t="s">
        <v>470</v>
      </c>
      <c r="E43" s="1795">
        <f>D41</f>
        <v>314102</v>
      </c>
      <c r="F43" s="1458" t="s">
        <v>470</v>
      </c>
      <c r="G43" s="1795">
        <f>F41</f>
        <v>2013296</v>
      </c>
    </row>
    <row r="44" spans="1:7" ht="12" customHeight="1" x14ac:dyDescent="0.2">
      <c r="A44" s="817"/>
      <c r="B44" s="157"/>
      <c r="C44" s="831"/>
      <c r="D44" s="1458" t="s">
        <v>471</v>
      </c>
      <c r="E44" s="1795">
        <f>E41</f>
        <v>17961682</v>
      </c>
      <c r="F44" s="1458" t="s">
        <v>471</v>
      </c>
      <c r="G44" s="1795">
        <f>G41</f>
        <v>16262488</v>
      </c>
    </row>
    <row r="45" spans="1:7" ht="12" customHeight="1" x14ac:dyDescent="0.2">
      <c r="A45" s="817"/>
      <c r="B45" s="157"/>
      <c r="C45" s="157"/>
      <c r="D45" s="1459" t="s">
        <v>998</v>
      </c>
      <c r="E45" s="1796">
        <f>(E43/E44)</f>
        <v>1.7487337767142296E-2</v>
      </c>
      <c r="F45" s="1459" t="s">
        <v>998</v>
      </c>
      <c r="G45" s="1796">
        <f>(G43/G44)</f>
        <v>0.12379999911452663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Normal="100" workbookViewId="0">
      <pane ySplit="4" topLeftCell="A14" activePane="bottomLeft" state="frozen"/>
      <selection activeCell="N34" sqref="N34"/>
      <selection pane="bottomLeft" activeCell="N34" sqref="N3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5" t="s">
        <v>1360</v>
      </c>
      <c r="B1" s="2395"/>
      <c r="C1" s="2395"/>
      <c r="D1" s="2395"/>
      <c r="E1" s="2395"/>
      <c r="F1" s="2395"/>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6" t="s">
        <v>1526</v>
      </c>
      <c r="B5" s="2397"/>
      <c r="C5" s="2398"/>
      <c r="D5" s="2398"/>
      <c r="E5" s="2398"/>
      <c r="F5" s="2398"/>
      <c r="G5" s="1507"/>
      <c r="L5" s="1507"/>
      <c r="M5" s="1840"/>
      <c r="N5" s="1840"/>
      <c r="O5" s="1840"/>
    </row>
    <row r="6" spans="1:15" ht="12" customHeight="1" x14ac:dyDescent="0.25">
      <c r="A6" s="1480"/>
      <c r="B6" s="1481"/>
      <c r="C6" s="2399" t="str">
        <f>COVER!A17</f>
        <v xml:space="preserve">  Clinton CUSD 15</v>
      </c>
      <c r="D6" s="2399"/>
      <c r="E6" s="2399"/>
      <c r="F6" s="1482"/>
      <c r="G6" s="1507"/>
      <c r="L6" s="1507"/>
      <c r="M6" s="1840"/>
      <c r="N6" s="1840"/>
      <c r="O6" s="1840"/>
    </row>
    <row r="7" spans="1:15" ht="11.25" customHeight="1" thickBot="1" x14ac:dyDescent="0.3">
      <c r="A7" s="1480"/>
      <c r="B7" s="1481"/>
      <c r="C7" s="2400">
        <f>COVER!A13</f>
        <v>17020015026</v>
      </c>
      <c r="D7" s="2400"/>
      <c r="E7" s="2400"/>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1367</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1369</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1514</v>
      </c>
      <c r="B26" s="1494"/>
      <c r="C26" s="1495" t="s">
        <v>2015</v>
      </c>
      <c r="D26" s="1495" t="s">
        <v>2015</v>
      </c>
      <c r="E26" s="1498"/>
      <c r="F26" s="1497" t="s">
        <v>2042</v>
      </c>
      <c r="G26" s="1507"/>
      <c r="H26" s="1507">
        <f t="shared" si="0"/>
        <v>5</v>
      </c>
      <c r="I26" s="1507">
        <f t="shared" si="1"/>
        <v>5</v>
      </c>
      <c r="J26" s="1507">
        <f t="shared" si="2"/>
        <v>0</v>
      </c>
      <c r="L26" s="1507"/>
      <c r="M26" s="1840"/>
      <c r="N26" s="1840"/>
      <c r="O26" s="1840"/>
    </row>
    <row r="27" spans="1:15" ht="18.75" x14ac:dyDescent="0.2">
      <c r="A27" s="1493" t="s">
        <v>1515</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1516</v>
      </c>
      <c r="B28" s="1494"/>
      <c r="C28" s="1495" t="s">
        <v>2015</v>
      </c>
      <c r="D28" s="1495" t="s">
        <v>2015</v>
      </c>
      <c r="E28" s="1498"/>
      <c r="F28" s="1497" t="s">
        <v>2043</v>
      </c>
      <c r="G28" s="1507"/>
      <c r="H28" s="1507">
        <f t="shared" si="0"/>
        <v>5</v>
      </c>
      <c r="I28" s="1507">
        <f t="shared" si="1"/>
        <v>5</v>
      </c>
      <c r="J28" s="1507">
        <f t="shared" si="2"/>
        <v>0</v>
      </c>
      <c r="L28" s="1507"/>
      <c r="M28" s="1840"/>
      <c r="N28" s="1840"/>
      <c r="O28" s="1840"/>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1519</v>
      </c>
      <c r="B31" s="1494"/>
      <c r="C31" s="1495" t="s">
        <v>2015</v>
      </c>
      <c r="D31" s="1495" t="s">
        <v>2015</v>
      </c>
      <c r="E31" s="1498"/>
      <c r="F31" s="1497" t="s">
        <v>2044</v>
      </c>
      <c r="G31" s="1507"/>
      <c r="H31" s="1507">
        <f t="shared" si="0"/>
        <v>5</v>
      </c>
      <c r="I31" s="1507">
        <f t="shared" si="1"/>
        <v>5</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t="s">
        <v>2015</v>
      </c>
      <c r="D33" s="1495" t="s">
        <v>2015</v>
      </c>
      <c r="E33" s="1498"/>
      <c r="F33" s="1497" t="s">
        <v>2045</v>
      </c>
      <c r="G33" s="1507"/>
      <c r="H33" s="1507">
        <f t="shared" si="0"/>
        <v>5</v>
      </c>
      <c r="I33" s="1507">
        <f t="shared" si="1"/>
        <v>5</v>
      </c>
      <c r="J33" s="1507">
        <f t="shared" si="2"/>
        <v>0</v>
      </c>
      <c r="L33" s="1507"/>
      <c r="M33" s="1840"/>
      <c r="N33" s="1840"/>
      <c r="O33" s="1840"/>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40"/>
      <c r="N34" s="1840"/>
      <c r="O34" s="1840"/>
    </row>
    <row r="35" spans="1:15" ht="12" customHeight="1" x14ac:dyDescent="0.2">
      <c r="A35" s="1500" t="s">
        <v>1373</v>
      </c>
      <c r="B35" s="1501"/>
      <c r="C35" s="2401"/>
      <c r="D35" s="2401"/>
      <c r="E35" s="2401"/>
      <c r="F35" s="2402"/>
    </row>
    <row r="36" spans="1:15" ht="12" customHeight="1" x14ac:dyDescent="0.2">
      <c r="A36" s="2384"/>
      <c r="B36" s="2385"/>
      <c r="C36" s="2385"/>
      <c r="D36" s="2385"/>
      <c r="E36" s="2385"/>
      <c r="F36" s="2386"/>
    </row>
    <row r="37" spans="1:15" ht="12" customHeight="1" x14ac:dyDescent="0.2">
      <c r="A37" s="2384"/>
      <c r="B37" s="2385"/>
      <c r="C37" s="2385"/>
      <c r="D37" s="2385"/>
      <c r="E37" s="2385"/>
      <c r="F37" s="2386"/>
    </row>
    <row r="38" spans="1:15" ht="12" customHeight="1" x14ac:dyDescent="0.2">
      <c r="A38" s="2387"/>
      <c r="B38" s="2388"/>
      <c r="C38" s="2388"/>
      <c r="D38" s="2388"/>
      <c r="E38" s="2388"/>
      <c r="F38" s="2389"/>
    </row>
    <row r="39" spans="1:15" ht="4.5" hidden="1" customHeight="1" x14ac:dyDescent="0.2">
      <c r="A39" s="1502"/>
      <c r="B39" s="1502"/>
      <c r="C39" s="1502"/>
      <c r="D39" s="1502"/>
      <c r="E39" s="1502"/>
      <c r="F39" s="1502"/>
    </row>
    <row r="40" spans="1:15" s="1499" customFormat="1" ht="12" customHeight="1" x14ac:dyDescent="0.25">
      <c r="A40" s="1503" t="s">
        <v>1372</v>
      </c>
      <c r="B40" s="1504"/>
      <c r="C40" s="2390"/>
      <c r="D40" s="2390"/>
      <c r="E40" s="2390"/>
      <c r="F40" s="2391"/>
      <c r="H40" s="1508"/>
      <c r="I40" s="1508"/>
      <c r="J40" s="1508"/>
      <c r="K40" s="1508"/>
    </row>
    <row r="41" spans="1:15" s="1499" customFormat="1" ht="12" customHeight="1" x14ac:dyDescent="0.25">
      <c r="A41" s="2392"/>
      <c r="B41" s="2393"/>
      <c r="C41" s="2393"/>
      <c r="D41" s="2393"/>
      <c r="E41" s="2393"/>
      <c r="F41" s="2394"/>
      <c r="H41" s="1508"/>
      <c r="I41" s="1508"/>
      <c r="J41" s="1508"/>
      <c r="K41" s="1508"/>
    </row>
    <row r="42" spans="1:15" s="1499" customFormat="1" ht="12" customHeight="1" x14ac:dyDescent="0.25">
      <c r="A42" s="2392"/>
      <c r="B42" s="2393"/>
      <c r="C42" s="2393"/>
      <c r="D42" s="2393"/>
      <c r="E42" s="2393"/>
      <c r="F42" s="2394"/>
      <c r="H42" s="1508"/>
      <c r="I42" s="1508"/>
      <c r="J42" s="1508"/>
      <c r="K42" s="1508"/>
    </row>
    <row r="43" spans="1:15" s="1499" customFormat="1" ht="15" x14ac:dyDescent="0.25">
      <c r="A43" s="2381"/>
      <c r="B43" s="2382"/>
      <c r="C43" s="2382"/>
      <c r="D43" s="2382"/>
      <c r="E43" s="2382"/>
      <c r="F43" s="2383"/>
      <c r="H43" s="1508"/>
      <c r="I43" s="1508"/>
      <c r="J43" s="1508"/>
      <c r="K43" s="1508"/>
    </row>
    <row r="44" spans="1:15" s="1499" customFormat="1" ht="12" hidden="1" customHeight="1" x14ac:dyDescent="0.25">
      <c r="A44" s="2381"/>
      <c r="B44" s="2382"/>
      <c r="C44" s="2382"/>
      <c r="D44" s="2382"/>
      <c r="E44" s="2382"/>
      <c r="F44" s="238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2" zoomScaleNormal="100" workbookViewId="0">
      <selection activeCell="G80" sqref="G80"/>
    </sheetView>
  </sheetViews>
  <sheetFormatPr defaultColWidth="9.140625" defaultRowHeight="12.75" x14ac:dyDescent="0.2"/>
  <cols>
    <col min="1" max="1" width="2.85546875" style="1909" customWidth="1"/>
    <col min="2" max="2" width="3" style="1909" customWidth="1"/>
    <col min="3" max="3" width="48.5703125" style="1909" customWidth="1"/>
    <col min="4" max="4" width="7.42578125" style="1909" customWidth="1"/>
    <col min="5" max="5" width="11.28515625" style="1909" customWidth="1"/>
    <col min="6" max="6" width="10.85546875" style="1909" customWidth="1"/>
    <col min="7" max="8" width="9.140625" style="1909"/>
    <col min="9" max="9" width="11.140625" style="1909" customWidth="1"/>
    <col min="10" max="10" width="10.85546875" style="1909" customWidth="1"/>
    <col min="11" max="11" width="9.140625" style="1909"/>
    <col min="12" max="12" width="14.140625" style="1909" customWidth="1"/>
    <col min="13" max="13" width="9.140625" style="1909"/>
    <col min="14" max="14" width="18.7109375" style="1909" customWidth="1"/>
    <col min="15" max="16384" width="9.140625" style="1909"/>
  </cols>
  <sheetData>
    <row r="1" spans="1:14" x14ac:dyDescent="0.2">
      <c r="A1" s="1904"/>
      <c r="B1" s="1905"/>
      <c r="C1" s="1905"/>
      <c r="D1" s="1905"/>
      <c r="E1" s="1905"/>
      <c r="F1" s="1905"/>
      <c r="G1" s="1906" t="s">
        <v>402</v>
      </c>
      <c r="H1" s="1907"/>
      <c r="I1" s="1905"/>
      <c r="J1" s="1905"/>
      <c r="K1" s="1905"/>
      <c r="L1" s="1905"/>
      <c r="M1" s="1905"/>
      <c r="N1" s="1908"/>
    </row>
    <row r="2" spans="1:14" x14ac:dyDescent="0.2">
      <c r="A2" s="1910"/>
      <c r="B2" s="838"/>
      <c r="C2" s="838"/>
      <c r="D2" s="838"/>
      <c r="E2" s="838"/>
      <c r="F2" s="838"/>
      <c r="G2" s="1911" t="s">
        <v>1999</v>
      </c>
      <c r="H2" s="1912"/>
      <c r="I2" s="838"/>
      <c r="J2" s="838"/>
      <c r="K2" s="838"/>
      <c r="L2" s="838"/>
      <c r="M2" s="838"/>
      <c r="N2" s="1913"/>
    </row>
    <row r="3" spans="1:14" x14ac:dyDescent="0.2">
      <c r="A3" s="1910"/>
      <c r="B3" s="838"/>
      <c r="C3" s="838"/>
      <c r="D3" s="838"/>
      <c r="E3" s="838"/>
      <c r="F3" s="838"/>
      <c r="G3" s="1911" t="s">
        <v>403</v>
      </c>
      <c r="H3" s="838"/>
      <c r="I3" s="838"/>
      <c r="J3" s="838"/>
      <c r="K3" s="838"/>
      <c r="L3" s="838"/>
      <c r="M3" s="838"/>
      <c r="N3" s="1913"/>
    </row>
    <row r="4" spans="1:14" x14ac:dyDescent="0.2">
      <c r="A4" s="1910"/>
      <c r="B4" s="838"/>
      <c r="C4" s="838"/>
      <c r="D4" s="838"/>
      <c r="E4" s="838"/>
      <c r="F4" s="838"/>
      <c r="G4" s="1911" t="s">
        <v>862</v>
      </c>
      <c r="H4" s="838"/>
      <c r="I4" s="838"/>
      <c r="J4" s="838"/>
      <c r="K4" s="838"/>
      <c r="L4" s="838"/>
      <c r="M4" s="838"/>
      <c r="N4" s="1913"/>
    </row>
    <row r="5" spans="1:14" x14ac:dyDescent="0.2">
      <c r="A5" s="1910"/>
      <c r="B5" s="838"/>
      <c r="C5" s="838"/>
      <c r="D5" s="838"/>
      <c r="E5" s="838"/>
      <c r="F5" s="1911"/>
      <c r="G5" s="1911"/>
      <c r="H5" s="838"/>
      <c r="I5" s="838"/>
      <c r="J5" s="838"/>
      <c r="K5" s="838"/>
      <c r="L5" s="838"/>
      <c r="M5" s="838"/>
      <c r="N5" s="1913"/>
    </row>
    <row r="6" spans="1:14" x14ac:dyDescent="0.2">
      <c r="A6" s="1914" t="s">
        <v>667</v>
      </c>
      <c r="B6" s="1377"/>
      <c r="C6" s="1377"/>
      <c r="D6" s="1377"/>
      <c r="E6" s="1378"/>
      <c r="F6" s="1915"/>
      <c r="G6" s="1911"/>
      <c r="H6" s="838"/>
      <c r="I6" s="1916" t="s">
        <v>1020</v>
      </c>
      <c r="J6" s="2404" t="str">
        <f>COVER!A17</f>
        <v xml:space="preserve">  Clinton CUSD 15</v>
      </c>
      <c r="K6" s="2404"/>
      <c r="L6" s="2405"/>
      <c r="M6" s="838"/>
      <c r="N6" s="1913"/>
    </row>
    <row r="7" spans="1:14" x14ac:dyDescent="0.2">
      <c r="A7" s="2406" t="s">
        <v>863</v>
      </c>
      <c r="B7" s="2407"/>
      <c r="C7" s="2407"/>
      <c r="D7" s="2407"/>
      <c r="E7" s="2408"/>
      <c r="F7" s="839"/>
      <c r="G7" s="838"/>
      <c r="H7" s="838"/>
      <c r="I7" s="1916" t="s">
        <v>369</v>
      </c>
      <c r="J7" s="2409">
        <f>COVER!A13</f>
        <v>17020015026</v>
      </c>
      <c r="K7" s="2409"/>
      <c r="L7" s="2409"/>
      <c r="M7" s="838"/>
      <c r="N7" s="1913"/>
    </row>
    <row r="8" spans="1:14" x14ac:dyDescent="0.2">
      <c r="A8" s="1917"/>
      <c r="B8" s="1918"/>
      <c r="C8" s="1918"/>
      <c r="D8" s="1918"/>
      <c r="E8" s="1919"/>
      <c r="F8" s="1920"/>
      <c r="G8" s="1895"/>
      <c r="H8" s="1895"/>
      <c r="I8" s="1895"/>
      <c r="J8" s="1895"/>
      <c r="K8" s="1895"/>
      <c r="L8" s="1895"/>
      <c r="M8" s="838"/>
      <c r="N8" s="1913"/>
    </row>
    <row r="9" spans="1:14" x14ac:dyDescent="0.2">
      <c r="A9" s="1921"/>
      <c r="B9" s="840"/>
      <c r="C9" s="840"/>
      <c r="D9" s="841"/>
      <c r="E9" s="1922" t="s">
        <v>2046</v>
      </c>
      <c r="F9" s="1842"/>
      <c r="G9" s="1842"/>
      <c r="H9" s="1842"/>
      <c r="I9" s="1923" t="s">
        <v>2047</v>
      </c>
      <c r="J9" s="1842"/>
      <c r="K9" s="1842"/>
      <c r="L9" s="1843"/>
      <c r="M9" s="838"/>
      <c r="N9" s="1913"/>
    </row>
    <row r="10" spans="1:14" x14ac:dyDescent="0.2">
      <c r="A10" s="1924"/>
      <c r="B10" s="1925"/>
      <c r="C10" s="1926"/>
      <c r="D10" s="1927"/>
      <c r="E10" s="1928" t="s">
        <v>422</v>
      </c>
      <c r="F10" s="1929" t="s">
        <v>423</v>
      </c>
      <c r="G10" s="1930" t="s">
        <v>429</v>
      </c>
      <c r="H10" s="1931"/>
      <c r="I10" s="1929" t="s">
        <v>422</v>
      </c>
      <c r="J10" s="1929" t="s">
        <v>423</v>
      </c>
      <c r="K10" s="1930" t="s">
        <v>429</v>
      </c>
      <c r="L10" s="1929"/>
      <c r="M10" s="838"/>
      <c r="N10" s="1913"/>
    </row>
    <row r="11" spans="1:14" ht="51" x14ac:dyDescent="0.2">
      <c r="A11" s="2410" t="s">
        <v>478</v>
      </c>
      <c r="B11" s="2411"/>
      <c r="C11" s="2412"/>
      <c r="D11" s="1932" t="s">
        <v>865</v>
      </c>
      <c r="E11" s="1932" t="s">
        <v>64</v>
      </c>
      <c r="F11" s="1932" t="s">
        <v>6</v>
      </c>
      <c r="G11" s="1933" t="s">
        <v>2048</v>
      </c>
      <c r="H11" s="1934" t="s">
        <v>155</v>
      </c>
      <c r="I11" s="1932" t="s">
        <v>64</v>
      </c>
      <c r="J11" s="1932" t="s">
        <v>6</v>
      </c>
      <c r="K11" s="1933" t="s">
        <v>1998</v>
      </c>
      <c r="L11" s="1934" t="s">
        <v>155</v>
      </c>
      <c r="M11" s="838"/>
      <c r="N11" s="1913"/>
    </row>
    <row r="12" spans="1:14" x14ac:dyDescent="0.2">
      <c r="A12" s="1935">
        <v>1</v>
      </c>
      <c r="B12" s="1936" t="s">
        <v>812</v>
      </c>
      <c r="C12" s="842"/>
      <c r="D12" s="1937">
        <v>2320</v>
      </c>
      <c r="E12" s="1938">
        <f>'Expenditures 15-22'!K50</f>
        <v>210822</v>
      </c>
      <c r="F12" s="1939"/>
      <c r="G12" s="1940">
        <f>G68</f>
        <v>14889</v>
      </c>
      <c r="H12" s="1938">
        <f t="shared" ref="H12:H18" si="0">SUM(E12:G12)</f>
        <v>225711</v>
      </c>
      <c r="I12" s="1941">
        <v>217785</v>
      </c>
      <c r="J12" s="1939"/>
      <c r="K12" s="1941"/>
      <c r="L12" s="1938">
        <f t="shared" ref="L12:L18" si="1">SUM(I12:K12)</f>
        <v>217785</v>
      </c>
      <c r="M12" s="838"/>
      <c r="N12" s="1913"/>
    </row>
    <row r="13" spans="1:14" x14ac:dyDescent="0.2">
      <c r="A13" s="1935">
        <v>2</v>
      </c>
      <c r="B13" s="1936" t="s">
        <v>42</v>
      </c>
      <c r="C13" s="842"/>
      <c r="D13" s="1937">
        <v>2330</v>
      </c>
      <c r="E13" s="1938">
        <f>'Expenditures 15-22'!K51</f>
        <v>5521</v>
      </c>
      <c r="F13" s="1939"/>
      <c r="G13" s="1940">
        <f>H68</f>
        <v>0</v>
      </c>
      <c r="H13" s="1938">
        <f t="shared" si="0"/>
        <v>5521</v>
      </c>
      <c r="I13" s="1941"/>
      <c r="J13" s="1939"/>
      <c r="K13" s="1941"/>
      <c r="L13" s="1938">
        <f t="shared" si="1"/>
        <v>0</v>
      </c>
      <c r="M13" s="838"/>
      <c r="N13" s="1913"/>
    </row>
    <row r="14" spans="1:14" x14ac:dyDescent="0.2">
      <c r="A14" s="1935">
        <v>3</v>
      </c>
      <c r="B14" s="1936" t="s">
        <v>43</v>
      </c>
      <c r="C14" s="842"/>
      <c r="D14" s="1942">
        <v>2490</v>
      </c>
      <c r="E14" s="1938">
        <f>'Expenditures 15-22'!K56</f>
        <v>0</v>
      </c>
      <c r="F14" s="1939"/>
      <c r="G14" s="1940">
        <f>I68</f>
        <v>0</v>
      </c>
      <c r="H14" s="1938">
        <f t="shared" si="0"/>
        <v>0</v>
      </c>
      <c r="I14" s="1941"/>
      <c r="J14" s="1939"/>
      <c r="K14" s="1941"/>
      <c r="L14" s="1938">
        <f t="shared" si="1"/>
        <v>0</v>
      </c>
      <c r="M14" s="838"/>
      <c r="N14" s="1913"/>
    </row>
    <row r="15" spans="1:14" x14ac:dyDescent="0.2">
      <c r="A15" s="1935">
        <v>4</v>
      </c>
      <c r="B15" s="1936" t="s">
        <v>1058</v>
      </c>
      <c r="C15" s="842"/>
      <c r="D15" s="1937">
        <v>2510</v>
      </c>
      <c r="E15" s="1938">
        <f>'Expenditures 15-22'!K59</f>
        <v>87096</v>
      </c>
      <c r="F15" s="1938">
        <f>'Expenditures 15-22'!K122</f>
        <v>0</v>
      </c>
      <c r="G15" s="1940">
        <f>J68</f>
        <v>0</v>
      </c>
      <c r="H15" s="1938">
        <f t="shared" si="0"/>
        <v>87096</v>
      </c>
      <c r="I15" s="1941">
        <v>89906</v>
      </c>
      <c r="J15" s="1941"/>
      <c r="K15" s="1941"/>
      <c r="L15" s="1938">
        <f t="shared" si="1"/>
        <v>89906</v>
      </c>
      <c r="M15" s="838"/>
      <c r="N15" s="1913"/>
    </row>
    <row r="16" spans="1:14" x14ac:dyDescent="0.2">
      <c r="A16" s="1935">
        <v>5</v>
      </c>
      <c r="B16" s="1936" t="s">
        <v>101</v>
      </c>
      <c r="C16" s="842"/>
      <c r="D16" s="1937">
        <v>2570</v>
      </c>
      <c r="E16" s="1938">
        <f>'Expenditures 15-22'!K64</f>
        <v>0</v>
      </c>
      <c r="F16" s="1939"/>
      <c r="G16" s="1940">
        <f>K68</f>
        <v>0</v>
      </c>
      <c r="H16" s="1938">
        <f t="shared" si="0"/>
        <v>0</v>
      </c>
      <c r="I16" s="1941"/>
      <c r="J16" s="1939"/>
      <c r="K16" s="1941"/>
      <c r="L16" s="1938">
        <f t="shared" si="1"/>
        <v>0</v>
      </c>
      <c r="M16" s="838"/>
      <c r="N16" s="1913"/>
    </row>
    <row r="17" spans="1:14" x14ac:dyDescent="0.2">
      <c r="A17" s="1935">
        <v>6</v>
      </c>
      <c r="B17" s="1936" t="s">
        <v>1050</v>
      </c>
      <c r="C17" s="842"/>
      <c r="D17" s="1937">
        <v>2610</v>
      </c>
      <c r="E17" s="1938">
        <f>'Expenditures 15-22'!K67</f>
        <v>0</v>
      </c>
      <c r="F17" s="1939"/>
      <c r="G17" s="1940">
        <f>L68</f>
        <v>0</v>
      </c>
      <c r="H17" s="1938">
        <f t="shared" si="0"/>
        <v>0</v>
      </c>
      <c r="I17" s="1941"/>
      <c r="J17" s="1939"/>
      <c r="K17" s="1941"/>
      <c r="L17" s="1938">
        <f t="shared" si="1"/>
        <v>0</v>
      </c>
      <c r="M17" s="838"/>
      <c r="N17" s="1913"/>
    </row>
    <row r="18" spans="1:14" ht="26.25" customHeight="1" x14ac:dyDescent="0.2">
      <c r="A18" s="1943">
        <v>7</v>
      </c>
      <c r="B18" s="2413" t="s">
        <v>7</v>
      </c>
      <c r="C18" s="2414"/>
      <c r="D18" s="2415"/>
      <c r="E18" s="1944"/>
      <c r="F18" s="1944"/>
      <c r="G18" s="1941"/>
      <c r="H18" s="1945">
        <f t="shared" si="0"/>
        <v>0</v>
      </c>
      <c r="I18" s="1941"/>
      <c r="J18" s="1941"/>
      <c r="K18" s="1941"/>
      <c r="L18" s="1938">
        <f t="shared" si="1"/>
        <v>0</v>
      </c>
      <c r="M18" s="838"/>
      <c r="N18" s="1913"/>
    </row>
    <row r="19" spans="1:14" ht="13.5" thickBot="1" x14ac:dyDescent="0.25">
      <c r="A19" s="1935">
        <v>8</v>
      </c>
      <c r="B19" s="1946" t="s">
        <v>1150</v>
      </c>
      <c r="C19" s="838"/>
      <c r="D19" s="1947"/>
      <c r="E19" s="1948">
        <f t="shared" ref="E19:L19" si="2">SUM(E12:E17)-E18</f>
        <v>303439</v>
      </c>
      <c r="F19" s="1948">
        <f t="shared" si="2"/>
        <v>0</v>
      </c>
      <c r="G19" s="1948">
        <f t="shared" ref="G19" si="3">SUM(G12:G17)-G18</f>
        <v>14889</v>
      </c>
      <c r="H19" s="1948">
        <f t="shared" si="2"/>
        <v>318328</v>
      </c>
      <c r="I19" s="1948">
        <f t="shared" si="2"/>
        <v>307691</v>
      </c>
      <c r="J19" s="1948">
        <f t="shared" si="2"/>
        <v>0</v>
      </c>
      <c r="K19" s="1948">
        <f t="shared" si="2"/>
        <v>0</v>
      </c>
      <c r="L19" s="1948">
        <f t="shared" si="2"/>
        <v>307691</v>
      </c>
      <c r="M19" s="838"/>
      <c r="N19" s="1913"/>
    </row>
    <row r="20" spans="1:14" ht="13.5" thickTop="1" x14ac:dyDescent="0.2">
      <c r="A20" s="1935">
        <v>9</v>
      </c>
      <c r="B20" s="2416" t="s">
        <v>2049</v>
      </c>
      <c r="C20" s="2416"/>
      <c r="D20" s="2417"/>
      <c r="E20" s="1949"/>
      <c r="F20" s="1949"/>
      <c r="G20" s="1949"/>
      <c r="H20" s="1949"/>
      <c r="I20" s="1949"/>
      <c r="J20" s="1949"/>
      <c r="K20" s="1949"/>
      <c r="L20" s="1950">
        <f>IF(AND(H19&gt;0,L19&gt;0),(((L19-H19)/H19)),"Enter Budget Data")</f>
        <v>-3.3415219522002465E-2</v>
      </c>
      <c r="M20" s="838"/>
      <c r="N20" s="1913"/>
    </row>
    <row r="21" spans="1:14" x14ac:dyDescent="0.2">
      <c r="A21" s="1951" t="s">
        <v>194</v>
      </c>
      <c r="B21" s="1952" t="s">
        <v>2050</v>
      </c>
      <c r="C21" s="838"/>
      <c r="D21" s="1953"/>
      <c r="E21" s="1954"/>
      <c r="F21" s="1955"/>
      <c r="G21" s="1955"/>
      <c r="H21" s="1955"/>
      <c r="I21" s="1955"/>
      <c r="J21" s="1955"/>
      <c r="K21" s="1955"/>
      <c r="L21" s="1956"/>
      <c r="M21" s="838"/>
      <c r="N21" s="1913"/>
    </row>
    <row r="22" spans="1:14" x14ac:dyDescent="0.2">
      <c r="A22" s="1910"/>
      <c r="B22" s="1957"/>
      <c r="C22" s="838"/>
      <c r="D22" s="838"/>
      <c r="E22" s="838"/>
      <c r="F22" s="838"/>
      <c r="G22" s="838"/>
      <c r="H22" s="838"/>
      <c r="I22" s="838"/>
      <c r="J22" s="838"/>
      <c r="K22" s="838"/>
      <c r="L22" s="838"/>
      <c r="M22" s="838"/>
      <c r="N22" s="1913"/>
    </row>
    <row r="23" spans="1:14" x14ac:dyDescent="0.2">
      <c r="A23" s="1958" t="s">
        <v>132</v>
      </c>
      <c r="B23" s="1957"/>
      <c r="C23" s="838"/>
      <c r="D23" s="838"/>
      <c r="E23" s="838"/>
      <c r="F23" s="838"/>
      <c r="G23" s="838"/>
      <c r="H23" s="838"/>
      <c r="I23" s="838"/>
      <c r="J23" s="838"/>
      <c r="K23" s="838"/>
      <c r="L23" s="838"/>
      <c r="M23" s="838"/>
      <c r="N23" s="1913"/>
    </row>
    <row r="24" spans="1:14" x14ac:dyDescent="0.2">
      <c r="A24" s="1959" t="s">
        <v>2051</v>
      </c>
      <c r="B24" s="1960"/>
      <c r="C24" s="1961"/>
      <c r="D24" s="1961"/>
      <c r="E24" s="1961"/>
      <c r="F24" s="1961"/>
      <c r="G24" s="1961"/>
      <c r="H24" s="1961"/>
      <c r="I24" s="1961"/>
      <c r="J24" s="1961"/>
      <c r="K24" s="1961"/>
      <c r="L24" s="838"/>
      <c r="M24" s="838"/>
      <c r="N24" s="1913"/>
    </row>
    <row r="25" spans="1:14" x14ac:dyDescent="0.2">
      <c r="A25" s="1959" t="s">
        <v>2052</v>
      </c>
      <c r="B25" s="1960"/>
      <c r="C25" s="1961"/>
      <c r="D25" s="1961"/>
      <c r="E25" s="1961"/>
      <c r="F25" s="1961"/>
      <c r="G25" s="1961"/>
      <c r="H25" s="1961"/>
      <c r="I25" s="1961"/>
      <c r="J25" s="1961"/>
      <c r="K25" s="1961"/>
      <c r="L25" s="838"/>
      <c r="M25" s="838"/>
      <c r="N25" s="1913"/>
    </row>
    <row r="26" spans="1:14" x14ac:dyDescent="0.2">
      <c r="A26" s="1962"/>
      <c r="B26" s="1957"/>
      <c r="C26" s="838"/>
      <c r="D26" s="838"/>
      <c r="E26" s="838"/>
      <c r="F26" s="838"/>
      <c r="G26" s="838"/>
      <c r="H26" s="838"/>
      <c r="I26" s="838"/>
      <c r="J26" s="838"/>
      <c r="K26" s="838"/>
      <c r="L26" s="838"/>
      <c r="M26" s="838"/>
      <c r="N26" s="1913"/>
    </row>
    <row r="27" spans="1:14" x14ac:dyDescent="0.2">
      <c r="A27" s="1910"/>
      <c r="B27" s="1957"/>
      <c r="C27" s="2418"/>
      <c r="D27" s="2418"/>
      <c r="E27" s="843"/>
      <c r="F27" s="2419"/>
      <c r="G27" s="2419"/>
      <c r="H27" s="2419"/>
      <c r="I27" s="838"/>
      <c r="J27" s="838"/>
      <c r="K27" s="838"/>
      <c r="L27" s="838"/>
      <c r="M27" s="838"/>
      <c r="N27" s="1913"/>
    </row>
    <row r="28" spans="1:14" x14ac:dyDescent="0.2">
      <c r="A28" s="1910"/>
      <c r="B28" s="1957"/>
      <c r="C28" s="1963" t="s">
        <v>1025</v>
      </c>
      <c r="D28" s="844"/>
      <c r="E28" s="1964"/>
      <c r="F28" s="2420" t="s">
        <v>1489</v>
      </c>
      <c r="G28" s="2420"/>
      <c r="H28" s="2420"/>
      <c r="I28" s="838"/>
      <c r="J28" s="838"/>
      <c r="K28" s="838"/>
      <c r="L28" s="838"/>
      <c r="M28" s="838"/>
      <c r="N28" s="1913"/>
    </row>
    <row r="29" spans="1:14" x14ac:dyDescent="0.2">
      <c r="A29" s="1910"/>
      <c r="B29" s="1957"/>
      <c r="C29" s="2421"/>
      <c r="D29" s="2421"/>
      <c r="E29" s="845"/>
      <c r="F29" s="2421"/>
      <c r="G29" s="2421"/>
      <c r="H29" s="2421"/>
      <c r="I29" s="838"/>
      <c r="J29" s="838"/>
      <c r="K29" s="838"/>
      <c r="L29" s="838"/>
      <c r="M29" s="838"/>
      <c r="N29" s="1913"/>
    </row>
    <row r="30" spans="1:14" x14ac:dyDescent="0.2">
      <c r="A30" s="1910"/>
      <c r="B30" s="1957"/>
      <c r="C30" s="1965" t="s">
        <v>1541</v>
      </c>
      <c r="D30" s="838"/>
      <c r="E30" s="1966"/>
      <c r="F30" s="2403" t="s">
        <v>1490</v>
      </c>
      <c r="G30" s="2403"/>
      <c r="H30" s="2403"/>
      <c r="I30" s="838"/>
      <c r="J30" s="838"/>
      <c r="K30" s="838"/>
      <c r="L30" s="838"/>
      <c r="M30" s="838"/>
      <c r="N30" s="1913"/>
    </row>
    <row r="31" spans="1:14" x14ac:dyDescent="0.2">
      <c r="A31" s="1910"/>
      <c r="B31" s="1957"/>
      <c r="C31" s="1967"/>
      <c r="D31" s="838"/>
      <c r="E31" s="1953"/>
      <c r="F31" s="1954"/>
      <c r="G31" s="1954"/>
      <c r="H31" s="1954"/>
      <c r="I31" s="838"/>
      <c r="J31" s="838"/>
      <c r="K31" s="838"/>
      <c r="L31" s="838"/>
      <c r="M31" s="838"/>
      <c r="N31" s="1913"/>
    </row>
    <row r="32" spans="1:14" x14ac:dyDescent="0.2">
      <c r="A32" s="1910"/>
      <c r="B32" s="1968" t="s">
        <v>1026</v>
      </c>
      <c r="C32" s="838"/>
      <c r="D32" s="838"/>
      <c r="E32" s="838"/>
      <c r="F32" s="838"/>
      <c r="G32" s="838"/>
      <c r="H32" s="838"/>
      <c r="I32" s="838"/>
      <c r="J32" s="838"/>
      <c r="K32" s="838"/>
      <c r="L32" s="838"/>
      <c r="M32" s="838"/>
      <c r="N32" s="1913"/>
    </row>
    <row r="33" spans="1:14" x14ac:dyDescent="0.2">
      <c r="A33" s="1910"/>
      <c r="B33" s="1969"/>
      <c r="C33" s="838"/>
      <c r="D33" s="838"/>
      <c r="E33" s="838"/>
      <c r="F33" s="838"/>
      <c r="G33" s="838"/>
      <c r="H33" s="838"/>
      <c r="I33" s="838"/>
      <c r="J33" s="838"/>
      <c r="K33" s="838"/>
      <c r="L33" s="838"/>
      <c r="M33" s="838"/>
      <c r="N33" s="1913"/>
    </row>
    <row r="34" spans="1:14" x14ac:dyDescent="0.2">
      <c r="A34" s="1910"/>
      <c r="B34" s="846"/>
      <c r="C34" s="2424" t="s">
        <v>2053</v>
      </c>
      <c r="D34" s="2425"/>
      <c r="E34" s="2425"/>
      <c r="F34" s="2425"/>
      <c r="G34" s="2425"/>
      <c r="H34" s="2425"/>
      <c r="I34" s="2425"/>
      <c r="J34" s="2425"/>
      <c r="K34" s="1970"/>
      <c r="L34" s="838"/>
      <c r="M34" s="838"/>
      <c r="N34" s="1913"/>
    </row>
    <row r="35" spans="1:14" x14ac:dyDescent="0.2">
      <c r="A35" s="1910"/>
      <c r="B35" s="838"/>
      <c r="C35" s="2425"/>
      <c r="D35" s="2425"/>
      <c r="E35" s="2425"/>
      <c r="F35" s="2425"/>
      <c r="G35" s="2425"/>
      <c r="H35" s="2425"/>
      <c r="I35" s="2425"/>
      <c r="J35" s="2425"/>
      <c r="K35" s="1970"/>
      <c r="L35" s="838"/>
      <c r="M35" s="838"/>
      <c r="N35" s="1913"/>
    </row>
    <row r="36" spans="1:14" x14ac:dyDescent="0.2">
      <c r="A36" s="1910"/>
      <c r="B36" s="838"/>
      <c r="C36" s="1971"/>
      <c r="D36" s="838"/>
      <c r="E36" s="838"/>
      <c r="F36" s="838"/>
      <c r="G36" s="838"/>
      <c r="H36" s="838"/>
      <c r="I36" s="838"/>
      <c r="J36" s="838"/>
      <c r="K36" s="838"/>
      <c r="L36" s="838"/>
      <c r="M36" s="838"/>
      <c r="N36" s="1913"/>
    </row>
    <row r="37" spans="1:14" x14ac:dyDescent="0.2">
      <c r="A37" s="1910"/>
      <c r="B37" s="846"/>
      <c r="C37" s="2424" t="s">
        <v>2054</v>
      </c>
      <c r="D37" s="2425"/>
      <c r="E37" s="2425"/>
      <c r="F37" s="2425"/>
      <c r="G37" s="2425"/>
      <c r="H37" s="2425"/>
      <c r="I37" s="2425"/>
      <c r="J37" s="2425"/>
      <c r="K37" s="1970"/>
      <c r="L37" s="1972"/>
      <c r="M37" s="838"/>
      <c r="N37" s="1913"/>
    </row>
    <row r="38" spans="1:14" ht="38.25" customHeight="1" x14ac:dyDescent="0.2">
      <c r="A38" s="1910"/>
      <c r="B38" s="838"/>
      <c r="C38" s="2425"/>
      <c r="D38" s="2425"/>
      <c r="E38" s="2425"/>
      <c r="F38" s="2425"/>
      <c r="G38" s="2425"/>
      <c r="H38" s="2425"/>
      <c r="I38" s="2425"/>
      <c r="J38" s="2425"/>
      <c r="K38" s="1970"/>
      <c r="L38" s="1972"/>
      <c r="M38" s="838"/>
      <c r="N38" s="1913"/>
    </row>
    <row r="39" spans="1:14" x14ac:dyDescent="0.2">
      <c r="A39" s="1910"/>
      <c r="B39" s="838"/>
      <c r="C39" s="1971"/>
      <c r="D39" s="838"/>
      <c r="E39" s="1973"/>
      <c r="F39" s="1974"/>
      <c r="G39" s="1974"/>
      <c r="H39" s="1973"/>
      <c r="I39" s="838"/>
      <c r="J39" s="838"/>
      <c r="K39" s="838"/>
      <c r="L39" s="838"/>
      <c r="M39" s="838"/>
      <c r="N39" s="1913"/>
    </row>
    <row r="40" spans="1:14" x14ac:dyDescent="0.2">
      <c r="A40" s="1910"/>
      <c r="B40" s="846"/>
      <c r="C40" s="2426" t="s">
        <v>2055</v>
      </c>
      <c r="D40" s="2427"/>
      <c r="E40" s="2427"/>
      <c r="F40" s="2427"/>
      <c r="G40" s="2427"/>
      <c r="H40" s="2427"/>
      <c r="I40" s="2427"/>
      <c r="J40" s="2427"/>
      <c r="K40" s="1975"/>
      <c r="L40" s="838"/>
      <c r="M40" s="838"/>
      <c r="N40" s="1913"/>
    </row>
    <row r="41" spans="1:14" x14ac:dyDescent="0.2">
      <c r="A41" s="1910"/>
      <c r="B41" s="838"/>
      <c r="C41" s="1976"/>
      <c r="D41" s="1976"/>
      <c r="E41" s="1976"/>
      <c r="F41" s="1976"/>
      <c r="G41" s="1976"/>
      <c r="H41" s="1976"/>
      <c r="I41" s="1976"/>
      <c r="J41" s="1976"/>
      <c r="K41" s="1976"/>
      <c r="L41" s="838"/>
      <c r="M41" s="838"/>
      <c r="N41" s="1913"/>
    </row>
    <row r="42" spans="1:14" ht="13.5" thickBot="1" x14ac:dyDescent="0.25">
      <c r="A42" s="1977"/>
      <c r="B42" s="1978"/>
      <c r="C42" s="1978"/>
      <c r="D42" s="1978"/>
      <c r="E42" s="1978"/>
      <c r="F42" s="1978"/>
      <c r="G42" s="1978"/>
      <c r="H42" s="1978"/>
      <c r="I42" s="1978"/>
      <c r="J42" s="1978"/>
      <c r="K42" s="1978"/>
      <c r="L42" s="1978"/>
      <c r="M42" s="1978"/>
      <c r="N42" s="1979"/>
    </row>
    <row r="43" spans="1:14" ht="27" thickBot="1" x14ac:dyDescent="0.45">
      <c r="A43" s="2428" t="s">
        <v>2056</v>
      </c>
      <c r="B43" s="2429"/>
      <c r="C43" s="2429"/>
      <c r="D43" s="2429"/>
      <c r="E43" s="2429"/>
      <c r="F43" s="2429"/>
      <c r="G43" s="2429"/>
      <c r="H43" s="2429"/>
      <c r="I43" s="2429"/>
      <c r="J43" s="2429"/>
      <c r="K43" s="2429"/>
      <c r="L43" s="2429"/>
      <c r="M43" s="2429"/>
      <c r="N43" s="2430"/>
    </row>
    <row r="44" spans="1:14" x14ac:dyDescent="0.2">
      <c r="A44" s="1980"/>
      <c r="B44" s="1981"/>
      <c r="C44" s="1981"/>
      <c r="D44" s="1981"/>
      <c r="E44" s="1981"/>
      <c r="F44" s="1981"/>
      <c r="G44" s="1981"/>
      <c r="H44" s="1981"/>
      <c r="I44" s="1981"/>
      <c r="J44" s="1981"/>
      <c r="K44" s="1981"/>
      <c r="L44" s="1981"/>
      <c r="M44" s="1981"/>
      <c r="N44" s="1982"/>
    </row>
    <row r="45" spans="1:14" x14ac:dyDescent="0.2">
      <c r="A45" s="1980" t="s">
        <v>2057</v>
      </c>
      <c r="B45" s="1981"/>
      <c r="C45" s="1981"/>
      <c r="D45" s="1981"/>
      <c r="E45" s="1981"/>
      <c r="F45" s="1981"/>
      <c r="G45" s="1981"/>
      <c r="H45" s="1981"/>
      <c r="I45" s="1981"/>
      <c r="J45" s="1981"/>
      <c r="K45" s="1981"/>
      <c r="L45" s="1981"/>
      <c r="M45" s="1981"/>
      <c r="N45" s="1982"/>
    </row>
    <row r="46" spans="1:14" x14ac:dyDescent="0.2">
      <c r="A46" s="2431" t="s">
        <v>2058</v>
      </c>
      <c r="B46" s="2432"/>
      <c r="C46" s="2432"/>
      <c r="D46" s="2432"/>
      <c r="E46" s="2432"/>
      <c r="F46" s="2432"/>
      <c r="G46" s="2432"/>
      <c r="H46" s="2432"/>
      <c r="I46" s="2432"/>
      <c r="J46" s="2432"/>
      <c r="K46" s="2432"/>
      <c r="L46" s="2432"/>
      <c r="M46" s="2432"/>
      <c r="N46" s="2433"/>
    </row>
    <row r="47" spans="1:14" x14ac:dyDescent="0.2">
      <c r="A47" s="2431"/>
      <c r="B47" s="2432"/>
      <c r="C47" s="2432"/>
      <c r="D47" s="2432"/>
      <c r="E47" s="2432"/>
      <c r="F47" s="2432"/>
      <c r="G47" s="2432"/>
      <c r="H47" s="2432"/>
      <c r="I47" s="2432"/>
      <c r="J47" s="2432"/>
      <c r="K47" s="2432"/>
      <c r="L47" s="2432"/>
      <c r="M47" s="2432"/>
      <c r="N47" s="2433"/>
    </row>
    <row r="48" spans="1:14" x14ac:dyDescent="0.2">
      <c r="A48" s="1983"/>
      <c r="B48" s="1981"/>
      <c r="C48" s="1981"/>
      <c r="D48" s="1984"/>
      <c r="E48" s="1984"/>
      <c r="F48" s="1984"/>
      <c r="G48" s="1984"/>
      <c r="H48" s="1984"/>
      <c r="I48" s="1984"/>
      <c r="J48" s="1984"/>
      <c r="K48" s="1984"/>
      <c r="L48" s="1984"/>
      <c r="M48" s="1984"/>
      <c r="N48" s="1985"/>
    </row>
    <row r="49" spans="1:14" s="1990" customFormat="1" ht="15.75" x14ac:dyDescent="0.25">
      <c r="A49" s="1986" t="s">
        <v>2059</v>
      </c>
      <c r="B49" s="1987"/>
      <c r="C49" s="1987"/>
      <c r="D49" s="1988"/>
      <c r="E49" s="1988"/>
      <c r="F49" s="1988"/>
      <c r="G49" s="1988"/>
      <c r="H49" s="1988"/>
      <c r="I49" s="1988"/>
      <c r="J49" s="1988"/>
      <c r="K49" s="1988"/>
      <c r="L49" s="1988"/>
      <c r="M49" s="1988"/>
      <c r="N49" s="1989"/>
    </row>
    <row r="50" spans="1:14" ht="15" x14ac:dyDescent="0.25">
      <c r="A50" s="1986" t="s">
        <v>2060</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16" t="s">
        <v>1020</v>
      </c>
      <c r="L52" s="2404" t="str">
        <f>J6</f>
        <v xml:space="preserve">  Clinton CUSD 15</v>
      </c>
      <c r="M52" s="2404"/>
      <c r="N52" s="2434"/>
    </row>
    <row r="53" spans="1:14" x14ac:dyDescent="0.2">
      <c r="A53" s="1980"/>
      <c r="B53" s="1981"/>
      <c r="C53" s="1981"/>
      <c r="D53" s="1981"/>
      <c r="E53" s="1981"/>
      <c r="F53" s="1981"/>
      <c r="G53" s="1981"/>
      <c r="H53" s="1981"/>
      <c r="I53" s="1981"/>
      <c r="J53" s="1981"/>
      <c r="K53" s="1916" t="s">
        <v>369</v>
      </c>
      <c r="L53" s="2409">
        <f>J7</f>
        <v>17020015026</v>
      </c>
      <c r="M53" s="2409"/>
      <c r="N53" s="2435"/>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36"/>
      <c r="B55" s="2437"/>
      <c r="C55" s="2437"/>
      <c r="D55" s="1991"/>
      <c r="E55" s="1991"/>
      <c r="F55" s="1991"/>
      <c r="G55" s="2438" t="s">
        <v>2061</v>
      </c>
      <c r="H55" s="2438"/>
      <c r="I55" s="2438"/>
      <c r="J55" s="2438"/>
      <c r="K55" s="2438"/>
      <c r="L55" s="2438"/>
      <c r="M55" s="2438"/>
      <c r="N55" s="2439"/>
    </row>
    <row r="56" spans="1:14" ht="63.75" x14ac:dyDescent="0.2">
      <c r="A56" s="2440" t="s">
        <v>2062</v>
      </c>
      <c r="B56" s="2441"/>
      <c r="C56" s="2442"/>
      <c r="D56" s="1992" t="s">
        <v>2063</v>
      </c>
      <c r="E56" s="1992" t="s">
        <v>2064</v>
      </c>
      <c r="F56" s="1993"/>
      <c r="G56" s="1992" t="s">
        <v>2065</v>
      </c>
      <c r="H56" s="1992" t="s">
        <v>2066</v>
      </c>
      <c r="I56" s="1992" t="s">
        <v>2067</v>
      </c>
      <c r="J56" s="1992" t="s">
        <v>2068</v>
      </c>
      <c r="K56" s="1992" t="s">
        <v>2069</v>
      </c>
      <c r="L56" s="1992" t="s">
        <v>2070</v>
      </c>
      <c r="M56" s="1992" t="s">
        <v>2071</v>
      </c>
      <c r="N56" s="1994" t="s">
        <v>2072</v>
      </c>
    </row>
    <row r="57" spans="1:14" ht="24.75" customHeight="1" x14ac:dyDescent="0.2">
      <c r="A57" s="2443" t="s">
        <v>296</v>
      </c>
      <c r="B57" s="2444"/>
      <c r="C57" s="2444"/>
      <c r="D57" s="1995">
        <v>2361</v>
      </c>
      <c r="E57" s="1996">
        <f>'Expenditures 15-22'!K319</f>
        <v>0</v>
      </c>
      <c r="F57" s="1997"/>
      <c r="G57" s="1998"/>
      <c r="H57" s="1999"/>
      <c r="I57" s="1999"/>
      <c r="J57" s="1999"/>
      <c r="K57" s="1999"/>
      <c r="L57" s="1999"/>
      <c r="M57" s="1999"/>
      <c r="N57" s="2000">
        <f>IF((SUM(G57:M57))=E57,SUM(G57:M57),"Column N does not agree with Column E")</f>
        <v>0</v>
      </c>
    </row>
    <row r="58" spans="1:14" ht="24" customHeight="1" x14ac:dyDescent="0.2">
      <c r="A58" s="2422" t="s">
        <v>2073</v>
      </c>
      <c r="B58" s="2423"/>
      <c r="C58" s="2423"/>
      <c r="D58" s="2001">
        <v>2362</v>
      </c>
      <c r="E58" s="2002">
        <f>'Expenditures 15-22'!K320</f>
        <v>53077</v>
      </c>
      <c r="F58" s="1997"/>
      <c r="G58" s="2003"/>
      <c r="H58" s="2004"/>
      <c r="I58" s="2004"/>
      <c r="J58" s="2004"/>
      <c r="K58" s="2004"/>
      <c r="L58" s="2004"/>
      <c r="M58" s="2004">
        <v>53077</v>
      </c>
      <c r="N58" s="2000">
        <f>IF((SUM(G58:M58))=E58,SUM(G58:M58),"Column N does not agree with Column E")</f>
        <v>53077</v>
      </c>
    </row>
    <row r="59" spans="1:14" ht="24.75" customHeight="1" x14ac:dyDescent="0.2">
      <c r="A59" s="2445" t="s">
        <v>297</v>
      </c>
      <c r="B59" s="2446"/>
      <c r="C59" s="2446"/>
      <c r="D59" s="2001">
        <v>2363</v>
      </c>
      <c r="E59" s="2002">
        <f>'Expenditures 15-22'!K321</f>
        <v>0</v>
      </c>
      <c r="F59" s="1997"/>
      <c r="G59" s="2003"/>
      <c r="H59" s="2004"/>
      <c r="I59" s="2004"/>
      <c r="J59" s="2004"/>
      <c r="K59" s="2004"/>
      <c r="L59" s="2004"/>
      <c r="M59" s="2004"/>
      <c r="N59" s="2000">
        <f>IF((SUM(G59:M59))=E59,SUM(G59:M59),"Column N does not agree with Column E")</f>
        <v>0</v>
      </c>
    </row>
    <row r="60" spans="1:14" ht="24" customHeight="1" x14ac:dyDescent="0.2">
      <c r="A60" s="2445" t="s">
        <v>236</v>
      </c>
      <c r="B60" s="2446"/>
      <c r="C60" s="2446"/>
      <c r="D60" s="2001">
        <v>2364</v>
      </c>
      <c r="E60" s="2002">
        <f>'Expenditures 15-22'!K322</f>
        <v>12750</v>
      </c>
      <c r="F60" s="1997"/>
      <c r="G60" s="2003"/>
      <c r="H60" s="2004"/>
      <c r="I60" s="2004"/>
      <c r="J60" s="2004"/>
      <c r="K60" s="2004"/>
      <c r="L60" s="2004"/>
      <c r="M60" s="2004">
        <v>12750</v>
      </c>
      <c r="N60" s="2000">
        <f t="shared" ref="N60:N67" si="4">IF((SUM(G60:M60))=E60,SUM(G60:M60),"Column N does not agree with Column E")</f>
        <v>12750</v>
      </c>
    </row>
    <row r="61" spans="1:14" ht="24.75" customHeight="1" x14ac:dyDescent="0.2">
      <c r="A61" s="2445" t="s">
        <v>696</v>
      </c>
      <c r="B61" s="2446"/>
      <c r="C61" s="2446"/>
      <c r="D61" s="2001">
        <v>2365</v>
      </c>
      <c r="E61" s="2002">
        <f>'Expenditures 15-22'!K323</f>
        <v>0</v>
      </c>
      <c r="F61" s="1997"/>
      <c r="G61" s="2003"/>
      <c r="H61" s="2004"/>
      <c r="I61" s="2004"/>
      <c r="J61" s="2004"/>
      <c r="K61" s="2004"/>
      <c r="L61" s="2004"/>
      <c r="M61" s="2004"/>
      <c r="N61" s="2000">
        <f t="shared" si="4"/>
        <v>0</v>
      </c>
    </row>
    <row r="62" spans="1:14" ht="24" customHeight="1" x14ac:dyDescent="0.2">
      <c r="A62" s="2445" t="s">
        <v>237</v>
      </c>
      <c r="B62" s="2446"/>
      <c r="C62" s="2446"/>
      <c r="D62" s="2001">
        <v>2366</v>
      </c>
      <c r="E62" s="2002">
        <f>'Expenditures 15-22'!K324</f>
        <v>0</v>
      </c>
      <c r="F62" s="1997"/>
      <c r="G62" s="2003"/>
      <c r="H62" s="2004"/>
      <c r="I62" s="2004"/>
      <c r="J62" s="2004"/>
      <c r="K62" s="2004"/>
      <c r="L62" s="2004"/>
      <c r="M62" s="2004"/>
      <c r="N62" s="2000">
        <f t="shared" si="4"/>
        <v>0</v>
      </c>
    </row>
    <row r="63" spans="1:14" ht="24" customHeight="1" x14ac:dyDescent="0.2">
      <c r="A63" s="2422" t="s">
        <v>1021</v>
      </c>
      <c r="B63" s="2423"/>
      <c r="C63" s="2423"/>
      <c r="D63" s="2001">
        <v>2367</v>
      </c>
      <c r="E63" s="2002">
        <f>'Expenditures 15-22'!K325</f>
        <v>570651</v>
      </c>
      <c r="F63" s="1997"/>
      <c r="G63" s="2003">
        <v>14889</v>
      </c>
      <c r="H63" s="2004"/>
      <c r="I63" s="2004"/>
      <c r="J63" s="2004"/>
      <c r="K63" s="2004"/>
      <c r="L63" s="2004"/>
      <c r="M63" s="2004">
        <v>555762</v>
      </c>
      <c r="N63" s="2000">
        <f t="shared" si="4"/>
        <v>570651</v>
      </c>
    </row>
    <row r="64" spans="1:14" ht="24" customHeight="1" x14ac:dyDescent="0.2">
      <c r="A64" s="2445" t="s">
        <v>1022</v>
      </c>
      <c r="B64" s="2446"/>
      <c r="C64" s="2446"/>
      <c r="D64" s="2001">
        <v>2368</v>
      </c>
      <c r="E64" s="2002">
        <f>'Expenditures 15-22'!K326</f>
        <v>0</v>
      </c>
      <c r="F64" s="1997"/>
      <c r="G64" s="2003"/>
      <c r="H64" s="2004"/>
      <c r="I64" s="2004"/>
      <c r="J64" s="2004"/>
      <c r="K64" s="2004"/>
      <c r="L64" s="2004"/>
      <c r="M64" s="2004"/>
      <c r="N64" s="2000">
        <f t="shared" si="4"/>
        <v>0</v>
      </c>
    </row>
    <row r="65" spans="1:14" ht="24" customHeight="1" x14ac:dyDescent="0.2">
      <c r="A65" s="2445" t="s">
        <v>964</v>
      </c>
      <c r="B65" s="2446"/>
      <c r="C65" s="2446"/>
      <c r="D65" s="2001">
        <v>2369</v>
      </c>
      <c r="E65" s="2002">
        <f>'Expenditures 15-22'!K327</f>
        <v>0</v>
      </c>
      <c r="F65" s="1997"/>
      <c r="G65" s="2003"/>
      <c r="H65" s="2004"/>
      <c r="I65" s="2004"/>
      <c r="J65" s="2004"/>
      <c r="K65" s="2004"/>
      <c r="L65" s="2004"/>
      <c r="M65" s="2004"/>
      <c r="N65" s="2000">
        <f t="shared" si="4"/>
        <v>0</v>
      </c>
    </row>
    <row r="66" spans="1:14" ht="24" customHeight="1" x14ac:dyDescent="0.2">
      <c r="A66" s="2445" t="s">
        <v>469</v>
      </c>
      <c r="B66" s="2446"/>
      <c r="C66" s="2446"/>
      <c r="D66" s="2001">
        <v>2371</v>
      </c>
      <c r="E66" s="2002">
        <f>'Expenditures 15-22'!K328</f>
        <v>62555</v>
      </c>
      <c r="F66" s="1997"/>
      <c r="G66" s="2003"/>
      <c r="H66" s="2004"/>
      <c r="I66" s="2004"/>
      <c r="J66" s="2004"/>
      <c r="K66" s="2004"/>
      <c r="L66" s="2004"/>
      <c r="M66" s="2004">
        <v>62555</v>
      </c>
      <c r="N66" s="2000">
        <f t="shared" si="4"/>
        <v>62555</v>
      </c>
    </row>
    <row r="67" spans="1:14" ht="24.75" customHeight="1" x14ac:dyDescent="0.2">
      <c r="A67" s="2447" t="s">
        <v>2074</v>
      </c>
      <c r="B67" s="2448"/>
      <c r="C67" s="2448"/>
      <c r="D67" s="2005">
        <v>2372</v>
      </c>
      <c r="E67" s="2006">
        <f>'Expenditures 15-22'!K329</f>
        <v>73928</v>
      </c>
      <c r="F67" s="1997"/>
      <c r="G67" s="2007"/>
      <c r="H67" s="2008"/>
      <c r="I67" s="2008"/>
      <c r="J67" s="2008"/>
      <c r="K67" s="2008"/>
      <c r="L67" s="2008"/>
      <c r="M67" s="2008">
        <v>73928</v>
      </c>
      <c r="N67" s="2000">
        <f t="shared" si="4"/>
        <v>73928</v>
      </c>
    </row>
    <row r="68" spans="1:14" x14ac:dyDescent="0.2">
      <c r="A68" s="2449" t="s">
        <v>1150</v>
      </c>
      <c r="B68" s="2450"/>
      <c r="C68" s="2450"/>
      <c r="D68" s="1991"/>
      <c r="E68" s="2009">
        <f>SUM(E57:E67)</f>
        <v>772961</v>
      </c>
      <c r="F68" s="2010"/>
      <c r="G68" s="2009">
        <f t="shared" ref="G68:N68" si="5">SUM(G57:G67)</f>
        <v>14889</v>
      </c>
      <c r="H68" s="2009">
        <f t="shared" si="5"/>
        <v>0</v>
      </c>
      <c r="I68" s="2009">
        <f t="shared" si="5"/>
        <v>0</v>
      </c>
      <c r="J68" s="2009">
        <f t="shared" si="5"/>
        <v>0</v>
      </c>
      <c r="K68" s="2009">
        <f t="shared" si="5"/>
        <v>0</v>
      </c>
      <c r="L68" s="2009">
        <f t="shared" si="5"/>
        <v>0</v>
      </c>
      <c r="M68" s="2009">
        <f t="shared" si="5"/>
        <v>758072</v>
      </c>
      <c r="N68" s="2011">
        <f t="shared" si="5"/>
        <v>772961</v>
      </c>
    </row>
    <row r="69" spans="1:14" x14ac:dyDescent="0.2">
      <c r="A69" s="2012"/>
      <c r="B69" s="2013"/>
      <c r="C69" s="2013"/>
      <c r="D69" s="2013"/>
      <c r="E69" s="2013"/>
      <c r="F69" s="2013"/>
      <c r="G69" s="2013"/>
      <c r="H69" s="2013"/>
      <c r="I69" s="2013"/>
      <c r="J69" s="2013"/>
      <c r="K69" s="2013"/>
      <c r="L69" s="2013"/>
      <c r="M69" s="2013"/>
      <c r="N69" s="2014"/>
    </row>
    <row r="70" spans="1:14" ht="15.75" x14ac:dyDescent="0.25">
      <c r="A70" s="2015" t="s">
        <v>2075</v>
      </c>
      <c r="B70" s="2013"/>
      <c r="C70" s="2013"/>
      <c r="D70" s="2013"/>
      <c r="E70" s="2013"/>
      <c r="F70" s="2013"/>
      <c r="G70" s="2013"/>
      <c r="H70" s="2013"/>
      <c r="I70" s="2013"/>
      <c r="J70" s="2013"/>
      <c r="K70" s="2013"/>
      <c r="L70" s="2013"/>
      <c r="M70" s="2013"/>
      <c r="N70" s="2014"/>
    </row>
    <row r="71" spans="1:14" x14ac:dyDescent="0.2">
      <c r="A71" s="2012"/>
      <c r="B71" s="2013"/>
      <c r="C71" s="2013"/>
      <c r="D71" s="2013"/>
      <c r="E71" s="2013"/>
      <c r="F71" s="2013"/>
      <c r="G71" s="2013"/>
      <c r="H71" s="2013"/>
      <c r="I71" s="2013"/>
      <c r="J71" s="2013"/>
      <c r="K71" s="2013"/>
      <c r="L71" s="2013"/>
      <c r="M71" s="2013"/>
      <c r="N71" s="2014"/>
    </row>
    <row r="72" spans="1:14" x14ac:dyDescent="0.2">
      <c r="A72" s="2012"/>
      <c r="B72" s="2013"/>
      <c r="C72" s="2013"/>
      <c r="D72" s="2013"/>
      <c r="E72" s="2013"/>
      <c r="F72" s="2013"/>
      <c r="G72" s="2013"/>
      <c r="H72" s="2013"/>
      <c r="I72" s="2013"/>
      <c r="J72" s="2013"/>
      <c r="K72" s="2013"/>
      <c r="L72" s="2013"/>
      <c r="M72" s="2013"/>
      <c r="N72" s="2014"/>
    </row>
    <row r="73" spans="1:14" x14ac:dyDescent="0.2">
      <c r="A73" s="2012"/>
      <c r="B73" s="2013"/>
      <c r="C73" s="2013"/>
      <c r="D73" s="2013"/>
      <c r="E73" s="2013"/>
      <c r="F73" s="2013"/>
      <c r="G73" s="2013"/>
      <c r="H73" s="2013"/>
      <c r="I73" s="2013"/>
      <c r="J73" s="2013"/>
      <c r="K73" s="2013"/>
      <c r="L73" s="2013"/>
      <c r="M73" s="2013"/>
      <c r="N73" s="2014"/>
    </row>
    <row r="74" spans="1:14" x14ac:dyDescent="0.2">
      <c r="A74" s="2012"/>
      <c r="B74" s="2013"/>
      <c r="C74" s="2013"/>
      <c r="D74" s="2013"/>
      <c r="E74" s="2013"/>
      <c r="F74" s="2013"/>
      <c r="G74" s="2013"/>
      <c r="H74" s="2013"/>
      <c r="I74" s="2013"/>
      <c r="J74" s="2013"/>
      <c r="K74" s="2013"/>
      <c r="L74" s="2013"/>
      <c r="M74" s="2013"/>
      <c r="N74" s="2014"/>
    </row>
    <row r="75" spans="1:14" x14ac:dyDescent="0.2">
      <c r="A75" s="2012"/>
      <c r="B75" s="2013"/>
      <c r="C75" s="2013"/>
      <c r="D75" s="2013"/>
      <c r="E75" s="2013"/>
      <c r="F75" s="2013"/>
      <c r="G75" s="2013"/>
      <c r="H75" s="2013"/>
      <c r="I75" s="2013"/>
      <c r="J75" s="2013"/>
      <c r="K75" s="2013"/>
      <c r="L75" s="2013"/>
      <c r="M75" s="2013"/>
      <c r="N75" s="2014"/>
    </row>
    <row r="76" spans="1:14" x14ac:dyDescent="0.2">
      <c r="A76" s="2012"/>
      <c r="B76" s="2013"/>
      <c r="C76" s="2013"/>
      <c r="D76" s="2013"/>
      <c r="E76" s="2013"/>
      <c r="F76" s="2013"/>
      <c r="G76" s="2013"/>
      <c r="H76" s="2013"/>
      <c r="I76" s="2013"/>
      <c r="J76" s="2013"/>
      <c r="K76" s="2013"/>
      <c r="L76" s="2013"/>
      <c r="M76" s="2013"/>
      <c r="N76" s="2014"/>
    </row>
    <row r="77" spans="1:14" x14ac:dyDescent="0.2">
      <c r="A77" s="2012"/>
      <c r="B77" s="2013"/>
      <c r="C77" s="2013"/>
      <c r="D77" s="2013"/>
      <c r="E77" s="2013"/>
      <c r="F77" s="2013"/>
      <c r="G77" s="2013"/>
      <c r="H77" s="2013"/>
      <c r="I77" s="2013"/>
      <c r="J77" s="2013"/>
      <c r="K77" s="2013"/>
      <c r="L77" s="2013"/>
      <c r="M77" s="2013"/>
      <c r="N77" s="2014"/>
    </row>
    <row r="78" spans="1:14" x14ac:dyDescent="0.2">
      <c r="A78" s="2012"/>
      <c r="B78" s="2013"/>
      <c r="C78" s="2013"/>
      <c r="D78" s="2013"/>
      <c r="E78" s="2013"/>
      <c r="F78" s="2013"/>
      <c r="G78" s="2013"/>
      <c r="H78" s="2013"/>
      <c r="I78" s="2013"/>
      <c r="J78" s="2013"/>
      <c r="K78" s="2013"/>
      <c r="L78" s="2013"/>
      <c r="M78" s="2013"/>
      <c r="N78" s="2014"/>
    </row>
    <row r="79" spans="1:14" x14ac:dyDescent="0.2">
      <c r="A79" s="2012"/>
      <c r="B79" s="2013"/>
      <c r="C79" s="2013"/>
      <c r="D79" s="2013"/>
      <c r="E79" s="2013"/>
      <c r="F79" s="2013"/>
      <c r="G79" s="2013"/>
      <c r="H79" s="2013"/>
      <c r="I79" s="2013"/>
      <c r="J79" s="2013"/>
      <c r="K79" s="2013"/>
      <c r="L79" s="2013"/>
      <c r="M79" s="2013"/>
      <c r="N79" s="2014"/>
    </row>
    <row r="80" spans="1:14" x14ac:dyDescent="0.2">
      <c r="A80" s="2012"/>
      <c r="B80" s="2013"/>
      <c r="C80" s="2013"/>
      <c r="D80" s="2013"/>
      <c r="E80" s="2013"/>
      <c r="F80" s="2013"/>
      <c r="G80" s="2013"/>
      <c r="H80" s="2013"/>
      <c r="I80" s="2013"/>
      <c r="J80" s="2013"/>
      <c r="K80" s="2013"/>
      <c r="L80" s="2013"/>
      <c r="M80" s="2013"/>
      <c r="N80" s="2014"/>
    </row>
    <row r="81" spans="1:14" x14ac:dyDescent="0.2">
      <c r="A81" s="2012"/>
      <c r="B81" s="2013"/>
      <c r="C81" s="2013"/>
      <c r="D81" s="2013"/>
      <c r="E81" s="2013"/>
      <c r="F81" s="2013"/>
      <c r="G81" s="2013"/>
      <c r="H81" s="2013"/>
      <c r="I81" s="2013"/>
      <c r="J81" s="2013"/>
      <c r="K81" s="2013"/>
      <c r="L81" s="2013"/>
      <c r="M81" s="2013"/>
      <c r="N81" s="2014"/>
    </row>
    <row r="82" spans="1:14" x14ac:dyDescent="0.2">
      <c r="A82" s="2012"/>
      <c r="B82" s="2013"/>
      <c r="C82" s="2013"/>
      <c r="D82" s="2013"/>
      <c r="E82" s="2013"/>
      <c r="F82" s="2013"/>
      <c r="G82" s="2013"/>
      <c r="H82" s="2013"/>
      <c r="I82" s="2013"/>
      <c r="J82" s="2013"/>
      <c r="K82" s="2013"/>
      <c r="L82" s="2013"/>
      <c r="M82" s="2013"/>
      <c r="N82" s="2014"/>
    </row>
    <row r="83" spans="1:14" ht="13.5" thickBot="1" x14ac:dyDescent="0.25">
      <c r="A83" s="2016"/>
      <c r="B83" s="2017"/>
      <c r="C83" s="2017"/>
      <c r="D83" s="2017"/>
      <c r="E83" s="2017"/>
      <c r="F83" s="2017"/>
      <c r="G83" s="2017"/>
      <c r="H83" s="2017"/>
      <c r="I83" s="2017"/>
      <c r="J83" s="2017"/>
      <c r="K83" s="2017"/>
      <c r="L83" s="2017"/>
      <c r="M83" s="2017"/>
      <c r="N83" s="2018"/>
    </row>
  </sheetData>
  <sheetProtection algorithmName="SHA-512" hashValue="6th2zYlHL6rJNuypZRD7vVPdXI0CCxyRNu3X9QREsQ+GiDV2CfIx6SG+vd9v/nK6TwAbMkYNvzbeG87QVuPraQ==" saltValue="gah4q20Trf+lCNmNM0LZ6w=="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topLeftCell="A19" zoomScale="110" zoomScaleNormal="110" workbookViewId="0">
      <selection activeCell="B36" sqref="B3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2081</v>
      </c>
    </row>
    <row r="6" spans="1:2" x14ac:dyDescent="0.2">
      <c r="A6" s="847"/>
      <c r="B6" s="307" t="s">
        <v>2082</v>
      </c>
    </row>
    <row r="7" spans="1:2" x14ac:dyDescent="0.2">
      <c r="A7" s="847"/>
      <c r="B7" s="307" t="s">
        <v>2083</v>
      </c>
    </row>
    <row r="8" spans="1:2" x14ac:dyDescent="0.2">
      <c r="A8" s="847"/>
      <c r="B8" s="307" t="s">
        <v>2084</v>
      </c>
    </row>
    <row r="9" spans="1:2" x14ac:dyDescent="0.2">
      <c r="A9" s="848"/>
      <c r="B9" s="307" t="s">
        <v>2085</v>
      </c>
    </row>
    <row r="10" spans="1:2" x14ac:dyDescent="0.2">
      <c r="A10" s="848"/>
      <c r="B10" s="307" t="s">
        <v>2086</v>
      </c>
    </row>
    <row r="11" spans="1:2" x14ac:dyDescent="0.2">
      <c r="A11" s="848"/>
      <c r="B11" s="307" t="s">
        <v>2117</v>
      </c>
    </row>
    <row r="12" spans="1:2" x14ac:dyDescent="0.2">
      <c r="A12" s="848"/>
    </row>
    <row r="13" spans="1:2" x14ac:dyDescent="0.2">
      <c r="A13" s="848"/>
      <c r="B13" s="307" t="s">
        <v>2087</v>
      </c>
    </row>
    <row r="14" spans="1:2" x14ac:dyDescent="0.2">
      <c r="A14" s="848"/>
      <c r="B14" s="307" t="s">
        <v>2088</v>
      </c>
    </row>
    <row r="15" spans="1:2" x14ac:dyDescent="0.2">
      <c r="A15" s="848"/>
      <c r="B15" s="307" t="s">
        <v>2089</v>
      </c>
    </row>
    <row r="16" spans="1:2" x14ac:dyDescent="0.2">
      <c r="A16" s="848"/>
    </row>
    <row r="17" spans="1:2" x14ac:dyDescent="0.2">
      <c r="A17" s="848"/>
      <c r="B17" s="307" t="s">
        <v>2090</v>
      </c>
    </row>
    <row r="18" spans="1:2" x14ac:dyDescent="0.2">
      <c r="A18" s="848"/>
      <c r="B18" s="307" t="s">
        <v>2088</v>
      </c>
    </row>
    <row r="19" spans="1:2" x14ac:dyDescent="0.2">
      <c r="A19" s="848"/>
      <c r="B19" s="307" t="s">
        <v>2091</v>
      </c>
    </row>
    <row r="20" spans="1:2" x14ac:dyDescent="0.2">
      <c r="A20" s="848"/>
    </row>
    <row r="21" spans="1:2" x14ac:dyDescent="0.2">
      <c r="A21" s="848"/>
      <c r="B21" s="307" t="s">
        <v>2092</v>
      </c>
    </row>
    <row r="22" spans="1:2" x14ac:dyDescent="0.2">
      <c r="A22" s="848"/>
      <c r="B22" s="307" t="s">
        <v>2088</v>
      </c>
    </row>
    <row r="23" spans="1:2" x14ac:dyDescent="0.2">
      <c r="A23" s="848"/>
      <c r="B23" s="307" t="s">
        <v>2093</v>
      </c>
    </row>
    <row r="24" spans="1:2" x14ac:dyDescent="0.2">
      <c r="A24" s="848"/>
      <c r="B24" s="307" t="s">
        <v>2094</v>
      </c>
    </row>
    <row r="25" spans="1:2" x14ac:dyDescent="0.2">
      <c r="A25" s="848"/>
      <c r="B25" s="307" t="s">
        <v>2095</v>
      </c>
    </row>
    <row r="26" spans="1:2" x14ac:dyDescent="0.2">
      <c r="A26" s="848"/>
    </row>
    <row r="27" spans="1:2" x14ac:dyDescent="0.2">
      <c r="A27" s="848"/>
      <c r="B27" s="307" t="s">
        <v>2096</v>
      </c>
    </row>
    <row r="28" spans="1:2" x14ac:dyDescent="0.2">
      <c r="A28" s="848"/>
      <c r="B28" s="307" t="s">
        <v>2088</v>
      </c>
    </row>
    <row r="29" spans="1:2" x14ac:dyDescent="0.2">
      <c r="A29" s="848"/>
      <c r="B29" s="307" t="s">
        <v>2097</v>
      </c>
    </row>
    <row r="30" spans="1:2" x14ac:dyDescent="0.2">
      <c r="A30" s="848"/>
    </row>
    <row r="31" spans="1:2" x14ac:dyDescent="0.2">
      <c r="A31" s="848"/>
      <c r="B31" s="307" t="s">
        <v>2140</v>
      </c>
    </row>
    <row r="32" spans="1:2" x14ac:dyDescent="0.2">
      <c r="A32" s="848"/>
      <c r="B32" s="307" t="s">
        <v>2088</v>
      </c>
    </row>
    <row r="33" spans="1:2" x14ac:dyDescent="0.2">
      <c r="A33" s="848"/>
      <c r="B33" s="307" t="s">
        <v>2098</v>
      </c>
    </row>
    <row r="34" spans="1:2" x14ac:dyDescent="0.2">
      <c r="A34" s="848"/>
    </row>
    <row r="35" spans="1:2" x14ac:dyDescent="0.2">
      <c r="A35" s="848"/>
      <c r="B35" s="307" t="s">
        <v>2141</v>
      </c>
    </row>
    <row r="36" spans="1:2" x14ac:dyDescent="0.2">
      <c r="A36" s="848"/>
      <c r="B36" s="307" t="s">
        <v>2088</v>
      </c>
    </row>
    <row r="37" spans="1:2" x14ac:dyDescent="0.2">
      <c r="A37" s="848"/>
      <c r="B37" s="307" t="s">
        <v>2099</v>
      </c>
    </row>
    <row r="38" spans="1:2" x14ac:dyDescent="0.2">
      <c r="A38" s="848"/>
    </row>
    <row r="39" spans="1:2" x14ac:dyDescent="0.2">
      <c r="A39" s="848"/>
      <c r="B39" s="307" t="s">
        <v>2100</v>
      </c>
    </row>
    <row r="40" spans="1:2" x14ac:dyDescent="0.2">
      <c r="A40" s="848"/>
      <c r="B40" s="307" t="s">
        <v>2088</v>
      </c>
    </row>
    <row r="41" spans="1:2" x14ac:dyDescent="0.2">
      <c r="A41" s="848"/>
      <c r="B41" s="307" t="s">
        <v>2101</v>
      </c>
    </row>
    <row r="42" spans="1:2" x14ac:dyDescent="0.2">
      <c r="A42" s="848"/>
    </row>
    <row r="43" spans="1:2" x14ac:dyDescent="0.2">
      <c r="A43" s="848"/>
      <c r="B43" s="307" t="s">
        <v>2102</v>
      </c>
    </row>
    <row r="44" spans="1:2" x14ac:dyDescent="0.2">
      <c r="A44" s="848"/>
      <c r="B44" s="307" t="s">
        <v>2088</v>
      </c>
    </row>
    <row r="45" spans="1:2" x14ac:dyDescent="0.2">
      <c r="A45" s="848"/>
      <c r="B45" s="307" t="s">
        <v>2103</v>
      </c>
    </row>
    <row r="46" spans="1:2" x14ac:dyDescent="0.2">
      <c r="A46" s="848"/>
    </row>
    <row r="47" spans="1:2" x14ac:dyDescent="0.2">
      <c r="A47" s="848"/>
      <c r="B47" s="307" t="s">
        <v>2104</v>
      </c>
    </row>
    <row r="48" spans="1:2" x14ac:dyDescent="0.2">
      <c r="A48" s="848"/>
      <c r="B48" s="307" t="s">
        <v>2105</v>
      </c>
    </row>
    <row r="49" spans="1:2" x14ac:dyDescent="0.2">
      <c r="A49" s="848"/>
      <c r="B49" s="307" t="s">
        <v>2106</v>
      </c>
    </row>
    <row r="50" spans="1:2" x14ac:dyDescent="0.2">
      <c r="A50" s="848"/>
    </row>
    <row r="51" spans="1:2" x14ac:dyDescent="0.2">
      <c r="A51" s="848"/>
      <c r="B51" s="307" t="s">
        <v>2107</v>
      </c>
    </row>
    <row r="52" spans="1:2" x14ac:dyDescent="0.2">
      <c r="A52" s="848"/>
      <c r="B52" s="307" t="s">
        <v>2084</v>
      </c>
    </row>
    <row r="53" spans="1:2" x14ac:dyDescent="0.2">
      <c r="A53" s="848"/>
      <c r="B53" s="307" t="s">
        <v>2108</v>
      </c>
    </row>
    <row r="54" spans="1:2" x14ac:dyDescent="0.2">
      <c r="A54" s="848"/>
    </row>
    <row r="55" spans="1:2" x14ac:dyDescent="0.2">
      <c r="A55" s="848"/>
      <c r="B55" s="307" t="s">
        <v>2109</v>
      </c>
    </row>
    <row r="56" spans="1:2" x14ac:dyDescent="0.2">
      <c r="A56" s="848"/>
      <c r="B56" s="307" t="s">
        <v>2110</v>
      </c>
    </row>
    <row r="57" spans="1:2" x14ac:dyDescent="0.2">
      <c r="A57" s="848"/>
    </row>
    <row r="58" spans="1:2" x14ac:dyDescent="0.2">
      <c r="A58" s="848"/>
      <c r="B58" s="307" t="s">
        <v>2111</v>
      </c>
    </row>
    <row r="59" spans="1:2" x14ac:dyDescent="0.2">
      <c r="A59" s="848"/>
      <c r="B59" s="307" t="s">
        <v>2113</v>
      </c>
    </row>
    <row r="60" spans="1:2" x14ac:dyDescent="0.2">
      <c r="A60" s="848"/>
      <c r="B60" s="307" t="s">
        <v>2112</v>
      </c>
    </row>
    <row r="61" spans="1:2" x14ac:dyDescent="0.2">
      <c r="A61" s="848"/>
    </row>
    <row r="62" spans="1:2" x14ac:dyDescent="0.2">
      <c r="A62" s="848"/>
      <c r="B62" s="307" t="s">
        <v>2114</v>
      </c>
    </row>
    <row r="63" spans="1:2" x14ac:dyDescent="0.2">
      <c r="A63" s="848"/>
      <c r="B63" s="307" t="s">
        <v>2115</v>
      </c>
    </row>
    <row r="64" spans="1:2" x14ac:dyDescent="0.2">
      <c r="A64" s="848"/>
    </row>
    <row r="65" spans="1:2" x14ac:dyDescent="0.2">
      <c r="A65" s="848"/>
      <c r="B65" s="253" t="str">
        <f>COVER!A17</f>
        <v xml:space="preserve">  Clinton CUSD 15</v>
      </c>
    </row>
    <row r="66" spans="1:2" x14ac:dyDescent="0.2">
      <c r="B66" s="849">
        <f>COVER!A13</f>
        <v>17020015026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N34" sqref="N3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2076</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2077</v>
      </c>
    </row>
    <row r="33" spans="1:5" x14ac:dyDescent="0.2">
      <c r="A33" s="167"/>
      <c r="D33" s="164"/>
      <c r="E33" s="166"/>
    </row>
    <row r="34" spans="1:5" x14ac:dyDescent="0.2">
      <c r="A34" s="167"/>
      <c r="D34" s="164"/>
      <c r="E34" s="166"/>
    </row>
    <row r="35" spans="1:5" ht="15.75" customHeight="1" thickBot="1" x14ac:dyDescent="0.25">
      <c r="A35" s="2137" t="s">
        <v>1055</v>
      </c>
      <c r="B35" s="2137"/>
      <c r="C35" s="2137"/>
      <c r="D35" s="2137"/>
      <c r="E35" s="213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4" t="s">
        <v>685</v>
      </c>
      <c r="B40" s="2134"/>
      <c r="C40" s="2134"/>
      <c r="D40" s="2134"/>
      <c r="E40" s="2134"/>
    </row>
    <row r="41" spans="1:5" x14ac:dyDescent="0.2">
      <c r="A41" s="2135" t="s">
        <v>1588</v>
      </c>
      <c r="B41" s="2135"/>
      <c r="C41" s="2135"/>
      <c r="D41" s="2135"/>
      <c r="E41" s="2135"/>
    </row>
    <row r="42" spans="1:5" ht="12.75" customHeight="1" x14ac:dyDescent="0.2">
      <c r="A42" s="2136" t="s">
        <v>1014</v>
      </c>
      <c r="B42" s="2136"/>
      <c r="C42" s="2136"/>
      <c r="D42" s="2136"/>
      <c r="E42" s="2136"/>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dcmSx4Thaakf64LoJuEj7mADKDPVH6OGp2zMGdEF2fG+tD9p24awlcaUqfUZQbbWtvMdMrxBy9WAcFQWQUviyQ==" saltValue="hl2ILo8bHRA5DzNMBy0Tiw=="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Itemization 34'!A1"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N34" sqref="N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7" sqref="E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51" t="s">
        <v>1662</v>
      </c>
      <c r="B18" s="245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142875</xdr:colOff>
                <xdr:row>1</xdr:row>
                <xdr:rowOff>57150</xdr:rowOff>
              </from>
              <to>
                <xdr:col>1</xdr:col>
                <xdr:colOff>1057275</xdr:colOff>
                <xdr:row>5</xdr:row>
                <xdr:rowOff>95250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1</xdr:col>
                <xdr:colOff>133350</xdr:colOff>
                <xdr:row>6</xdr:row>
                <xdr:rowOff>47625</xdr:rowOff>
              </from>
              <to>
                <xdr:col>1</xdr:col>
                <xdr:colOff>1047750</xdr:colOff>
                <xdr:row>10</xdr:row>
                <xdr:rowOff>85725</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60" r:id="rId8">
          <objectPr defaultSize="0" r:id="rId9">
            <anchor moveWithCells="1">
              <from>
                <xdr:col>1</xdr:col>
                <xdr:colOff>1228725</xdr:colOff>
                <xdr:row>1</xdr:row>
                <xdr:rowOff>66675</xdr:rowOff>
              </from>
              <to>
                <xdr:col>1</xdr:col>
                <xdr:colOff>2143125</xdr:colOff>
                <xdr:row>5</xdr:row>
                <xdr:rowOff>104775</xdr:rowOff>
              </to>
            </anchor>
          </objectPr>
        </oleObject>
      </mc:Choice>
      <mc:Fallback>
        <oleObject progId="Acrobat Document" dvAspect="DVASPECT_ICON" shapeId="45060" r:id="rId8"/>
      </mc:Fallback>
    </mc:AlternateContent>
    <mc:AlternateContent xmlns:mc="http://schemas.openxmlformats.org/markup-compatibility/2006">
      <mc:Choice Requires="x14">
        <oleObject progId="Acrobat Document" dvAspect="DVASPECT_ICON" shapeId="45061" r:id="rId10">
          <objectPr defaultSize="0" r:id="rId11">
            <anchor moveWithCells="1">
              <from>
                <xdr:col>1</xdr:col>
                <xdr:colOff>1228725</xdr:colOff>
                <xdr:row>6</xdr:row>
                <xdr:rowOff>47625</xdr:rowOff>
              </from>
              <to>
                <xdr:col>1</xdr:col>
                <xdr:colOff>2143125</xdr:colOff>
                <xdr:row>10</xdr:row>
                <xdr:rowOff>85725</xdr:rowOff>
              </to>
            </anchor>
          </objectPr>
        </oleObject>
      </mc:Choice>
      <mc:Fallback>
        <oleObject progId="Acrobat Document" dvAspect="DVASPECT_ICON" shapeId="45061" r:id="rId10"/>
      </mc:Fallback>
    </mc:AlternateContent>
    <mc:AlternateContent xmlns:mc="http://schemas.openxmlformats.org/markup-compatibility/2006">
      <mc:Choice Requires="x14">
        <oleObject progId="Acrobat Document" dvAspect="DVASPECT_ICON" shapeId="45062" r:id="rId12">
          <objectPr defaultSize="0" r:id="rId13">
            <anchor moveWithCells="1">
              <from>
                <xdr:col>1</xdr:col>
                <xdr:colOff>2352675</xdr:colOff>
                <xdr:row>1</xdr:row>
                <xdr:rowOff>66675</xdr:rowOff>
              </from>
              <to>
                <xdr:col>1</xdr:col>
                <xdr:colOff>3267075</xdr:colOff>
                <xdr:row>5</xdr:row>
                <xdr:rowOff>104775</xdr:rowOff>
              </to>
            </anchor>
          </objectPr>
        </oleObject>
      </mc:Choice>
      <mc:Fallback>
        <oleObject progId="Acrobat Document" dvAspect="DVASPECT_ICON" shapeId="45062" r:id="rId12"/>
      </mc:Fallback>
    </mc:AlternateContent>
    <mc:AlternateContent xmlns:mc="http://schemas.openxmlformats.org/markup-compatibility/2006">
      <mc:Choice Requires="x14">
        <oleObject progId="Acrobat Document" dvAspect="DVASPECT_ICON" shapeId="45063" r:id="rId14">
          <objectPr defaultSize="0" r:id="rId15">
            <anchor moveWithCells="1">
              <from>
                <xdr:col>1</xdr:col>
                <xdr:colOff>2362200</xdr:colOff>
                <xdr:row>6</xdr:row>
                <xdr:rowOff>47625</xdr:rowOff>
              </from>
              <to>
                <xdr:col>1</xdr:col>
                <xdr:colOff>3276600</xdr:colOff>
                <xdr:row>10</xdr:row>
                <xdr:rowOff>85725</xdr:rowOff>
              </to>
            </anchor>
          </objectPr>
        </oleObject>
      </mc:Choice>
      <mc:Fallback>
        <oleObject progId="Acrobat Document" dvAspect="DVASPECT_ICON" shapeId="45063" r:id="rId14"/>
      </mc:Fallback>
    </mc:AlternateContent>
    <mc:AlternateContent xmlns:mc="http://schemas.openxmlformats.org/markup-compatibility/2006">
      <mc:Choice Requires="x14">
        <oleObject progId="Acrobat Document" dvAspect="DVASPECT_ICON" shapeId="45064" r:id="rId16">
          <objectPr defaultSize="0" r:id="rId17">
            <anchor moveWithCells="1">
              <from>
                <xdr:col>1</xdr:col>
                <xdr:colOff>3438525</xdr:colOff>
                <xdr:row>1</xdr:row>
                <xdr:rowOff>76200</xdr:rowOff>
              </from>
              <to>
                <xdr:col>2</xdr:col>
                <xdr:colOff>371475</xdr:colOff>
                <xdr:row>5</xdr:row>
                <xdr:rowOff>114300</xdr:rowOff>
              </to>
            </anchor>
          </objectPr>
        </oleObject>
      </mc:Choice>
      <mc:Fallback>
        <oleObject progId="Acrobat Document" dvAspect="DVASPECT_ICON" shapeId="45064" r:id="rId16"/>
      </mc:Fallback>
    </mc:AlternateContent>
    <mc:AlternateContent xmlns:mc="http://schemas.openxmlformats.org/markup-compatibility/2006">
      <mc:Choice Requires="x14">
        <oleObject progId="Acrobat Document" dvAspect="DVASPECT_ICON" shapeId="45066" r:id="rId18">
          <objectPr defaultSize="0" r:id="rId19">
            <anchor moveWithCells="1">
              <from>
                <xdr:col>1</xdr:col>
                <xdr:colOff>3476625</xdr:colOff>
                <xdr:row>6</xdr:row>
                <xdr:rowOff>57150</xdr:rowOff>
              </from>
              <to>
                <xdr:col>2</xdr:col>
                <xdr:colOff>409575</xdr:colOff>
                <xdr:row>10</xdr:row>
                <xdr:rowOff>95250</xdr:rowOff>
              </to>
            </anchor>
          </objectPr>
        </oleObject>
      </mc:Choice>
      <mc:Fallback>
        <oleObject progId="Acrobat Document" dvAspect="DVASPECT_ICON" shapeId="45066"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N34" sqref="N3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2" t="s">
        <v>1666</v>
      </c>
      <c r="B1" s="2453"/>
      <c r="C1" s="2453"/>
      <c r="D1" s="2453"/>
      <c r="E1" s="2453"/>
      <c r="F1" s="2454"/>
    </row>
    <row r="2" spans="1:8" ht="45" customHeight="1" x14ac:dyDescent="0.2">
      <c r="A2" s="246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3"/>
      <c r="C2" s="2463"/>
      <c r="D2" s="2463"/>
      <c r="E2" s="2463"/>
      <c r="F2" s="2464"/>
      <c r="G2" s="853"/>
      <c r="H2" s="853"/>
    </row>
    <row r="3" spans="1:8" ht="57" customHeight="1" x14ac:dyDescent="0.2">
      <c r="A3" s="2465" t="s">
        <v>1969</v>
      </c>
      <c r="B3" s="2466"/>
      <c r="C3" s="2466"/>
      <c r="D3" s="2466"/>
      <c r="E3" s="2466"/>
      <c r="F3" s="2467"/>
      <c r="G3" s="853"/>
      <c r="H3" s="853"/>
    </row>
    <row r="4" spans="1:8" ht="14.25" customHeight="1" x14ac:dyDescent="0.2">
      <c r="A4" s="247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2"/>
      <c r="C4" s="2472"/>
      <c r="D4" s="2472"/>
      <c r="E4" s="2472"/>
      <c r="F4" s="2473"/>
      <c r="G4" s="853"/>
      <c r="H4" s="853"/>
    </row>
    <row r="5" spans="1:8" ht="14.25" customHeight="1" x14ac:dyDescent="0.2">
      <c r="A5" s="247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5"/>
      <c r="C5" s="2475"/>
      <c r="D5" s="2475"/>
      <c r="E5" s="2475"/>
      <c r="F5" s="2476"/>
      <c r="G5" s="853"/>
      <c r="H5" s="853"/>
    </row>
    <row r="6" spans="1:8" s="854" customFormat="1" ht="41.25" customHeight="1" x14ac:dyDescent="0.2">
      <c r="A6" s="2468" t="s">
        <v>1667</v>
      </c>
      <c r="B6" s="2469"/>
      <c r="C6" s="2469"/>
      <c r="D6" s="2469"/>
      <c r="E6" s="2469"/>
      <c r="F6" s="2470"/>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15636080</v>
      </c>
      <c r="C8" s="1798">
        <f>'Acct Summary 7-8'!D8</f>
        <v>2402617</v>
      </c>
      <c r="D8" s="1798">
        <f>'Acct Summary 7-8'!F8</f>
        <v>1589344</v>
      </c>
      <c r="E8" s="1798">
        <f>'Acct Summary 7-8'!I8</f>
        <v>283326</v>
      </c>
      <c r="F8" s="1798">
        <f>SUM(B8:E8)</f>
        <v>19911367</v>
      </c>
    </row>
    <row r="9" spans="1:8" s="858" customFormat="1" ht="14.25" customHeight="1" thickBot="1" x14ac:dyDescent="0.25">
      <c r="A9" s="857" t="s">
        <v>1351</v>
      </c>
      <c r="B9" s="1799">
        <f>'Acct Summary 7-8'!C17</f>
        <v>15914130</v>
      </c>
      <c r="C9" s="1799">
        <f>'Acct Summary 7-8'!D17</f>
        <v>1527630</v>
      </c>
      <c r="D9" s="1799">
        <f>'Acct Summary 7-8'!F17</f>
        <v>1420294</v>
      </c>
      <c r="E9" s="1798"/>
      <c r="F9" s="1798">
        <f>SUM(B9:E9)</f>
        <v>18862054</v>
      </c>
    </row>
    <row r="10" spans="1:8" s="858" customFormat="1" ht="14.25" thickTop="1" thickBot="1" x14ac:dyDescent="0.25">
      <c r="A10" s="859" t="s">
        <v>1352</v>
      </c>
      <c r="B10" s="1800">
        <f>(B8-B9)</f>
        <v>-278050</v>
      </c>
      <c r="C10" s="1800">
        <f>(C8-C9)</f>
        <v>874987</v>
      </c>
      <c r="D10" s="1800">
        <f>(D8-D9)</f>
        <v>169050</v>
      </c>
      <c r="E10" s="1799">
        <f>(E8-E9)</f>
        <v>283326</v>
      </c>
      <c r="F10" s="1801">
        <f>SUM(F8-F9)</f>
        <v>1049313</v>
      </c>
    </row>
    <row r="11" spans="1:8" s="858" customFormat="1" ht="14.25" thickTop="1" thickBot="1" x14ac:dyDescent="0.25">
      <c r="A11" s="860" t="s">
        <v>1900</v>
      </c>
      <c r="B11" s="1802">
        <f>'Acct Summary 7-8'!C81</f>
        <v>11816057</v>
      </c>
      <c r="C11" s="1802">
        <f>'Acct Summary 7-8'!D81</f>
        <v>5158311</v>
      </c>
      <c r="D11" s="1802">
        <f>'Acct Summary 7-8'!F81</f>
        <v>3674970</v>
      </c>
      <c r="E11" s="1802">
        <f>'Acct Summary 7-8'!I81</f>
        <v>4273264</v>
      </c>
      <c r="F11" s="1803">
        <f>SUM(B11:E11)</f>
        <v>24922602</v>
      </c>
    </row>
    <row r="12" spans="1:8" ht="16.5" customHeight="1" thickTop="1" x14ac:dyDescent="0.2">
      <c r="A12" s="861"/>
      <c r="B12" s="862"/>
      <c r="C12" s="2456" t="str">
        <f>IF(AND(F10&lt;0,F11&gt;=0,ABS(F10*3)&gt;ABS(F11)),A16,IF(AND(F10&lt;0,F11&gt;0,ABS(F10*3)&lt;=ABS(F11)),A17,IF(AND(F10&lt;0,F11&lt;0),A16,IF(F11=0,A19,A18))))</f>
        <v>Balanced - no deficit reduction plan is required.</v>
      </c>
      <c r="D12" s="2457"/>
      <c r="E12" s="2457"/>
      <c r="F12" s="2458"/>
    </row>
    <row r="13" spans="1:8" ht="19.5" customHeight="1" x14ac:dyDescent="0.2">
      <c r="A13" s="863"/>
      <c r="B13" s="864"/>
      <c r="C13" s="2456"/>
      <c r="D13" s="2457"/>
      <c r="E13" s="2457"/>
      <c r="F13" s="2458"/>
      <c r="H13" s="853"/>
    </row>
    <row r="14" spans="1:8" ht="19.5" customHeight="1" x14ac:dyDescent="0.2">
      <c r="A14" s="863"/>
      <c r="B14" s="864"/>
      <c r="C14" s="2456"/>
      <c r="D14" s="2457"/>
      <c r="E14" s="2457"/>
      <c r="F14" s="2458"/>
      <c r="H14" s="853"/>
    </row>
    <row r="15" spans="1:8" ht="17.25" customHeight="1" x14ac:dyDescent="0.2">
      <c r="A15" s="863"/>
      <c r="B15" s="864"/>
      <c r="C15" s="2459"/>
      <c r="D15" s="2460"/>
      <c r="E15" s="2460"/>
      <c r="F15" s="2461"/>
      <c r="H15" s="853"/>
    </row>
    <row r="16" spans="1:8" s="288" customFormat="1" ht="51.75" hidden="1" customHeight="1" x14ac:dyDescent="0.2">
      <c r="A16" s="2455" t="s">
        <v>1663</v>
      </c>
      <c r="B16" s="2455"/>
      <c r="C16" s="2455"/>
      <c r="D16" s="2455"/>
      <c r="E16" s="2455"/>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26" sqref="D2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7" t="s">
        <v>660</v>
      </c>
      <c r="B3" s="2478"/>
      <c r="C3" s="2478"/>
      <c r="D3" s="2479"/>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8" t="s">
        <v>1484</v>
      </c>
      <c r="D7" s="2489"/>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80" t="s">
        <v>1000</v>
      </c>
      <c r="B15" s="2481"/>
      <c r="C15" s="2481"/>
      <c r="D15" s="2482"/>
    </row>
    <row r="16" spans="1:4" s="542" customFormat="1" ht="24" customHeight="1" x14ac:dyDescent="0.2">
      <c r="A16" s="2483" t="s">
        <v>658</v>
      </c>
      <c r="B16" s="2484"/>
      <c r="C16" s="2484"/>
      <c r="D16" s="2485"/>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2" t="s">
        <v>311</v>
      </c>
      <c r="D21" s="2493"/>
    </row>
    <row r="22" spans="1:10" ht="12.75" x14ac:dyDescent="0.2">
      <c r="A22" s="918"/>
      <c r="B22" s="919">
        <v>2</v>
      </c>
      <c r="C22" s="2490" t="s">
        <v>1504</v>
      </c>
      <c r="D22" s="2491"/>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SENDING AN A-133 SEPERATELY!</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4" t="s">
        <v>533</v>
      </c>
      <c r="D43" s="2495"/>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6" t="s">
        <v>778</v>
      </c>
      <c r="D56" s="2487"/>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ERROR!</v>
      </c>
    </row>
    <row r="70" spans="1:4" x14ac:dyDescent="0.2">
      <c r="A70" s="877"/>
      <c r="B70" s="899">
        <f>B66+1</f>
        <v>9</v>
      </c>
      <c r="C70" s="2486" t="s">
        <v>1671</v>
      </c>
      <c r="D70" s="2487"/>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885" t="str">
        <f>IF('Contracts Paid in CY 29'!$D$36&gt;0,"OK","PLEASE ENTER CONTRACTS PAID IN CURRENT YEAR.  IF NONE, STATE NO CONTRACTS ON PAGE 29.")</f>
        <v>PLEASE ENTER CONTRACTS PAID IN CURRENT YEAR.  IF NONE, STATE NO CONTRACTS ON PAGE 29.</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UfpDxNEBtaDcYvUN4IDn4zmvMK27h7E1hqCRy2s/xPctlNsG2+fKUnZjlhEWKVFZ5GvMnc1FsHcNyJVu41TH6A==" saltValue="5RXD0CXva+ELGuaM9Sa7r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4" t="s">
        <v>1975</v>
      </c>
    </row>
    <row r="2" spans="1:7" ht="15.75" x14ac:dyDescent="0.25">
      <c r="A2" t="s">
        <v>260</v>
      </c>
      <c r="B2" s="135">
        <f>COVER!A13</f>
        <v>17020015026</v>
      </c>
      <c r="E2" s="1542">
        <v>2020</v>
      </c>
      <c r="F2" s="1542">
        <v>1</v>
      </c>
      <c r="G2" s="1883">
        <v>101000300</v>
      </c>
    </row>
    <row r="3" spans="1:7" ht="15" x14ac:dyDescent="0.25">
      <c r="A3" t="s">
        <v>949</v>
      </c>
      <c r="B3" s="135" t="str">
        <f>COVER!A15</f>
        <v>DEWITT</v>
      </c>
      <c r="E3" s="1815" t="s">
        <v>1968</v>
      </c>
      <c r="F3" s="1815" t="s">
        <v>1967</v>
      </c>
      <c r="G3" s="1883">
        <v>101000400</v>
      </c>
    </row>
    <row r="4" spans="1:7" ht="15" x14ac:dyDescent="0.25">
      <c r="A4" t="s">
        <v>999</v>
      </c>
      <c r="B4" s="135" t="str">
        <f>COVER!A17</f>
        <v xml:space="preserve">  Clinton CUSD 15</v>
      </c>
      <c r="E4" s="1813">
        <v>44119</v>
      </c>
      <c r="F4" s="1814">
        <v>44151</v>
      </c>
      <c r="G4" s="1883">
        <v>101000600</v>
      </c>
    </row>
    <row r="5" spans="1:7" ht="15" x14ac:dyDescent="0.25">
      <c r="A5" t="s">
        <v>698</v>
      </c>
      <c r="B5" s="135" t="str">
        <f>COVER!A38</f>
        <v>CURT NETTLES</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MARK JONTRY</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Yes</v>
      </c>
      <c r="G12" s="1883">
        <v>202100600</v>
      </c>
    </row>
    <row r="13" spans="1:7" ht="15" x14ac:dyDescent="0.25">
      <c r="A13" s="1" t="s">
        <v>1524</v>
      </c>
      <c r="B13" s="135" t="str">
        <f>IF(COVER!J30="x","Yes",IF(COVER!L30="x","No",0))</f>
        <v>No</v>
      </c>
      <c r="G13" s="1883">
        <v>202100800</v>
      </c>
    </row>
    <row r="14" spans="1:7" ht="15" x14ac:dyDescent="0.25">
      <c r="A14" t="s">
        <v>473</v>
      </c>
      <c r="B14" s="135" t="str">
        <f>IF(COVER!J31="x","Yes",IF(COVER!L31="x","No",0))</f>
        <v>Yes</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877</v>
      </c>
      <c r="B17" s="135" t="str">
        <f>COVER!T15</f>
        <v>KENT D. KULL</v>
      </c>
      <c r="G17" s="1883">
        <v>402100800</v>
      </c>
    </row>
    <row r="18" spans="1:7" ht="15" x14ac:dyDescent="0.25">
      <c r="A18" t="s">
        <v>1139</v>
      </c>
      <c r="B18" s="135" t="str">
        <f>COVER!T17</f>
        <v>230 N MORGAN, PO BOX 317</v>
      </c>
      <c r="G18" s="1883">
        <v>102200300</v>
      </c>
    </row>
    <row r="19" spans="1:7" ht="15" x14ac:dyDescent="0.25">
      <c r="A19" t="s">
        <v>879</v>
      </c>
      <c r="B19" s="135" t="str">
        <f>COVER!T25</f>
        <v>mybkcpas@consolidated.net</v>
      </c>
      <c r="G19" s="1883">
        <v>102200400</v>
      </c>
    </row>
    <row r="20" spans="1:7" ht="15" x14ac:dyDescent="0.25">
      <c r="A20" t="s">
        <v>880</v>
      </c>
      <c r="B20" s="135" t="str">
        <f>COVER!T19</f>
        <v>SHELBYVILLE</v>
      </c>
      <c r="G20" s="1883">
        <v>102200600</v>
      </c>
    </row>
    <row r="21" spans="1:7" ht="15" x14ac:dyDescent="0.25">
      <c r="A21" t="s">
        <v>476</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Yes</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Yes</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Yes</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0</v>
      </c>
      <c r="G49" s="1883">
        <v>102540800</v>
      </c>
    </row>
    <row r="50" spans="1:7" ht="15" x14ac:dyDescent="0.25">
      <c r="A50" s="1" t="s">
        <v>1460</v>
      </c>
      <c r="B50" s="146">
        <f>'Aud Quest 2'!H53</f>
        <v>0</v>
      </c>
      <c r="G50" s="1883">
        <v>202540300</v>
      </c>
    </row>
    <row r="51" spans="1:7" ht="15" x14ac:dyDescent="0.25">
      <c r="A51" s="1" t="s">
        <v>1462</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11080506</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0</v>
      </c>
      <c r="D76" s="2" t="str">
        <f t="shared" si="0"/>
        <v>Error?</v>
      </c>
      <c r="G76" s="1883">
        <v>102570600</v>
      </c>
    </row>
    <row r="77" spans="1:7" ht="15" x14ac:dyDescent="0.25">
      <c r="A77" s="5">
        <v>16</v>
      </c>
      <c r="B77" s="1817">
        <f>'Assets-Liab 5-6'!C13</f>
        <v>11822571</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6514</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6514</v>
      </c>
      <c r="C91" s="2" t="s">
        <v>569</v>
      </c>
      <c r="D91" s="2" t="str">
        <f t="shared" si="0"/>
        <v>Error?</v>
      </c>
      <c r="G91" s="1883">
        <v>102640400</v>
      </c>
    </row>
    <row r="92" spans="1:7" ht="15" x14ac:dyDescent="0.25">
      <c r="A92" s="5">
        <v>31</v>
      </c>
      <c r="B92" s="1817">
        <f>'Assets-Liab 5-6'!C39</f>
        <v>11816057</v>
      </c>
      <c r="D92" s="2" t="str">
        <f t="shared" si="0"/>
        <v>Error?</v>
      </c>
      <c r="G92" s="1883">
        <v>102640600</v>
      </c>
    </row>
    <row r="93" spans="1:7" ht="15" x14ac:dyDescent="0.25">
      <c r="A93" s="5">
        <v>32</v>
      </c>
      <c r="B93" s="1817">
        <f>'Assets-Liab 5-6'!C41</f>
        <v>11822571</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3949548</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5158311</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569</v>
      </c>
      <c r="D122" s="2" t="str">
        <f t="shared" si="0"/>
        <v>Error?</v>
      </c>
      <c r="G122" s="1883">
        <v>203000300</v>
      </c>
    </row>
    <row r="123" spans="1:7" ht="15" x14ac:dyDescent="0.25">
      <c r="A123" s="5">
        <v>62</v>
      </c>
      <c r="B123" s="1817">
        <f>'Assets-Liab 5-6'!D39</f>
        <v>5158311</v>
      </c>
      <c r="D123" s="2" t="str">
        <f t="shared" si="0"/>
        <v>Error?</v>
      </c>
      <c r="G123" s="1883">
        <v>203000400</v>
      </c>
    </row>
    <row r="124" spans="1:7" ht="15" x14ac:dyDescent="0.25">
      <c r="A124" s="5">
        <v>63</v>
      </c>
      <c r="B124" s="1817">
        <f>'Assets-Liab 5-6'!D41</f>
        <v>5158311</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0</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21809</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21809</v>
      </c>
      <c r="D140" s="2" t="str">
        <f t="shared" si="1"/>
        <v>Error?</v>
      </c>
    </row>
    <row r="141" spans="1:7" x14ac:dyDescent="0.2">
      <c r="A141" s="5">
        <v>80</v>
      </c>
      <c r="B141" s="1817">
        <f>'Assets-Liab 5-6'!E41</f>
        <v>21809</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2776061</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20</v>
      </c>
      <c r="D156" s="2" t="str">
        <f t="shared" si="1"/>
        <v>Error?</v>
      </c>
    </row>
    <row r="157" spans="1:4" x14ac:dyDescent="0.2">
      <c r="A157" s="5">
        <v>96</v>
      </c>
      <c r="B157" s="1817">
        <f>'Assets-Liab 5-6'!F13</f>
        <v>3674970</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t="str">
        <f>'Assets-Liab 5-6'!F31</f>
        <v>.</v>
      </c>
      <c r="D164" s="2" t="e">
        <f t="shared" si="1"/>
        <v>#VALUE!</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0</v>
      </c>
      <c r="C169" s="2" t="s">
        <v>569</v>
      </c>
      <c r="D169" s="2" t="str">
        <f t="shared" si="1"/>
        <v>Error?</v>
      </c>
    </row>
    <row r="170" spans="1:4" x14ac:dyDescent="0.2">
      <c r="A170" s="5">
        <v>109</v>
      </c>
      <c r="B170" s="1817">
        <f>'Assets-Liab 5-6'!F39</f>
        <v>3674970</v>
      </c>
      <c r="D170" s="2" t="str">
        <f t="shared" si="1"/>
        <v>Error?</v>
      </c>
    </row>
    <row r="171" spans="1:4" x14ac:dyDescent="0.2">
      <c r="A171" s="5">
        <v>110</v>
      </c>
      <c r="B171" s="1817">
        <f>'Assets-Liab 5-6'!F41</f>
        <v>3674970</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1013858</v>
      </c>
      <c r="D177" s="2" t="str">
        <f t="shared" si="1"/>
        <v>Error?</v>
      </c>
    </row>
    <row r="178" spans="1:4" x14ac:dyDescent="0.2">
      <c r="A178" s="10">
        <v>117</v>
      </c>
      <c r="B178" s="1817"/>
      <c r="D178" s="2" t="str">
        <f t="shared" si="1"/>
        <v>OK</v>
      </c>
    </row>
    <row r="179" spans="1:4" x14ac:dyDescent="0.2">
      <c r="A179" s="5">
        <v>118</v>
      </c>
      <c r="B179" s="1817">
        <f>'Assets-Liab 5-6'!G12</f>
        <v>4897</v>
      </c>
      <c r="D179" s="2" t="str">
        <f t="shared" si="1"/>
        <v>Error?</v>
      </c>
    </row>
    <row r="180" spans="1:4" x14ac:dyDescent="0.2">
      <c r="A180" s="5">
        <v>119</v>
      </c>
      <c r="B180" s="1817">
        <f>'Assets-Liab 5-6'!G13</f>
        <v>1297790</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1297790</v>
      </c>
      <c r="D189" s="2" t="str">
        <f t="shared" si="1"/>
        <v>Error?</v>
      </c>
    </row>
    <row r="190" spans="1:4" x14ac:dyDescent="0.2">
      <c r="A190" s="5">
        <v>129</v>
      </c>
      <c r="B190" s="1817">
        <f>'Assets-Liab 5-6'!G41</f>
        <v>1297790</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0</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908</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0</v>
      </c>
      <c r="D212" s="2" t="str">
        <f t="shared" si="2"/>
        <v>Error?</v>
      </c>
    </row>
    <row r="213" spans="1:4" x14ac:dyDescent="0.2">
      <c r="A213" s="12">
        <v>152</v>
      </c>
      <c r="B213" s="1817">
        <f>'Assets-Liab 5-6'!H41</f>
        <v>908</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536629</v>
      </c>
      <c r="D273" s="2" t="str">
        <f t="shared" si="3"/>
        <v>Error?</v>
      </c>
    </row>
    <row r="274" spans="1:4" x14ac:dyDescent="0.2">
      <c r="A274" s="5">
        <v>213</v>
      </c>
      <c r="B274" s="1817">
        <f>'Assets-Liab 5-6'!M17</f>
        <v>55621662</v>
      </c>
      <c r="D274" s="2" t="str">
        <f t="shared" si="3"/>
        <v>Error?</v>
      </c>
    </row>
    <row r="275" spans="1:4" x14ac:dyDescent="0.2">
      <c r="A275" s="5">
        <v>214</v>
      </c>
      <c r="B275" s="1817">
        <f>'Assets-Liab 5-6'!M18</f>
        <v>3302203</v>
      </c>
      <c r="D275" s="2" t="str">
        <f t="shared" si="3"/>
        <v>Error?</v>
      </c>
    </row>
    <row r="276" spans="1:4" x14ac:dyDescent="0.2">
      <c r="A276" s="5">
        <v>215</v>
      </c>
      <c r="B276" s="1817">
        <f>'Assets-Liab 5-6'!M19</f>
        <v>7041987</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66561566</v>
      </c>
      <c r="C279" s="2" t="s">
        <v>569</v>
      </c>
      <c r="D279" s="2" t="str">
        <f t="shared" si="3"/>
        <v>Error?</v>
      </c>
    </row>
    <row r="280" spans="1:4" x14ac:dyDescent="0.2">
      <c r="A280" s="5">
        <v>219</v>
      </c>
      <c r="B280" s="1817">
        <f>'Assets-Liab 5-6'!M40</f>
        <v>66561566</v>
      </c>
      <c r="D280" s="2" t="str">
        <f t="shared" si="3"/>
        <v>Error?</v>
      </c>
    </row>
    <row r="281" spans="1:4" x14ac:dyDescent="0.2">
      <c r="A281" s="5">
        <v>220</v>
      </c>
      <c r="B281" s="1817">
        <f>'Assets-Liab 5-6'!M41</f>
        <v>66561566</v>
      </c>
      <c r="C281" s="2" t="s">
        <v>569</v>
      </c>
      <c r="D281" s="2" t="str">
        <f t="shared" si="3"/>
        <v>Error?</v>
      </c>
    </row>
    <row r="282" spans="1:4" x14ac:dyDescent="0.2">
      <c r="A282" s="5">
        <v>221</v>
      </c>
      <c r="B282" s="1817">
        <f>'Assets-Liab 5-6'!N21</f>
        <v>21809</v>
      </c>
      <c r="D282" s="2" t="str">
        <f t="shared" si="3"/>
        <v>Error?</v>
      </c>
    </row>
    <row r="283" spans="1:4" x14ac:dyDescent="0.2">
      <c r="A283" s="5">
        <v>222</v>
      </c>
      <c r="B283" s="1817">
        <f>'Assets-Liab 5-6'!N22</f>
        <v>15267269</v>
      </c>
      <c r="D283" s="2" t="str">
        <f t="shared" si="3"/>
        <v>Error?</v>
      </c>
    </row>
    <row r="284" spans="1:4" x14ac:dyDescent="0.2">
      <c r="A284" s="5">
        <v>223</v>
      </c>
      <c r="B284" s="1817">
        <f>'Assets-Liab 5-6'!N23</f>
        <v>15289078</v>
      </c>
      <c r="C284" s="2" t="s">
        <v>569</v>
      </c>
      <c r="D284" s="2" t="str">
        <f t="shared" si="3"/>
        <v>Error?</v>
      </c>
    </row>
    <row r="285" spans="1:4" x14ac:dyDescent="0.2">
      <c r="A285" s="5">
        <v>224</v>
      </c>
      <c r="B285" s="1817">
        <f>'Assets-Liab 5-6'!N36</f>
        <v>15289078</v>
      </c>
      <c r="D285" s="2" t="str">
        <f t="shared" si="3"/>
        <v>Error?</v>
      </c>
    </row>
    <row r="286" spans="1:4" x14ac:dyDescent="0.2">
      <c r="A286" s="10">
        <v>225</v>
      </c>
      <c r="B286" s="1817"/>
      <c r="D286" s="2" t="str">
        <f t="shared" si="3"/>
        <v>OK</v>
      </c>
    </row>
    <row r="287" spans="1:4" x14ac:dyDescent="0.2">
      <c r="A287" s="5">
        <v>226</v>
      </c>
      <c r="B287" s="1817">
        <f>'Assets-Liab 5-6'!N37</f>
        <v>15289078</v>
      </c>
      <c r="C287" s="2" t="s">
        <v>569</v>
      </c>
      <c r="D287" s="2" t="str">
        <f t="shared" si="3"/>
        <v>Error?</v>
      </c>
    </row>
    <row r="288" spans="1:4" x14ac:dyDescent="0.2">
      <c r="A288" s="5">
        <v>227</v>
      </c>
      <c r="B288" s="1817">
        <f>'Assets-Liab 5-6'!N41</f>
        <v>15289078</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3000000</v>
      </c>
      <c r="D651" s="2" t="str">
        <f t="shared" si="9"/>
        <v>Error?</v>
      </c>
    </row>
    <row r="652" spans="1:4" x14ac:dyDescent="0.2">
      <c r="A652" s="5">
        <v>591</v>
      </c>
      <c r="B652" s="1817">
        <f>'Acct Summary 7-8'!I34</f>
        <v>25573</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5481120</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0</v>
      </c>
      <c r="D717" s="2" t="str">
        <f t="shared" si="10"/>
        <v>Error?</v>
      </c>
    </row>
    <row r="718" spans="1:4" x14ac:dyDescent="0.2">
      <c r="A718" s="5">
        <v>657</v>
      </c>
      <c r="B718" s="1817">
        <f>'Expenditures 15-22'!C14</f>
        <v>270801</v>
      </c>
      <c r="D718" s="2" t="str">
        <f t="shared" si="10"/>
        <v>Error?</v>
      </c>
    </row>
    <row r="719" spans="1:4" x14ac:dyDescent="0.2">
      <c r="A719" s="5">
        <v>658</v>
      </c>
      <c r="B719" s="1817">
        <f>'Expenditures 15-22'!C15</f>
        <v>407</v>
      </c>
      <c r="D719" s="2" t="str">
        <f t="shared" si="10"/>
        <v>Error?</v>
      </c>
    </row>
    <row r="720" spans="1:4" x14ac:dyDescent="0.2">
      <c r="A720" s="5">
        <v>659</v>
      </c>
      <c r="B720" s="1817">
        <f>'Expenditures 15-22'!C33</f>
        <v>8960560</v>
      </c>
      <c r="C720" s="2" t="s">
        <v>569</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222214</v>
      </c>
      <c r="D722" s="2" t="str">
        <f t="shared" si="10"/>
        <v>Error?</v>
      </c>
    </row>
    <row r="723" spans="1:4" x14ac:dyDescent="0.2">
      <c r="A723" s="5">
        <v>662</v>
      </c>
      <c r="B723" s="1817">
        <f>'Expenditures 15-22'!C38</f>
        <v>67887</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169507</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459608</v>
      </c>
      <c r="C727" s="2" t="s">
        <v>569</v>
      </c>
      <c r="D727" s="2" t="str">
        <f t="shared" si="10"/>
        <v>Error?</v>
      </c>
    </row>
    <row r="728" spans="1:4" x14ac:dyDescent="0.2">
      <c r="A728" s="5">
        <v>667</v>
      </c>
      <c r="B728" s="1817">
        <f>'Expenditures 15-22'!C44</f>
        <v>0</v>
      </c>
      <c r="D728" s="2" t="str">
        <f t="shared" si="10"/>
        <v>Error?</v>
      </c>
    </row>
    <row r="729" spans="1:4" x14ac:dyDescent="0.2">
      <c r="A729" s="5">
        <v>668</v>
      </c>
      <c r="B729" s="1817">
        <f>'Expenditures 15-22'!C45</f>
        <v>262333</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262333</v>
      </c>
      <c r="C731" s="2" t="s">
        <v>569</v>
      </c>
      <c r="D731" s="2" t="str">
        <f t="shared" si="10"/>
        <v>Error?</v>
      </c>
    </row>
    <row r="732" spans="1:4" x14ac:dyDescent="0.2">
      <c r="A732" s="5">
        <v>671</v>
      </c>
      <c r="B732" s="1817">
        <f>'Expenditures 15-22'!C49</f>
        <v>0</v>
      </c>
      <c r="D732" s="2" t="str">
        <f t="shared" si="10"/>
        <v>Error?</v>
      </c>
    </row>
    <row r="733" spans="1:4" x14ac:dyDescent="0.2">
      <c r="A733" s="5">
        <v>672</v>
      </c>
      <c r="B733" s="1817">
        <f>'Expenditures 15-22'!C50</f>
        <v>164188</v>
      </c>
      <c r="D733" s="2" t="str">
        <f t="shared" si="10"/>
        <v>Error?</v>
      </c>
    </row>
    <row r="734" spans="1:4" x14ac:dyDescent="0.2">
      <c r="A734" s="5">
        <v>673</v>
      </c>
      <c r="B734" s="1817">
        <f>'Expenditures 15-22'!C53</f>
        <v>169709</v>
      </c>
      <c r="C734" s="2" t="s">
        <v>569</v>
      </c>
      <c r="D734" s="2" t="str">
        <f t="shared" si="10"/>
        <v>Error?</v>
      </c>
    </row>
    <row r="735" spans="1:4" x14ac:dyDescent="0.2">
      <c r="A735" s="5">
        <v>674</v>
      </c>
      <c r="B735" s="1817">
        <f>'Expenditures 15-22'!C55</f>
        <v>689665</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689665</v>
      </c>
      <c r="C737" s="2" t="s">
        <v>569</v>
      </c>
      <c r="D737" s="2" t="str">
        <f t="shared" si="10"/>
        <v>Error?</v>
      </c>
    </row>
    <row r="738" spans="1:4" x14ac:dyDescent="0.2">
      <c r="A738" s="5">
        <v>677</v>
      </c>
      <c r="B738" s="1817">
        <f>'Expenditures 15-22'!C59</f>
        <v>79800</v>
      </c>
      <c r="D738" s="2" t="str">
        <f t="shared" si="10"/>
        <v>Error?</v>
      </c>
    </row>
    <row r="739" spans="1:4" x14ac:dyDescent="0.2">
      <c r="A739" s="5">
        <v>678</v>
      </c>
      <c r="B739" s="1817">
        <f>'Expenditures 15-22'!C60</f>
        <v>126165</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276277</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482242</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2063557</v>
      </c>
      <c r="C755" s="2" t="s">
        <v>569</v>
      </c>
      <c r="D755" s="2" t="str">
        <f t="shared" si="10"/>
        <v>Error?</v>
      </c>
    </row>
    <row r="756" spans="1:4" x14ac:dyDescent="0.2">
      <c r="A756" s="5">
        <v>695</v>
      </c>
      <c r="B756" s="1817">
        <f>'Expenditures 15-22'!C75</f>
        <v>0</v>
      </c>
      <c r="D756" s="2" t="str">
        <f t="shared" si="10"/>
        <v>Error?</v>
      </c>
    </row>
    <row r="757" spans="1:4" x14ac:dyDescent="0.2">
      <c r="A757" s="5">
        <v>696</v>
      </c>
      <c r="B757" s="1817">
        <f>'Expenditures 15-22'!C114</f>
        <v>11024117</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858587</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0</v>
      </c>
      <c r="D775" s="2" t="str">
        <f t="shared" si="11"/>
        <v>Error?</v>
      </c>
    </row>
    <row r="776" spans="1:4" x14ac:dyDescent="0.2">
      <c r="A776" s="5">
        <v>715</v>
      </c>
      <c r="B776" s="1817">
        <f>'Expenditures 15-22'!D14</f>
        <v>9013</v>
      </c>
      <c r="D776" s="2" t="str">
        <f t="shared" si="11"/>
        <v>Error?</v>
      </c>
    </row>
    <row r="777" spans="1:4" x14ac:dyDescent="0.2">
      <c r="A777" s="5">
        <v>716</v>
      </c>
      <c r="B777" s="1817">
        <f>'Expenditures 15-22'!D15</f>
        <v>6</v>
      </c>
      <c r="D777" s="2" t="str">
        <f t="shared" si="11"/>
        <v>Error?</v>
      </c>
    </row>
    <row r="778" spans="1:4" x14ac:dyDescent="0.2">
      <c r="A778" s="5">
        <v>717</v>
      </c>
      <c r="B778" s="1817">
        <f>'Expenditures 15-22'!D33</f>
        <v>1611916</v>
      </c>
      <c r="C778" s="2" t="s">
        <v>569</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48041</v>
      </c>
      <c r="D780" s="2" t="str">
        <f t="shared" si="11"/>
        <v>Error?</v>
      </c>
    </row>
    <row r="781" spans="1:4" x14ac:dyDescent="0.2">
      <c r="A781" s="5">
        <v>720</v>
      </c>
      <c r="B781" s="1817">
        <f>'Expenditures 15-22'!D38</f>
        <v>7583</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19219</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74843</v>
      </c>
      <c r="C785" s="2" t="s">
        <v>569</v>
      </c>
      <c r="D785" s="2" t="str">
        <f t="shared" si="11"/>
        <v>Error?</v>
      </c>
    </row>
    <row r="786" spans="1:4" x14ac:dyDescent="0.2">
      <c r="A786" s="5">
        <v>725</v>
      </c>
      <c r="B786" s="1817">
        <f>'Expenditures 15-22'!D44</f>
        <v>0</v>
      </c>
      <c r="D786" s="2" t="str">
        <f t="shared" si="11"/>
        <v>Error?</v>
      </c>
    </row>
    <row r="787" spans="1:4" x14ac:dyDescent="0.2">
      <c r="A787" s="5">
        <v>726</v>
      </c>
      <c r="B787" s="1817">
        <f>'Expenditures 15-22'!D45</f>
        <v>47407</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47407</v>
      </c>
      <c r="C789" s="2" t="s">
        <v>569</v>
      </c>
      <c r="D789" s="2" t="str">
        <f t="shared" si="11"/>
        <v>Error?</v>
      </c>
    </row>
    <row r="790" spans="1:4" x14ac:dyDescent="0.2">
      <c r="A790" s="5">
        <v>729</v>
      </c>
      <c r="B790" s="1817">
        <f>'Expenditures 15-22'!D49</f>
        <v>16967</v>
      </c>
      <c r="D790" s="2" t="str">
        <f t="shared" si="11"/>
        <v>Error?</v>
      </c>
    </row>
    <row r="791" spans="1:4" x14ac:dyDescent="0.2">
      <c r="A791" s="5">
        <v>730</v>
      </c>
      <c r="B791" s="1817">
        <f>'Expenditures 15-22'!D50</f>
        <v>41191</v>
      </c>
      <c r="D791" s="2" t="str">
        <f t="shared" si="11"/>
        <v>Error?</v>
      </c>
    </row>
    <row r="792" spans="1:4" x14ac:dyDescent="0.2">
      <c r="A792" s="5">
        <v>731</v>
      </c>
      <c r="B792" s="1817">
        <f>'Expenditures 15-22'!D53</f>
        <v>58158</v>
      </c>
      <c r="C792" s="2" t="s">
        <v>569</v>
      </c>
      <c r="D792" s="2" t="str">
        <f t="shared" si="11"/>
        <v>Error?</v>
      </c>
    </row>
    <row r="793" spans="1:4" x14ac:dyDescent="0.2">
      <c r="A793" s="5">
        <v>732</v>
      </c>
      <c r="B793" s="1817">
        <f>'Expenditures 15-22'!D55</f>
        <v>104304</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104304</v>
      </c>
      <c r="C795" s="2" t="s">
        <v>569</v>
      </c>
      <c r="D795" s="2" t="str">
        <f t="shared" si="11"/>
        <v>Error?</v>
      </c>
    </row>
    <row r="796" spans="1:4" x14ac:dyDescent="0.2">
      <c r="A796" s="5">
        <v>735</v>
      </c>
      <c r="B796" s="1817">
        <f>'Expenditures 15-22'!D59</f>
        <v>7296</v>
      </c>
      <c r="D796" s="2" t="str">
        <f t="shared" si="11"/>
        <v>Error?</v>
      </c>
    </row>
    <row r="797" spans="1:4" x14ac:dyDescent="0.2">
      <c r="A797" s="5">
        <v>736</v>
      </c>
      <c r="B797" s="1817">
        <f>'Expenditures 15-22'!D60</f>
        <v>21065</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59754</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88115</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1588</v>
      </c>
      <c r="D812" s="2" t="str">
        <f t="shared" si="11"/>
        <v>Error?</v>
      </c>
    </row>
    <row r="813" spans="1:4" x14ac:dyDescent="0.2">
      <c r="A813" s="5">
        <v>752</v>
      </c>
      <c r="B813" s="1817">
        <f>'Expenditures 15-22'!D74</f>
        <v>374415</v>
      </c>
      <c r="C813" s="2" t="s">
        <v>569</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1986331</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120757</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512</v>
      </c>
      <c r="D832" s="2" t="str">
        <f t="shared" si="12"/>
        <v>Error?</v>
      </c>
    </row>
    <row r="833" spans="1:4" x14ac:dyDescent="0.2">
      <c r="A833" s="5">
        <v>772</v>
      </c>
      <c r="B833" s="1817">
        <f>'Expenditures 15-22'!E13</f>
        <v>0</v>
      </c>
      <c r="D833" s="2" t="str">
        <f t="shared" si="12"/>
        <v>Error?</v>
      </c>
    </row>
    <row r="834" spans="1:4" x14ac:dyDescent="0.2">
      <c r="A834" s="5">
        <v>773</v>
      </c>
      <c r="B834" s="1817">
        <f>'Expenditures 15-22'!E14</f>
        <v>48908</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174070</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1184</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1184</v>
      </c>
      <c r="C843" s="2" t="s">
        <v>569</v>
      </c>
      <c r="D843" s="2" t="str">
        <f t="shared" si="12"/>
        <v>Error?</v>
      </c>
    </row>
    <row r="844" spans="1:4" x14ac:dyDescent="0.2">
      <c r="A844" s="5">
        <v>783</v>
      </c>
      <c r="B844" s="1817">
        <f>'Expenditures 15-22'!E44</f>
        <v>29096</v>
      </c>
      <c r="D844" s="2" t="str">
        <f t="shared" si="12"/>
        <v>Error?</v>
      </c>
    </row>
    <row r="845" spans="1:4" x14ac:dyDescent="0.2">
      <c r="A845" s="5">
        <v>784</v>
      </c>
      <c r="B845" s="1817">
        <f>'Expenditures 15-22'!E45</f>
        <v>0</v>
      </c>
      <c r="D845" s="2" t="str">
        <f t="shared" si="12"/>
        <v>Error?</v>
      </c>
    </row>
    <row r="846" spans="1:4" x14ac:dyDescent="0.2">
      <c r="A846" s="5">
        <v>785</v>
      </c>
      <c r="B846" s="1817">
        <f>'Expenditures 15-22'!E46</f>
        <v>38640</v>
      </c>
      <c r="D846" s="2" t="str">
        <f t="shared" si="12"/>
        <v>Error?</v>
      </c>
    </row>
    <row r="847" spans="1:4" x14ac:dyDescent="0.2">
      <c r="A847" s="5">
        <v>786</v>
      </c>
      <c r="B847" s="1817">
        <f>'Expenditures 15-22'!E47</f>
        <v>67736</v>
      </c>
      <c r="C847" s="2" t="s">
        <v>569</v>
      </c>
      <c r="D847" s="2" t="str">
        <f t="shared" si="12"/>
        <v>Error?</v>
      </c>
    </row>
    <row r="848" spans="1:4" x14ac:dyDescent="0.2">
      <c r="A848" s="5">
        <v>787</v>
      </c>
      <c r="B848" s="1817">
        <f>'Expenditures 15-22'!E49</f>
        <v>36941</v>
      </c>
      <c r="D848" s="2" t="str">
        <f t="shared" si="12"/>
        <v>Error?</v>
      </c>
    </row>
    <row r="849" spans="1:4" x14ac:dyDescent="0.2">
      <c r="A849" s="5">
        <v>788</v>
      </c>
      <c r="B849" s="1817">
        <f>'Expenditures 15-22'!E50</f>
        <v>5367</v>
      </c>
      <c r="D849" s="2" t="str">
        <f t="shared" si="12"/>
        <v>Error?</v>
      </c>
    </row>
    <row r="850" spans="1:4" x14ac:dyDescent="0.2">
      <c r="A850" s="5">
        <v>789</v>
      </c>
      <c r="B850" s="1817">
        <f>'Expenditures 15-22'!E53</f>
        <v>42308</v>
      </c>
      <c r="C850" s="2" t="s">
        <v>569</v>
      </c>
      <c r="D850" s="2" t="str">
        <f t="shared" si="12"/>
        <v>Error?</v>
      </c>
    </row>
    <row r="851" spans="1:4" x14ac:dyDescent="0.2">
      <c r="A851" s="5">
        <v>790</v>
      </c>
      <c r="B851" s="1817">
        <f>'Expenditures 15-22'!E55</f>
        <v>0</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0</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46571</v>
      </c>
      <c r="D855" s="2" t="str">
        <f t="shared" si="12"/>
        <v>Error?</v>
      </c>
    </row>
    <row r="856" spans="1:4" x14ac:dyDescent="0.2">
      <c r="A856" s="5">
        <v>795</v>
      </c>
      <c r="B856" s="1817">
        <f>'Expenditures 15-22'!E61</f>
        <v>113816</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3305</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163692</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12893</v>
      </c>
      <c r="D864" s="2" t="str">
        <f t="shared" si="12"/>
        <v>Error?</v>
      </c>
    </row>
    <row r="865" spans="1:4" x14ac:dyDescent="0.2">
      <c r="A865" s="5">
        <v>804</v>
      </c>
      <c r="B865" s="1817">
        <f>'Expenditures 15-22'!E70</f>
        <v>0</v>
      </c>
      <c r="D865" s="2" t="str">
        <f t="shared" si="12"/>
        <v>Error?</v>
      </c>
    </row>
    <row r="866" spans="1:4" x14ac:dyDescent="0.2">
      <c r="A866" s="10">
        <v>805</v>
      </c>
      <c r="B866" s="1817"/>
      <c r="D866" s="2" t="str">
        <f t="shared" si="12"/>
        <v>OK</v>
      </c>
    </row>
    <row r="867" spans="1:4" x14ac:dyDescent="0.2">
      <c r="A867" s="5">
        <v>806</v>
      </c>
      <c r="B867" s="1817">
        <f>'Expenditures 15-22'!E71</f>
        <v>0</v>
      </c>
      <c r="D867" s="2" t="str">
        <f t="shared" si="12"/>
        <v>Error?</v>
      </c>
    </row>
    <row r="868" spans="1:4" x14ac:dyDescent="0.2">
      <c r="A868" s="10">
        <v>807</v>
      </c>
      <c r="B868" s="1817"/>
      <c r="D868" s="2" t="str">
        <f t="shared" si="12"/>
        <v>OK</v>
      </c>
    </row>
    <row r="869" spans="1:4" x14ac:dyDescent="0.2">
      <c r="A869" s="5">
        <v>808</v>
      </c>
      <c r="B869" s="1817">
        <f>'Expenditures 15-22'!E72</f>
        <v>12893</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287813</v>
      </c>
      <c r="C871" s="2" t="s">
        <v>569</v>
      </c>
      <c r="D871" s="2" t="str">
        <f t="shared" si="12"/>
        <v>Error?</v>
      </c>
    </row>
    <row r="872" spans="1:4" x14ac:dyDescent="0.2">
      <c r="A872" s="5">
        <v>811</v>
      </c>
      <c r="B872" s="1817">
        <f>'Expenditures 15-22'!E75</f>
        <v>386</v>
      </c>
      <c r="D872" s="2" t="str">
        <f t="shared" si="12"/>
        <v>Error?</v>
      </c>
    </row>
    <row r="873" spans="1:4" x14ac:dyDescent="0.2">
      <c r="A873" s="5">
        <v>812</v>
      </c>
      <c r="B873" s="1817">
        <f>'Expenditures 15-22'!E114</f>
        <v>1009521</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226031</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3811</v>
      </c>
      <c r="D891" s="2" t="str">
        <f t="shared" si="12"/>
        <v>Error?</v>
      </c>
    </row>
    <row r="892" spans="1:4" x14ac:dyDescent="0.2">
      <c r="A892" s="5">
        <v>831</v>
      </c>
      <c r="B892" s="1817">
        <f>'Expenditures 15-22'!F14</f>
        <v>33127</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313307</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585</v>
      </c>
      <c r="D896" s="2" t="str">
        <f t="shared" si="13"/>
        <v>Error?</v>
      </c>
    </row>
    <row r="897" spans="1:4" x14ac:dyDescent="0.2">
      <c r="A897" s="5">
        <v>836</v>
      </c>
      <c r="B897" s="1817">
        <f>'Expenditures 15-22'!F38</f>
        <v>11405</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366</v>
      </c>
      <c r="D899" s="2" t="str">
        <f t="shared" si="13"/>
        <v>Error?</v>
      </c>
    </row>
    <row r="900" spans="1:4" x14ac:dyDescent="0.2">
      <c r="A900" s="5">
        <v>839</v>
      </c>
      <c r="B900" s="1817">
        <f>'Expenditures 15-22'!F41</f>
        <v>3248</v>
      </c>
      <c r="D900" s="2" t="str">
        <f t="shared" si="13"/>
        <v>Error?</v>
      </c>
    </row>
    <row r="901" spans="1:4" x14ac:dyDescent="0.2">
      <c r="A901" s="5">
        <v>840</v>
      </c>
      <c r="B901" s="1817">
        <f>'Expenditures 15-22'!F42</f>
        <v>15604</v>
      </c>
      <c r="C901" s="2" t="s">
        <v>569</v>
      </c>
      <c r="D901" s="2" t="str">
        <f t="shared" si="13"/>
        <v>Error?</v>
      </c>
    </row>
    <row r="902" spans="1:4" x14ac:dyDescent="0.2">
      <c r="A902" s="5">
        <v>841</v>
      </c>
      <c r="B902" s="1817">
        <f>'Expenditures 15-22'!F44</f>
        <v>601</v>
      </c>
      <c r="D902" s="2" t="str">
        <f t="shared" si="13"/>
        <v>Error?</v>
      </c>
    </row>
    <row r="903" spans="1:4" x14ac:dyDescent="0.2">
      <c r="A903" s="5">
        <v>842</v>
      </c>
      <c r="B903" s="1817">
        <f>'Expenditures 15-22'!F45</f>
        <v>18815</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19416</v>
      </c>
      <c r="C905" s="2" t="s">
        <v>569</v>
      </c>
      <c r="D905" s="2" t="str">
        <f t="shared" si="13"/>
        <v>Error?</v>
      </c>
    </row>
    <row r="906" spans="1:4" x14ac:dyDescent="0.2">
      <c r="A906" s="5">
        <v>845</v>
      </c>
      <c r="B906" s="1817">
        <f>'Expenditures 15-22'!F49</f>
        <v>1366</v>
      </c>
      <c r="D906" s="2" t="str">
        <f t="shared" si="13"/>
        <v>Error?</v>
      </c>
    </row>
    <row r="907" spans="1:4" x14ac:dyDescent="0.2">
      <c r="A907" s="5">
        <v>846</v>
      </c>
      <c r="B907" s="1817">
        <f>'Expenditures 15-22'!F50</f>
        <v>76</v>
      </c>
      <c r="D907" s="2" t="str">
        <f t="shared" si="13"/>
        <v>Error?</v>
      </c>
    </row>
    <row r="908" spans="1:4" x14ac:dyDescent="0.2">
      <c r="A908" s="5">
        <v>847</v>
      </c>
      <c r="B908" s="1817">
        <f>'Expenditures 15-22'!F53</f>
        <v>1442</v>
      </c>
      <c r="C908" s="2" t="s">
        <v>569</v>
      </c>
      <c r="D908" s="2" t="str">
        <f t="shared" si="13"/>
        <v>Error?</v>
      </c>
    </row>
    <row r="909" spans="1:4" x14ac:dyDescent="0.2">
      <c r="A909" s="5">
        <v>848</v>
      </c>
      <c r="B909" s="1817">
        <f>'Expenditures 15-22'!F55</f>
        <v>0</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0</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3842</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395608</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399450</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1835</v>
      </c>
      <c r="D925" s="2" t="str">
        <f t="shared" si="13"/>
        <v>Error?</v>
      </c>
    </row>
    <row r="926" spans="1:4" x14ac:dyDescent="0.2">
      <c r="A926" s="10">
        <v>865</v>
      </c>
      <c r="B926" s="1817"/>
      <c r="D926" s="2" t="str">
        <f t="shared" si="13"/>
        <v>OK</v>
      </c>
    </row>
    <row r="927" spans="1:4" x14ac:dyDescent="0.2">
      <c r="A927" s="5">
        <v>866</v>
      </c>
      <c r="B927" s="1817">
        <f>'Expenditures 15-22'!F72</f>
        <v>1835</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437747</v>
      </c>
      <c r="C929" s="2" t="s">
        <v>569</v>
      </c>
      <c r="D929" s="2" t="str">
        <f t="shared" si="13"/>
        <v>Error?</v>
      </c>
    </row>
    <row r="930" spans="1:4" x14ac:dyDescent="0.2">
      <c r="A930" s="5">
        <v>869</v>
      </c>
      <c r="B930" s="1817">
        <f>'Expenditures 15-22'!F75</f>
        <v>629</v>
      </c>
      <c r="D930" s="2" t="str">
        <f t="shared" si="13"/>
        <v>Error?</v>
      </c>
    </row>
    <row r="931" spans="1:4" x14ac:dyDescent="0.2">
      <c r="A931" s="5">
        <v>870</v>
      </c>
      <c r="B931" s="1817">
        <f>'Expenditures 15-22'!F114</f>
        <v>751683</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273317</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0</v>
      </c>
      <c r="D949" s="2" t="str">
        <f t="shared" si="13"/>
        <v>Error?</v>
      </c>
    </row>
    <row r="950" spans="1:4" x14ac:dyDescent="0.2">
      <c r="A950" s="5">
        <v>889</v>
      </c>
      <c r="B950" s="1817">
        <f>'Expenditures 15-22'!G14</f>
        <v>9750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287746</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10095</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0</v>
      </c>
      <c r="D958" s="2" t="str">
        <f t="shared" si="13"/>
        <v>Error?</v>
      </c>
    </row>
    <row r="959" spans="1:4" x14ac:dyDescent="0.2">
      <c r="A959" s="5">
        <v>898</v>
      </c>
      <c r="B959" s="1817">
        <f>'Expenditures 15-22'!G42</f>
        <v>10095</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0</v>
      </c>
      <c r="D965" s="2" t="str">
        <f t="shared" si="14"/>
        <v>Error?</v>
      </c>
    </row>
    <row r="966" spans="1:4" x14ac:dyDescent="0.2">
      <c r="A966" s="5">
        <v>905</v>
      </c>
      <c r="B966" s="1817">
        <f>'Expenditures 15-22'!G53</f>
        <v>0</v>
      </c>
      <c r="C966" s="2" t="s">
        <v>569</v>
      </c>
      <c r="D966" s="2" t="str">
        <f t="shared" si="14"/>
        <v>Error?</v>
      </c>
    </row>
    <row r="967" spans="1:4" x14ac:dyDescent="0.2">
      <c r="A967" s="5">
        <v>906</v>
      </c>
      <c r="B967" s="1817">
        <f>'Expenditures 15-22'!G55</f>
        <v>0</v>
      </c>
      <c r="D967" s="2" t="str">
        <f t="shared" si="14"/>
        <v>Error?</v>
      </c>
    </row>
    <row r="968" spans="1:4" x14ac:dyDescent="0.2">
      <c r="A968" s="5">
        <v>907</v>
      </c>
      <c r="B968" s="1817">
        <f>'Expenditures 15-22'!G56</f>
        <v>0</v>
      </c>
      <c r="D968" s="2" t="str">
        <f t="shared" si="14"/>
        <v>Error?</v>
      </c>
    </row>
    <row r="969" spans="1:4" x14ac:dyDescent="0.2">
      <c r="A969" s="5">
        <v>908</v>
      </c>
      <c r="B969" s="1817">
        <f>'Expenditures 15-22'!G57</f>
        <v>0</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0</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60231</v>
      </c>
      <c r="D973" s="2" t="str">
        <f t="shared" si="14"/>
        <v>Error?</v>
      </c>
    </row>
    <row r="974" spans="1:4" x14ac:dyDescent="0.2">
      <c r="A974" s="5">
        <v>913</v>
      </c>
      <c r="B974" s="1817">
        <f>'Expenditures 15-22'!G63</f>
        <v>13601</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73832</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83927</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371673</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1571</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0</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613464</v>
      </c>
      <c r="C1010" s="2" t="s">
        <v>569</v>
      </c>
      <c r="D1010" s="2" t="str">
        <f t="shared" si="14"/>
        <v>Error?</v>
      </c>
    </row>
    <row r="1011" spans="1:4" x14ac:dyDescent="0.2">
      <c r="A1011" s="5">
        <v>950</v>
      </c>
      <c r="B1011" s="1817">
        <f>'Expenditures 15-22'!H36</f>
        <v>0</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0</v>
      </c>
      <c r="D1016" s="2" t="str">
        <f t="shared" si="14"/>
        <v>Error?</v>
      </c>
    </row>
    <row r="1017" spans="1:4" x14ac:dyDescent="0.2">
      <c r="A1017" s="5">
        <v>956</v>
      </c>
      <c r="B1017" s="1817">
        <f>'Expenditures 15-22'!H42</f>
        <v>0</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29879</v>
      </c>
      <c r="D1022" s="2" t="str">
        <f t="shared" si="14"/>
        <v>Error?</v>
      </c>
    </row>
    <row r="1023" spans="1:4" x14ac:dyDescent="0.2">
      <c r="A1023" s="5">
        <v>962</v>
      </c>
      <c r="B1023" s="1817">
        <f>'Expenditures 15-22'!H50</f>
        <v>0</v>
      </c>
      <c r="D1023" s="2" t="str">
        <f t="shared" ref="D1023:D1086" si="15">IF(ISBLANK(B1023),"OK",IF(A1023-B1023=0,"OK","Error?"))</f>
        <v>Error?</v>
      </c>
    </row>
    <row r="1024" spans="1:4" x14ac:dyDescent="0.2">
      <c r="A1024" s="5">
        <v>963</v>
      </c>
      <c r="B1024" s="1817">
        <f>'Expenditures 15-22'!H53</f>
        <v>29879</v>
      </c>
      <c r="C1024" s="2" t="s">
        <v>569</v>
      </c>
      <c r="D1024" s="2" t="str">
        <f t="shared" si="15"/>
        <v>Error?</v>
      </c>
    </row>
    <row r="1025" spans="1:4" x14ac:dyDescent="0.2">
      <c r="A1025" s="5">
        <v>964</v>
      </c>
      <c r="B1025" s="1817">
        <f>'Expenditures 15-22'!H55</f>
        <v>0</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0</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10305</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0</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10305</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40184</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117157</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770805</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6961383</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512</v>
      </c>
      <c r="C1104" s="2" t="s">
        <v>569</v>
      </c>
      <c r="D1104" s="2" t="str">
        <f t="shared" si="16"/>
        <v>Error?</v>
      </c>
    </row>
    <row r="1105" spans="1:4" x14ac:dyDescent="0.2">
      <c r="A1105" s="5">
        <v>1044</v>
      </c>
      <c r="B1105" s="1817">
        <f>'Expenditures 15-22'!K13</f>
        <v>3811</v>
      </c>
      <c r="C1105" s="2" t="s">
        <v>569</v>
      </c>
      <c r="D1105" s="2" t="str">
        <f t="shared" si="16"/>
        <v>Error?</v>
      </c>
    </row>
    <row r="1106" spans="1:4" x14ac:dyDescent="0.2">
      <c r="A1106" s="5">
        <v>1045</v>
      </c>
      <c r="B1106" s="1817">
        <f>'Expenditures 15-22'!K14</f>
        <v>371599</v>
      </c>
      <c r="C1106" s="2" t="s">
        <v>569</v>
      </c>
      <c r="D1106" s="2" t="str">
        <f t="shared" si="16"/>
        <v>Error?</v>
      </c>
    </row>
    <row r="1107" spans="1:4" x14ac:dyDescent="0.2">
      <c r="A1107" s="5">
        <v>1046</v>
      </c>
      <c r="B1107" s="1817">
        <f>'Expenditures 15-22'!K15</f>
        <v>413</v>
      </c>
      <c r="C1107" s="2" t="s">
        <v>569</v>
      </c>
      <c r="D1107" s="2" t="str">
        <f t="shared" si="16"/>
        <v>Error?</v>
      </c>
    </row>
    <row r="1108" spans="1:4" x14ac:dyDescent="0.2">
      <c r="A1108" s="5">
        <v>1047</v>
      </c>
      <c r="B1108" s="1817">
        <f>'Expenditures 15-22'!K33</f>
        <v>11961063</v>
      </c>
      <c r="C1108" s="2" t="s">
        <v>569</v>
      </c>
      <c r="D1108" s="2" t="str">
        <f t="shared" si="16"/>
        <v>Error?</v>
      </c>
    </row>
    <row r="1109" spans="1:4" x14ac:dyDescent="0.2">
      <c r="A1109" s="5">
        <v>1048</v>
      </c>
      <c r="B1109" s="1817">
        <f>'Expenditures 15-22'!K36</f>
        <v>0</v>
      </c>
      <c r="C1109" s="2" t="s">
        <v>569</v>
      </c>
      <c r="D1109" s="2" t="str">
        <f t="shared" si="16"/>
        <v>Error?</v>
      </c>
    </row>
    <row r="1110" spans="1:4" x14ac:dyDescent="0.2">
      <c r="A1110" s="5">
        <v>1049</v>
      </c>
      <c r="B1110" s="1817">
        <f>'Expenditures 15-22'!K37</f>
        <v>270840</v>
      </c>
      <c r="C1110" s="2" t="s">
        <v>569</v>
      </c>
      <c r="D1110" s="2" t="str">
        <f t="shared" si="16"/>
        <v>Error?</v>
      </c>
    </row>
    <row r="1111" spans="1:4" x14ac:dyDescent="0.2">
      <c r="A1111" s="5">
        <v>1050</v>
      </c>
      <c r="B1111" s="1817">
        <f>'Expenditures 15-22'!K38</f>
        <v>98154</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189092</v>
      </c>
      <c r="C1113" s="2" t="s">
        <v>569</v>
      </c>
      <c r="D1113" s="2" t="str">
        <f t="shared" si="16"/>
        <v>Error?</v>
      </c>
    </row>
    <row r="1114" spans="1:4" x14ac:dyDescent="0.2">
      <c r="A1114" s="5">
        <v>1053</v>
      </c>
      <c r="B1114" s="1817">
        <f>'Expenditures 15-22'!K41</f>
        <v>3248</v>
      </c>
      <c r="C1114" s="2" t="s">
        <v>569</v>
      </c>
      <c r="D1114" s="2" t="str">
        <f t="shared" si="16"/>
        <v>Error?</v>
      </c>
    </row>
    <row r="1115" spans="1:4" x14ac:dyDescent="0.2">
      <c r="A1115" s="5">
        <v>1054</v>
      </c>
      <c r="B1115" s="1817">
        <f>'Expenditures 15-22'!K42</f>
        <v>561334</v>
      </c>
      <c r="C1115" s="2" t="s">
        <v>569</v>
      </c>
      <c r="D1115" s="2" t="str">
        <f t="shared" si="16"/>
        <v>Error?</v>
      </c>
    </row>
    <row r="1116" spans="1:4" x14ac:dyDescent="0.2">
      <c r="A1116" s="5">
        <v>1055</v>
      </c>
      <c r="B1116" s="1817">
        <f>'Expenditures 15-22'!K44</f>
        <v>29697</v>
      </c>
      <c r="C1116" s="2" t="s">
        <v>569</v>
      </c>
      <c r="D1116" s="2" t="str">
        <f t="shared" si="16"/>
        <v>Error?</v>
      </c>
    </row>
    <row r="1117" spans="1:4" x14ac:dyDescent="0.2">
      <c r="A1117" s="5">
        <v>1056</v>
      </c>
      <c r="B1117" s="1817">
        <f>'Expenditures 15-22'!K45</f>
        <v>328555</v>
      </c>
      <c r="C1117" s="2" t="s">
        <v>569</v>
      </c>
      <c r="D1117" s="2" t="str">
        <f t="shared" si="16"/>
        <v>Error?</v>
      </c>
    </row>
    <row r="1118" spans="1:4" x14ac:dyDescent="0.2">
      <c r="A1118" s="5">
        <v>1057</v>
      </c>
      <c r="B1118" s="1817">
        <f>'Expenditures 15-22'!K46</f>
        <v>38640</v>
      </c>
      <c r="C1118" s="2" t="s">
        <v>569</v>
      </c>
      <c r="D1118" s="2" t="str">
        <f t="shared" si="16"/>
        <v>Error?</v>
      </c>
    </row>
    <row r="1119" spans="1:4" x14ac:dyDescent="0.2">
      <c r="A1119" s="5">
        <v>1058</v>
      </c>
      <c r="B1119" s="1817">
        <f>'Expenditures 15-22'!K47</f>
        <v>396892</v>
      </c>
      <c r="C1119" s="2" t="s">
        <v>569</v>
      </c>
      <c r="D1119" s="2" t="str">
        <f t="shared" si="16"/>
        <v>Error?</v>
      </c>
    </row>
    <row r="1120" spans="1:4" x14ac:dyDescent="0.2">
      <c r="A1120" s="5">
        <v>1059</v>
      </c>
      <c r="B1120" s="1817">
        <f>'Expenditures 15-22'!K49</f>
        <v>85153</v>
      </c>
      <c r="C1120" s="2" t="s">
        <v>569</v>
      </c>
      <c r="D1120" s="2" t="str">
        <f t="shared" si="16"/>
        <v>Error?</v>
      </c>
    </row>
    <row r="1121" spans="1:4" x14ac:dyDescent="0.2">
      <c r="A1121" s="5">
        <v>1060</v>
      </c>
      <c r="B1121" s="1817">
        <f>'Expenditures 15-22'!K50</f>
        <v>210822</v>
      </c>
      <c r="C1121" s="2" t="s">
        <v>569</v>
      </c>
      <c r="D1121" s="2" t="str">
        <f t="shared" si="16"/>
        <v>Error?</v>
      </c>
    </row>
    <row r="1122" spans="1:4" x14ac:dyDescent="0.2">
      <c r="A1122" s="5">
        <v>1061</v>
      </c>
      <c r="B1122" s="1817">
        <f>'Expenditures 15-22'!K53</f>
        <v>301496</v>
      </c>
      <c r="C1122" s="2" t="s">
        <v>569</v>
      </c>
      <c r="D1122" s="2" t="str">
        <f t="shared" si="16"/>
        <v>Error?</v>
      </c>
    </row>
    <row r="1123" spans="1:4" x14ac:dyDescent="0.2">
      <c r="A1123" s="5">
        <v>1062</v>
      </c>
      <c r="B1123" s="1817">
        <f>'Expenditures 15-22'!K55</f>
        <v>793969</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793969</v>
      </c>
      <c r="C1125" s="2" t="s">
        <v>569</v>
      </c>
      <c r="D1125" s="2" t="str">
        <f t="shared" si="16"/>
        <v>Error?</v>
      </c>
    </row>
    <row r="1126" spans="1:4" x14ac:dyDescent="0.2">
      <c r="A1126" s="5">
        <v>1065</v>
      </c>
      <c r="B1126" s="1817">
        <f>'Expenditures 15-22'!K59</f>
        <v>87096</v>
      </c>
      <c r="C1126" s="2" t="s">
        <v>569</v>
      </c>
      <c r="D1126" s="2" t="str">
        <f t="shared" si="16"/>
        <v>Error?</v>
      </c>
    </row>
    <row r="1127" spans="1:4" x14ac:dyDescent="0.2">
      <c r="A1127" s="5">
        <v>1066</v>
      </c>
      <c r="B1127" s="1817">
        <f>'Expenditures 15-22'!K60</f>
        <v>207948</v>
      </c>
      <c r="C1127" s="2" t="s">
        <v>569</v>
      </c>
      <c r="D1127" s="2" t="str">
        <f t="shared" si="16"/>
        <v>Error?</v>
      </c>
    </row>
    <row r="1128" spans="1:4" x14ac:dyDescent="0.2">
      <c r="A1128" s="5">
        <v>1067</v>
      </c>
      <c r="B1128" s="1817">
        <f>'Expenditures 15-22'!K61</f>
        <v>113816</v>
      </c>
      <c r="C1128" s="2" t="s">
        <v>569</v>
      </c>
      <c r="D1128" s="2" t="str">
        <f t="shared" si="16"/>
        <v>Error?</v>
      </c>
    </row>
    <row r="1129" spans="1:4" x14ac:dyDescent="0.2">
      <c r="A1129" s="5">
        <v>1068</v>
      </c>
      <c r="B1129" s="1817">
        <f>'Expenditures 15-22'!K62</f>
        <v>60231</v>
      </c>
      <c r="C1129" s="2" t="s">
        <v>569</v>
      </c>
      <c r="D1129" s="2" t="str">
        <f t="shared" si="16"/>
        <v>Error?</v>
      </c>
    </row>
    <row r="1130" spans="1:4" x14ac:dyDescent="0.2">
      <c r="A1130" s="5">
        <v>1069</v>
      </c>
      <c r="B1130" s="1817">
        <f>'Expenditures 15-22'!K63</f>
        <v>748545</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1217636</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12893</v>
      </c>
      <c r="C1136" s="2" t="s">
        <v>569</v>
      </c>
      <c r="D1136" s="2" t="str">
        <f t="shared" si="16"/>
        <v>Error?</v>
      </c>
    </row>
    <row r="1137" spans="1:4" x14ac:dyDescent="0.2">
      <c r="A1137" s="5">
        <v>1076</v>
      </c>
      <c r="B1137" s="1817">
        <f>'Expenditures 15-22'!K70</f>
        <v>0</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1835</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14728</v>
      </c>
      <c r="C1141" s="2" t="s">
        <v>569</v>
      </c>
      <c r="D1141" s="2" t="str">
        <f t="shared" si="16"/>
        <v>Error?</v>
      </c>
    </row>
    <row r="1142" spans="1:4" x14ac:dyDescent="0.2">
      <c r="A1142" s="5">
        <v>1081</v>
      </c>
      <c r="B1142" s="1817">
        <f>'Expenditures 15-22'!K73</f>
        <v>1588</v>
      </c>
      <c r="C1142" s="2" t="s">
        <v>569</v>
      </c>
      <c r="D1142" s="2" t="str">
        <f t="shared" si="16"/>
        <v>Error?</v>
      </c>
    </row>
    <row r="1143" spans="1:4" x14ac:dyDescent="0.2">
      <c r="A1143" s="5">
        <v>1082</v>
      </c>
      <c r="B1143" s="1817">
        <f>'Expenditures 15-22'!K74</f>
        <v>3287643</v>
      </c>
      <c r="C1143" s="2" t="s">
        <v>569</v>
      </c>
      <c r="D1143" s="2" t="str">
        <f t="shared" si="16"/>
        <v>Error?</v>
      </c>
    </row>
    <row r="1144" spans="1:4" x14ac:dyDescent="0.2">
      <c r="A1144" s="5">
        <v>1083</v>
      </c>
      <c r="B1144" s="1817">
        <f>'Expenditures 15-22'!K75</f>
        <v>1015</v>
      </c>
      <c r="C1144" s="2" t="s">
        <v>569</v>
      </c>
      <c r="D1144" s="2" t="str">
        <f t="shared" si="16"/>
        <v>Error?</v>
      </c>
    </row>
    <row r="1145" spans="1:4" x14ac:dyDescent="0.2">
      <c r="A1145" s="5">
        <v>1084</v>
      </c>
      <c r="B1145" s="1817">
        <f>'Expenditures 15-22'!K102</f>
        <v>664409</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15914130</v>
      </c>
      <c r="C1152" s="2" t="s">
        <v>569</v>
      </c>
      <c r="D1152" s="2" t="str">
        <f t="shared" si="17"/>
        <v>Error?</v>
      </c>
    </row>
    <row r="1153" spans="1:4" x14ac:dyDescent="0.2">
      <c r="A1153" s="5">
        <v>1092</v>
      </c>
      <c r="B1153" s="1817">
        <f>'Expenditures 15-22'!K115</f>
        <v>-278050</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651074</v>
      </c>
      <c r="D1221" s="2" t="str">
        <f t="shared" si="18"/>
        <v>Error?</v>
      </c>
    </row>
    <row r="1222" spans="1:4" x14ac:dyDescent="0.2">
      <c r="A1222" s="10">
        <v>1161</v>
      </c>
      <c r="B1222" s="1817"/>
      <c r="D1222" s="2" t="str">
        <f t="shared" si="18"/>
        <v>OK</v>
      </c>
    </row>
    <row r="1223" spans="1:4" x14ac:dyDescent="0.2">
      <c r="A1223" s="5">
        <v>1162</v>
      </c>
      <c r="B1223" s="1817">
        <f>'Expenditures 15-22'!C127</f>
        <v>651074</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651074</v>
      </c>
      <c r="C1225" s="2" t="s">
        <v>569</v>
      </c>
      <c r="D1225" s="2" t="str">
        <f t="shared" si="18"/>
        <v>Error?</v>
      </c>
    </row>
    <row r="1226" spans="1:4" x14ac:dyDescent="0.2">
      <c r="A1226" s="5">
        <v>1165</v>
      </c>
      <c r="B1226" s="1817">
        <f>'Expenditures 15-22'!C151</f>
        <v>651074</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146358</v>
      </c>
      <c r="D1229" s="2" t="str">
        <f t="shared" si="18"/>
        <v>Error?</v>
      </c>
    </row>
    <row r="1230" spans="1:4" x14ac:dyDescent="0.2">
      <c r="A1230" s="10">
        <v>1169</v>
      </c>
      <c r="B1230" s="1817"/>
      <c r="D1230" s="2" t="str">
        <f t="shared" si="18"/>
        <v>OK</v>
      </c>
    </row>
    <row r="1231" spans="1:4" x14ac:dyDescent="0.2">
      <c r="A1231" s="5">
        <v>1170</v>
      </c>
      <c r="B1231" s="1817">
        <f>'Expenditures 15-22'!D127</f>
        <v>146358</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146358</v>
      </c>
      <c r="C1233" s="2" t="s">
        <v>569</v>
      </c>
      <c r="D1233" s="2" t="str">
        <f t="shared" si="18"/>
        <v>Error?</v>
      </c>
    </row>
    <row r="1234" spans="1:4" x14ac:dyDescent="0.2">
      <c r="A1234" s="5">
        <v>1173</v>
      </c>
      <c r="B1234" s="1817">
        <f>'Expenditures 15-22'!D151</f>
        <v>146358</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126025</v>
      </c>
      <c r="D1237" s="2" t="str">
        <f t="shared" si="18"/>
        <v>Error?</v>
      </c>
    </row>
    <row r="1238" spans="1:4" x14ac:dyDescent="0.2">
      <c r="A1238" s="10">
        <v>1177</v>
      </c>
      <c r="B1238" s="1817"/>
      <c r="D1238" s="2" t="str">
        <f t="shared" si="18"/>
        <v>OK</v>
      </c>
    </row>
    <row r="1239" spans="1:4" x14ac:dyDescent="0.2">
      <c r="A1239" s="5">
        <v>1178</v>
      </c>
      <c r="B1239" s="1817">
        <f>'Expenditures 15-22'!E127</f>
        <v>126025</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126025</v>
      </c>
      <c r="C1241" s="2" t="s">
        <v>569</v>
      </c>
      <c r="D1241" s="2" t="str">
        <f t="shared" si="18"/>
        <v>Error?</v>
      </c>
    </row>
    <row r="1242" spans="1:4" x14ac:dyDescent="0.2">
      <c r="A1242" s="5">
        <v>1181</v>
      </c>
      <c r="B1242" s="1817">
        <f>'Expenditures 15-22'!E151</f>
        <v>126025</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579083</v>
      </c>
      <c r="D1245" s="2" t="str">
        <f t="shared" si="18"/>
        <v>Error?</v>
      </c>
    </row>
    <row r="1246" spans="1:4" x14ac:dyDescent="0.2">
      <c r="A1246" s="10">
        <v>1185</v>
      </c>
      <c r="B1246" s="1817"/>
      <c r="D1246" s="2" t="str">
        <f t="shared" si="18"/>
        <v>OK</v>
      </c>
    </row>
    <row r="1247" spans="1:4" x14ac:dyDescent="0.2">
      <c r="A1247" s="5">
        <v>1186</v>
      </c>
      <c r="B1247" s="1817">
        <f>'Expenditures 15-22'!F127</f>
        <v>579083</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579083</v>
      </c>
      <c r="C1249" s="2" t="s">
        <v>569</v>
      </c>
      <c r="D1249" s="2" t="str">
        <f t="shared" si="18"/>
        <v>Error?</v>
      </c>
    </row>
    <row r="1250" spans="1:4" x14ac:dyDescent="0.2">
      <c r="A1250" s="5">
        <v>1189</v>
      </c>
      <c r="B1250" s="1817">
        <f>'Expenditures 15-22'!F151</f>
        <v>579083</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25090</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25090</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25090</v>
      </c>
      <c r="C1258" s="2" t="s">
        <v>569</v>
      </c>
      <c r="D1258" s="2" t="str">
        <f t="shared" si="18"/>
        <v>Error?</v>
      </c>
    </row>
    <row r="1259" spans="1:4" x14ac:dyDescent="0.2">
      <c r="A1259" s="5">
        <v>1198</v>
      </c>
      <c r="B1259" s="1817">
        <f>'Expenditures 15-22'!G151</f>
        <v>25090</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0</v>
      </c>
      <c r="D1262" s="2" t="str">
        <f t="shared" si="18"/>
        <v>Error?</v>
      </c>
    </row>
    <row r="1263" spans="1:4" x14ac:dyDescent="0.2">
      <c r="A1263" s="10">
        <v>1202</v>
      </c>
      <c r="B1263" s="1817"/>
      <c r="D1263" s="2" t="str">
        <f t="shared" si="18"/>
        <v>OK</v>
      </c>
    </row>
    <row r="1264" spans="1:4" x14ac:dyDescent="0.2">
      <c r="A1264" s="5">
        <v>1203</v>
      </c>
      <c r="B1264" s="1817">
        <f>'Expenditures 15-22'!H127</f>
        <v>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1527630</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1527630</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1527630</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1527630</v>
      </c>
      <c r="C1288" s="2" t="s">
        <v>569</v>
      </c>
      <c r="D1288" s="2" t="str">
        <f t="shared" si="19"/>
        <v>Error?</v>
      </c>
    </row>
    <row r="1289" spans="1:4" x14ac:dyDescent="0.2">
      <c r="A1289" s="5">
        <v>1228</v>
      </c>
      <c r="B1289" s="1817">
        <f>'Expenditures 15-22'!K152</f>
        <v>874987</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1333</v>
      </c>
      <c r="D1307" s="2" t="str">
        <f t="shared" si="19"/>
        <v>Error?</v>
      </c>
    </row>
    <row r="1308" spans="1:4" x14ac:dyDescent="0.2">
      <c r="A1308" s="5">
        <v>1247</v>
      </c>
      <c r="B1308" s="1817">
        <f>'Expenditures 15-22'!E172</f>
        <v>1333</v>
      </c>
      <c r="C1308" s="2" t="s">
        <v>569</v>
      </c>
      <c r="D1308" s="2" t="str">
        <f t="shared" si="19"/>
        <v>Error?</v>
      </c>
    </row>
    <row r="1309" spans="1:4" x14ac:dyDescent="0.2">
      <c r="A1309" s="5">
        <v>1248</v>
      </c>
      <c r="B1309" s="1817">
        <f>'Expenditures 15-22'!E174</f>
        <v>1333</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443031</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1905852</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2348883</v>
      </c>
      <c r="C1317" s="2" t="s">
        <v>569</v>
      </c>
      <c r="D1317" s="2" t="str">
        <f t="shared" si="19"/>
        <v>Error?</v>
      </c>
    </row>
    <row r="1318" spans="1:4" x14ac:dyDescent="0.2">
      <c r="A1318" s="5">
        <v>1257</v>
      </c>
      <c r="B1318" s="1817">
        <f>'Expenditures 15-22'!H174</f>
        <v>2348883</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443031</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1905852</v>
      </c>
      <c r="C1329" s="2" t="s">
        <v>569</v>
      </c>
      <c r="D1329" s="2" t="str">
        <f t="shared" si="19"/>
        <v>Error?</v>
      </c>
    </row>
    <row r="1330" spans="1:4" x14ac:dyDescent="0.2">
      <c r="A1330" s="5">
        <v>1269</v>
      </c>
      <c r="B1330" s="1817">
        <f>'Expenditures 15-22'!K171</f>
        <v>1333</v>
      </c>
      <c r="C1330" s="2" t="s">
        <v>569</v>
      </c>
      <c r="D1330" s="2" t="str">
        <f t="shared" si="19"/>
        <v>Error?</v>
      </c>
    </row>
    <row r="1331" spans="1:4" x14ac:dyDescent="0.2">
      <c r="A1331" s="5">
        <v>1270</v>
      </c>
      <c r="B1331" s="1817">
        <f>'Expenditures 15-22'!K172</f>
        <v>2350216</v>
      </c>
      <c r="C1331" s="2" t="s">
        <v>569</v>
      </c>
      <c r="D1331" s="2" t="str">
        <f t="shared" si="19"/>
        <v>Error?</v>
      </c>
    </row>
    <row r="1332" spans="1:4" x14ac:dyDescent="0.2">
      <c r="A1332" s="5">
        <v>1271</v>
      </c>
      <c r="B1332" s="1817">
        <f>'Expenditures 15-22'!K174</f>
        <v>2350216</v>
      </c>
      <c r="C1332" s="2" t="s">
        <v>569</v>
      </c>
      <c r="D1332" s="2" t="str">
        <f t="shared" si="19"/>
        <v>Error?</v>
      </c>
    </row>
    <row r="1333" spans="1:4" x14ac:dyDescent="0.2">
      <c r="A1333" s="5">
        <v>1272</v>
      </c>
      <c r="B1333" s="1817">
        <f>'Expenditures 15-22'!K175</f>
        <v>-175973</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698199</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698199</v>
      </c>
      <c r="C1339" s="2" t="s">
        <v>569</v>
      </c>
      <c r="D1339" s="2" t="str">
        <f t="shared" si="19"/>
        <v>Error?</v>
      </c>
    </row>
    <row r="1340" spans="1:4" x14ac:dyDescent="0.2">
      <c r="A1340" s="5">
        <v>1279</v>
      </c>
      <c r="B1340" s="1817">
        <f>'Expenditures 15-22'!C210</f>
        <v>698199</v>
      </c>
      <c r="C1340" s="2" t="s">
        <v>569</v>
      </c>
      <c r="D1340" s="2" t="str">
        <f t="shared" si="19"/>
        <v>Error?</v>
      </c>
    </row>
    <row r="1341" spans="1:4" x14ac:dyDescent="0.2">
      <c r="A1341" s="5">
        <v>1280</v>
      </c>
      <c r="B1341" s="1817">
        <f>'Expenditures 15-22'!D182</f>
        <v>96982</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96982</v>
      </c>
      <c r="C1345" s="2" t="s">
        <v>569</v>
      </c>
      <c r="D1345" s="2" t="str">
        <f t="shared" si="20"/>
        <v>Error?</v>
      </c>
    </row>
    <row r="1346" spans="1:4" x14ac:dyDescent="0.2">
      <c r="A1346" s="5">
        <v>1285</v>
      </c>
      <c r="B1346" s="1817">
        <f>'Expenditures 15-22'!D210</f>
        <v>96982</v>
      </c>
      <c r="C1346" s="2" t="s">
        <v>569</v>
      </c>
      <c r="D1346" s="2" t="str">
        <f t="shared" si="20"/>
        <v>Error?</v>
      </c>
    </row>
    <row r="1347" spans="1:4" x14ac:dyDescent="0.2">
      <c r="A1347" s="5">
        <v>1286</v>
      </c>
      <c r="B1347" s="1817">
        <f>'Expenditures 15-22'!E182</f>
        <v>13326</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13326</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13326</v>
      </c>
      <c r="C1353" s="2" t="s">
        <v>569</v>
      </c>
      <c r="D1353" s="2" t="str">
        <f t="shared" si="20"/>
        <v>Error?</v>
      </c>
    </row>
    <row r="1354" spans="1:4" x14ac:dyDescent="0.2">
      <c r="A1354" s="5">
        <v>1293</v>
      </c>
      <c r="B1354" s="1817">
        <f>'Expenditures 15-22'!F182</f>
        <v>120355</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120355</v>
      </c>
      <c r="C1358" s="2" t="s">
        <v>569</v>
      </c>
      <c r="D1358" s="2" t="str">
        <f t="shared" si="20"/>
        <v>Error?</v>
      </c>
    </row>
    <row r="1359" spans="1:4" x14ac:dyDescent="0.2">
      <c r="A1359" s="5">
        <v>1298</v>
      </c>
      <c r="B1359" s="1817">
        <f>'Expenditures 15-22'!F210</f>
        <v>120355</v>
      </c>
      <c r="C1359" s="2" t="s">
        <v>569</v>
      </c>
      <c r="D1359" s="2" t="str">
        <f t="shared" si="20"/>
        <v>Error?</v>
      </c>
    </row>
    <row r="1360" spans="1:4" x14ac:dyDescent="0.2">
      <c r="A1360" s="5">
        <v>1299</v>
      </c>
      <c r="B1360" s="1817">
        <f>'Expenditures 15-22'!G182</f>
        <v>479814</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479814</v>
      </c>
      <c r="C1364" s="2" t="s">
        <v>569</v>
      </c>
      <c r="D1364" s="2" t="str">
        <f t="shared" si="20"/>
        <v>Error?</v>
      </c>
    </row>
    <row r="1365" spans="1:4" x14ac:dyDescent="0.2">
      <c r="A1365" s="5">
        <v>1304</v>
      </c>
      <c r="B1365" s="1817">
        <f>'Expenditures 15-22'!G210</f>
        <v>479814</v>
      </c>
      <c r="C1365" s="2" t="s">
        <v>569</v>
      </c>
      <c r="D1365" s="2" t="str">
        <f t="shared" si="20"/>
        <v>Error?</v>
      </c>
    </row>
    <row r="1366" spans="1:4" x14ac:dyDescent="0.2">
      <c r="A1366" s="5">
        <v>1305</v>
      </c>
      <c r="B1366" s="1817">
        <f>'Expenditures 15-22'!H182</f>
        <v>2030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2030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9588</v>
      </c>
      <c r="C1375" s="2" t="s">
        <v>569</v>
      </c>
      <c r="D1375" s="2" t="str">
        <f t="shared" si="20"/>
        <v>Error?</v>
      </c>
    </row>
    <row r="1376" spans="1:4" x14ac:dyDescent="0.2">
      <c r="A1376" s="5">
        <v>1315</v>
      </c>
      <c r="B1376" s="1817">
        <f>'Expenditures 15-22'!H210</f>
        <v>11618</v>
      </c>
      <c r="C1376" s="2" t="s">
        <v>569</v>
      </c>
      <c r="D1376" s="2" t="str">
        <f t="shared" si="20"/>
        <v>Error?</v>
      </c>
    </row>
    <row r="1377" spans="1:4" x14ac:dyDescent="0.2">
      <c r="A1377" s="5">
        <v>1316</v>
      </c>
      <c r="B1377" s="1817">
        <f>'Expenditures 15-22'!K182</f>
        <v>1410706</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1410706</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9588</v>
      </c>
      <c r="C1387" s="2" t="s">
        <v>569</v>
      </c>
      <c r="D1387" s="2" t="str">
        <f t="shared" si="20"/>
        <v>Error?</v>
      </c>
    </row>
    <row r="1388" spans="1:4" x14ac:dyDescent="0.2">
      <c r="A1388" s="5">
        <v>1327</v>
      </c>
      <c r="B1388" s="1817">
        <f>'Expenditures 15-22'!K210</f>
        <v>1420294</v>
      </c>
      <c r="C1388" s="2" t="s">
        <v>569</v>
      </c>
      <c r="D1388" s="2" t="str">
        <f t="shared" si="20"/>
        <v>Error?</v>
      </c>
    </row>
    <row r="1389" spans="1:4" x14ac:dyDescent="0.2">
      <c r="A1389" s="5">
        <v>1328</v>
      </c>
      <c r="B1389" s="1817">
        <f>'Expenditures 15-22'!K211</f>
        <v>169050</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0</v>
      </c>
      <c r="D1407" s="2" t="str">
        <f t="shared" ref="D1407:D1470" si="21">IF(ISBLANK(B1407),"OK",IF(A1407-B1407=0,"OK","Error?"))</f>
        <v>Error?</v>
      </c>
    </row>
    <row r="1408" spans="1:4" x14ac:dyDescent="0.2">
      <c r="A1408" s="5">
        <v>1347</v>
      </c>
      <c r="B1408" s="1817">
        <f>'Expenditures 15-22'!D223</f>
        <v>13018</v>
      </c>
      <c r="D1408" s="2" t="str">
        <f t="shared" si="21"/>
        <v>Error?</v>
      </c>
    </row>
    <row r="1409" spans="1:4" x14ac:dyDescent="0.2">
      <c r="A1409" s="5">
        <v>1348</v>
      </c>
      <c r="B1409" s="1817">
        <f>'Expenditures 15-22'!D224</f>
        <v>6</v>
      </c>
      <c r="D1409" s="2" t="str">
        <f t="shared" si="21"/>
        <v>Error?</v>
      </c>
    </row>
    <row r="1410" spans="1:4" x14ac:dyDescent="0.2">
      <c r="A1410" s="5">
        <v>1349</v>
      </c>
      <c r="B1410" s="1817">
        <f>'Expenditures 15-22'!D229</f>
        <v>261824</v>
      </c>
      <c r="C1410" s="2" t="s">
        <v>569</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5463</v>
      </c>
      <c r="D1412" s="2" t="str">
        <f t="shared" si="21"/>
        <v>Error?</v>
      </c>
    </row>
    <row r="1413" spans="1:4" x14ac:dyDescent="0.2">
      <c r="A1413" s="5">
        <v>1352</v>
      </c>
      <c r="B1413" s="1817">
        <f>'Expenditures 15-22'!D234</f>
        <v>7779</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2447</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15689</v>
      </c>
      <c r="C1417" s="2" t="s">
        <v>569</v>
      </c>
      <c r="D1417" s="2" t="str">
        <f t="shared" si="21"/>
        <v>Error?</v>
      </c>
    </row>
    <row r="1418" spans="1:4" x14ac:dyDescent="0.2">
      <c r="A1418" s="5">
        <v>1357</v>
      </c>
      <c r="B1418" s="1817">
        <f>'Expenditures 15-22'!D240</f>
        <v>0</v>
      </c>
      <c r="D1418" s="2" t="str">
        <f t="shared" si="21"/>
        <v>Error?</v>
      </c>
    </row>
    <row r="1419" spans="1:4" x14ac:dyDescent="0.2">
      <c r="A1419" s="5">
        <v>1358</v>
      </c>
      <c r="B1419" s="1817">
        <f>'Expenditures 15-22'!D241</f>
        <v>22727</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22727</v>
      </c>
      <c r="C1421" s="2" t="s">
        <v>569</v>
      </c>
      <c r="D1421" s="2" t="str">
        <f t="shared" si="21"/>
        <v>Error?</v>
      </c>
    </row>
    <row r="1422" spans="1:4" x14ac:dyDescent="0.2">
      <c r="A1422" s="5">
        <v>1361</v>
      </c>
      <c r="B1422" s="1817">
        <f>'Expenditures 15-22'!D245</f>
        <v>0</v>
      </c>
      <c r="D1422" s="2" t="str">
        <f t="shared" si="21"/>
        <v>Error?</v>
      </c>
    </row>
    <row r="1423" spans="1:4" x14ac:dyDescent="0.2">
      <c r="A1423" s="5">
        <v>1362</v>
      </c>
      <c r="B1423" s="1817">
        <f>'Expenditures 15-22'!D246</f>
        <v>5862</v>
      </c>
      <c r="D1423" s="2" t="str">
        <f t="shared" si="21"/>
        <v>Error?</v>
      </c>
    </row>
    <row r="1424" spans="1:4" x14ac:dyDescent="0.2">
      <c r="A1424" s="5">
        <v>1363</v>
      </c>
      <c r="B1424" s="1817">
        <f>'Expenditures 15-22'!D257</f>
        <v>36639</v>
      </c>
      <c r="C1424" s="2" t="s">
        <v>569</v>
      </c>
      <c r="D1424" s="2" t="str">
        <f t="shared" si="21"/>
        <v>Error?</v>
      </c>
    </row>
    <row r="1425" spans="1:4" x14ac:dyDescent="0.2">
      <c r="A1425" s="5">
        <v>1364</v>
      </c>
      <c r="B1425" s="1817">
        <f>'Expenditures 15-22'!D259</f>
        <v>30467</v>
      </c>
      <c r="D1425" s="2" t="str">
        <f t="shared" si="21"/>
        <v>Error?</v>
      </c>
    </row>
    <row r="1426" spans="1:4" x14ac:dyDescent="0.2">
      <c r="A1426" s="5">
        <v>1365</v>
      </c>
      <c r="B1426" s="1817">
        <f>'Expenditures 15-22'!D260</f>
        <v>159</v>
      </c>
      <c r="D1426" s="2" t="str">
        <f t="shared" si="21"/>
        <v>Error?</v>
      </c>
    </row>
    <row r="1427" spans="1:4" x14ac:dyDescent="0.2">
      <c r="A1427" s="5">
        <v>1366</v>
      </c>
      <c r="B1427" s="1817">
        <f>'Expenditures 15-22'!D261</f>
        <v>30626</v>
      </c>
      <c r="C1427" s="2" t="s">
        <v>569</v>
      </c>
      <c r="D1427" s="2" t="str">
        <f t="shared" si="21"/>
        <v>Error?</v>
      </c>
    </row>
    <row r="1428" spans="1:4" x14ac:dyDescent="0.2">
      <c r="A1428" s="5">
        <v>1367</v>
      </c>
      <c r="B1428" s="1817">
        <f>'Expenditures 15-22'!D263</f>
        <v>1324</v>
      </c>
      <c r="D1428" s="2" t="str">
        <f t="shared" si="21"/>
        <v>Error?</v>
      </c>
    </row>
    <row r="1429" spans="1:4" x14ac:dyDescent="0.2">
      <c r="A1429" s="5">
        <v>1368</v>
      </c>
      <c r="B1429" s="1817">
        <f>'Expenditures 15-22'!D264</f>
        <v>15899</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82838</v>
      </c>
      <c r="D1431" s="2" t="str">
        <f t="shared" si="21"/>
        <v>Error?</v>
      </c>
    </row>
    <row r="1432" spans="1:4" x14ac:dyDescent="0.2">
      <c r="A1432" s="5">
        <v>1371</v>
      </c>
      <c r="B1432" s="1817">
        <f>'Expenditures 15-22'!D267</f>
        <v>84344</v>
      </c>
      <c r="D1432" s="2" t="str">
        <f t="shared" si="21"/>
        <v>Error?</v>
      </c>
    </row>
    <row r="1433" spans="1:4" x14ac:dyDescent="0.2">
      <c r="A1433" s="5">
        <v>1372</v>
      </c>
      <c r="B1433" s="1817">
        <f>'Expenditures 15-22'!D268</f>
        <v>35041</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219446</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325127</v>
      </c>
      <c r="C1446" s="2" t="s">
        <v>569</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586951</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0</v>
      </c>
      <c r="C1471" s="2" t="s">
        <v>569</v>
      </c>
      <c r="D1471" s="2" t="str">
        <f t="shared" ref="D1471:D1534" si="22">IF(ISBLANK(B1471),"OK",IF(A1471-B1471=0,"OK","Error?"))</f>
        <v>Error?</v>
      </c>
    </row>
    <row r="1472" spans="1:4" x14ac:dyDescent="0.2">
      <c r="A1472" s="5">
        <v>1411</v>
      </c>
      <c r="B1472" s="1817">
        <f>'Expenditures 15-22'!K223</f>
        <v>13018</v>
      </c>
      <c r="C1472" s="2" t="s">
        <v>569</v>
      </c>
      <c r="D1472" s="2" t="str">
        <f t="shared" si="22"/>
        <v>Error?</v>
      </c>
    </row>
    <row r="1473" spans="1:4" x14ac:dyDescent="0.2">
      <c r="A1473" s="5">
        <v>1412</v>
      </c>
      <c r="B1473" s="1817">
        <f>'Expenditures 15-22'!K224</f>
        <v>6</v>
      </c>
      <c r="C1473" s="2" t="s">
        <v>569</v>
      </c>
      <c r="D1473" s="2" t="str">
        <f t="shared" si="22"/>
        <v>Error?</v>
      </c>
    </row>
    <row r="1474" spans="1:4" x14ac:dyDescent="0.2">
      <c r="A1474" s="5">
        <v>1413</v>
      </c>
      <c r="B1474" s="1817">
        <f>'Expenditures 15-22'!K229</f>
        <v>261824</v>
      </c>
      <c r="C1474" s="2" t="s">
        <v>569</v>
      </c>
      <c r="D1474" s="2" t="str">
        <f t="shared" si="22"/>
        <v>Error?</v>
      </c>
    </row>
    <row r="1475" spans="1:4" x14ac:dyDescent="0.2">
      <c r="A1475" s="5">
        <v>1414</v>
      </c>
      <c r="B1475" s="1817">
        <f>'Expenditures 15-22'!K232</f>
        <v>0</v>
      </c>
      <c r="C1475" s="2" t="s">
        <v>569</v>
      </c>
      <c r="D1475" s="2" t="str">
        <f t="shared" si="22"/>
        <v>Error?</v>
      </c>
    </row>
    <row r="1476" spans="1:4" x14ac:dyDescent="0.2">
      <c r="A1476" s="5">
        <v>1415</v>
      </c>
      <c r="B1476" s="1817">
        <f>'Expenditures 15-22'!K233</f>
        <v>5463</v>
      </c>
      <c r="C1476" s="2" t="s">
        <v>569</v>
      </c>
      <c r="D1476" s="2" t="str">
        <f t="shared" si="22"/>
        <v>Error?</v>
      </c>
    </row>
    <row r="1477" spans="1:4" x14ac:dyDescent="0.2">
      <c r="A1477" s="5">
        <v>1416</v>
      </c>
      <c r="B1477" s="1817">
        <f>'Expenditures 15-22'!K234</f>
        <v>7779</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2447</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15689</v>
      </c>
      <c r="C1481" s="2" t="s">
        <v>569</v>
      </c>
      <c r="D1481" s="2" t="str">
        <f t="shared" si="22"/>
        <v>Error?</v>
      </c>
    </row>
    <row r="1482" spans="1:4" x14ac:dyDescent="0.2">
      <c r="A1482" s="5">
        <v>1421</v>
      </c>
      <c r="B1482" s="1817">
        <f>'Expenditures 15-22'!K240</f>
        <v>0</v>
      </c>
      <c r="C1482" s="2" t="s">
        <v>569</v>
      </c>
      <c r="D1482" s="2" t="str">
        <f t="shared" si="22"/>
        <v>Error?</v>
      </c>
    </row>
    <row r="1483" spans="1:4" x14ac:dyDescent="0.2">
      <c r="A1483" s="5">
        <v>1422</v>
      </c>
      <c r="B1483" s="1817">
        <f>'Expenditures 15-22'!K241</f>
        <v>22727</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22727</v>
      </c>
      <c r="C1485" s="2" t="s">
        <v>569</v>
      </c>
      <c r="D1485" s="2" t="str">
        <f t="shared" si="22"/>
        <v>Error?</v>
      </c>
    </row>
    <row r="1486" spans="1:4" x14ac:dyDescent="0.2">
      <c r="A1486" s="5">
        <v>1425</v>
      </c>
      <c r="B1486" s="1817">
        <f>'Expenditures 15-22'!K245</f>
        <v>0</v>
      </c>
      <c r="C1486" s="2" t="s">
        <v>569</v>
      </c>
      <c r="D1486" s="2" t="str">
        <f t="shared" si="22"/>
        <v>Error?</v>
      </c>
    </row>
    <row r="1487" spans="1:4" x14ac:dyDescent="0.2">
      <c r="A1487" s="5">
        <v>1426</v>
      </c>
      <c r="B1487" s="1817">
        <f>'Expenditures 15-22'!K246</f>
        <v>5862</v>
      </c>
      <c r="C1487" s="2" t="s">
        <v>569</v>
      </c>
      <c r="D1487" s="2" t="str">
        <f t="shared" si="22"/>
        <v>Error?</v>
      </c>
    </row>
    <row r="1488" spans="1:4" x14ac:dyDescent="0.2">
      <c r="A1488" s="5">
        <v>1427</v>
      </c>
      <c r="B1488" s="1817">
        <f>'Expenditures 15-22'!K257</f>
        <v>36639</v>
      </c>
      <c r="C1488" s="2" t="s">
        <v>569</v>
      </c>
      <c r="D1488" s="2" t="str">
        <f t="shared" si="22"/>
        <v>Error?</v>
      </c>
    </row>
    <row r="1489" spans="1:4" x14ac:dyDescent="0.2">
      <c r="A1489" s="5">
        <v>1428</v>
      </c>
      <c r="B1489" s="1817">
        <f>'Expenditures 15-22'!K259</f>
        <v>30467</v>
      </c>
      <c r="C1489" s="2" t="s">
        <v>569</v>
      </c>
      <c r="D1489" s="2" t="str">
        <f t="shared" si="22"/>
        <v>Error?</v>
      </c>
    </row>
    <row r="1490" spans="1:4" x14ac:dyDescent="0.2">
      <c r="A1490" s="5">
        <v>1429</v>
      </c>
      <c r="B1490" s="1817">
        <f>'Expenditures 15-22'!K260</f>
        <v>159</v>
      </c>
      <c r="C1490" s="2" t="s">
        <v>569</v>
      </c>
      <c r="D1490" s="2" t="str">
        <f t="shared" si="22"/>
        <v>Error?</v>
      </c>
    </row>
    <row r="1491" spans="1:4" x14ac:dyDescent="0.2">
      <c r="A1491" s="5">
        <v>1430</v>
      </c>
      <c r="B1491" s="1817">
        <f>'Expenditures 15-22'!K261</f>
        <v>30626</v>
      </c>
      <c r="C1491" s="2" t="s">
        <v>569</v>
      </c>
      <c r="D1491" s="2" t="str">
        <f t="shared" si="22"/>
        <v>Error?</v>
      </c>
    </row>
    <row r="1492" spans="1:4" x14ac:dyDescent="0.2">
      <c r="A1492" s="5">
        <v>1431</v>
      </c>
      <c r="B1492" s="1817">
        <f>'Expenditures 15-22'!K263</f>
        <v>1324</v>
      </c>
      <c r="C1492" s="2" t="s">
        <v>569</v>
      </c>
      <c r="D1492" s="2" t="str">
        <f t="shared" si="22"/>
        <v>Error?</v>
      </c>
    </row>
    <row r="1493" spans="1:4" x14ac:dyDescent="0.2">
      <c r="A1493" s="5">
        <v>1432</v>
      </c>
      <c r="B1493" s="1817">
        <f>'Expenditures 15-22'!K264</f>
        <v>15899</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82838</v>
      </c>
      <c r="C1495" s="2" t="s">
        <v>569</v>
      </c>
      <c r="D1495" s="2" t="str">
        <f t="shared" si="22"/>
        <v>Error?</v>
      </c>
    </row>
    <row r="1496" spans="1:4" x14ac:dyDescent="0.2">
      <c r="A1496" s="5">
        <v>1435</v>
      </c>
      <c r="B1496" s="1817">
        <f>'Expenditures 15-22'!K267</f>
        <v>84344</v>
      </c>
      <c r="C1496" s="2" t="s">
        <v>569</v>
      </c>
      <c r="D1496" s="2" t="str">
        <f t="shared" si="22"/>
        <v>Error?</v>
      </c>
    </row>
    <row r="1497" spans="1:4" x14ac:dyDescent="0.2">
      <c r="A1497" s="5">
        <v>1436</v>
      </c>
      <c r="B1497" s="1817">
        <f>'Expenditures 15-22'!K268</f>
        <v>35041</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219446</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325127</v>
      </c>
      <c r="C1510" s="2" t="s">
        <v>569</v>
      </c>
      <c r="D1510" s="2" t="str">
        <f t="shared" si="22"/>
        <v>Error?</v>
      </c>
    </row>
    <row r="1511" spans="1:4" x14ac:dyDescent="0.2">
      <c r="A1511" s="5">
        <v>1450</v>
      </c>
      <c r="B1511" s="1817">
        <f>'Expenditures 15-22'!K280</f>
        <v>0</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586951</v>
      </c>
      <c r="C1517" s="2" t="s">
        <v>569</v>
      </c>
      <c r="D1517" s="2" t="str">
        <f t="shared" si="22"/>
        <v>Error?</v>
      </c>
    </row>
    <row r="1518" spans="1:4" x14ac:dyDescent="0.2">
      <c r="A1518" s="5">
        <v>1457</v>
      </c>
      <c r="B1518" s="1817">
        <f>'Expenditures 15-22'!K296</f>
        <v>90418</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0</v>
      </c>
      <c r="C1547" s="2" t="s">
        <v>569</v>
      </c>
      <c r="D1547" s="2" t="str">
        <f t="shared" si="23"/>
        <v>Error?</v>
      </c>
    </row>
    <row r="1548" spans="1:4" x14ac:dyDescent="0.2">
      <c r="A1548" s="5">
        <v>1487</v>
      </c>
      <c r="B1548" s="1817">
        <f>'Expenditures 15-22'!G312</f>
        <v>0</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0</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0</v>
      </c>
      <c r="C1559" s="2" t="s">
        <v>569</v>
      </c>
      <c r="D1559" s="2" t="str">
        <f t="shared" si="23"/>
        <v>Error?</v>
      </c>
    </row>
    <row r="1560" spans="1:4" x14ac:dyDescent="0.2">
      <c r="A1560" s="5">
        <v>1499</v>
      </c>
      <c r="B1560" s="1817">
        <f>'Expenditures 15-22'!K312</f>
        <v>0</v>
      </c>
      <c r="C1560" s="2" t="s">
        <v>569</v>
      </c>
      <c r="D1560" s="2" t="str">
        <f t="shared" si="23"/>
        <v>Error?</v>
      </c>
    </row>
    <row r="1561" spans="1:4" x14ac:dyDescent="0.2">
      <c r="A1561" s="5">
        <v>1500</v>
      </c>
      <c r="B1561" s="1817">
        <f>'Expenditures 15-22'!K313</f>
        <v>0</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11269025</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11816057</v>
      </c>
      <c r="C1630" s="2" t="s">
        <v>569</v>
      </c>
      <c r="D1630" s="2" t="str">
        <f t="shared" si="24"/>
        <v>Error?</v>
      </c>
    </row>
    <row r="1631" spans="1:4" x14ac:dyDescent="0.2">
      <c r="A1631" s="5">
        <v>1570</v>
      </c>
      <c r="B1631" s="1817">
        <f>'Acct Summary 7-8'!D79</f>
        <v>4283324</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5158311</v>
      </c>
      <c r="C1644" s="2" t="s">
        <v>569</v>
      </c>
      <c r="D1644" s="2" t="str">
        <f t="shared" si="24"/>
        <v>Error?</v>
      </c>
    </row>
    <row r="1645" spans="1:4" x14ac:dyDescent="0.2">
      <c r="A1645" s="5">
        <v>1584</v>
      </c>
      <c r="B1645" s="1817">
        <f>'Acct Summary 7-8'!E79</f>
        <v>22864</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21809</v>
      </c>
      <c r="C1658" s="2" t="s">
        <v>569</v>
      </c>
      <c r="D1658" s="2" t="str">
        <f t="shared" si="24"/>
        <v>Error?</v>
      </c>
    </row>
    <row r="1659" spans="1:4" x14ac:dyDescent="0.2">
      <c r="A1659" s="5">
        <v>1598</v>
      </c>
      <c r="B1659" s="1817">
        <f>'Acct Summary 7-8'!F79</f>
        <v>3505920</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3674970</v>
      </c>
      <c r="C1672" s="2" t="s">
        <v>569</v>
      </c>
      <c r="D1672" s="2" t="str">
        <f t="shared" si="25"/>
        <v>Error?</v>
      </c>
    </row>
    <row r="1673" spans="1:4" x14ac:dyDescent="0.2">
      <c r="A1673" s="5">
        <v>1612</v>
      </c>
      <c r="B1673" s="1817">
        <f>'Acct Summary 7-8'!G79</f>
        <v>1207372</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1297790</v>
      </c>
      <c r="C1686" s="2" t="s">
        <v>569</v>
      </c>
      <c r="D1686" s="2" t="str">
        <f t="shared" si="25"/>
        <v>Error?</v>
      </c>
    </row>
    <row r="1687" spans="1:4" x14ac:dyDescent="0.2">
      <c r="A1687" s="5">
        <v>1626</v>
      </c>
      <c r="B1687" s="1817">
        <f>'Acct Summary 7-8'!H79</f>
        <v>908</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908</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8596760</v>
      </c>
      <c r="C1744" s="2" t="s">
        <v>569</v>
      </c>
      <c r="D1744" s="2" t="str">
        <f t="shared" si="26"/>
        <v>Error?</v>
      </c>
    </row>
    <row r="1745" spans="1:5" x14ac:dyDescent="0.2">
      <c r="A1745" s="5">
        <v>1684</v>
      </c>
      <c r="B1745" s="1817">
        <f>'Tax Sched 23'!B5</f>
        <v>2335840</v>
      </c>
      <c r="C1745" s="2" t="s">
        <v>569</v>
      </c>
      <c r="D1745" s="2" t="str">
        <f t="shared" si="26"/>
        <v>Error?</v>
      </c>
    </row>
    <row r="1746" spans="1:5" x14ac:dyDescent="0.2">
      <c r="A1746" s="5">
        <v>1685</v>
      </c>
      <c r="B1746" s="1817">
        <f>'Tax Sched 23'!B6</f>
        <v>2173980</v>
      </c>
      <c r="C1746" s="2" t="s">
        <v>569</v>
      </c>
      <c r="D1746" s="2" t="str">
        <f t="shared" si="26"/>
        <v>Error?</v>
      </c>
    </row>
    <row r="1747" spans="1:5" x14ac:dyDescent="0.2">
      <c r="A1747" s="5">
        <v>1686</v>
      </c>
      <c r="B1747" s="1817">
        <f>'Tax Sched 23'!B7</f>
        <v>934256</v>
      </c>
      <c r="C1747" s="2" t="s">
        <v>569</v>
      </c>
      <c r="D1747" s="2" t="str">
        <f t="shared" si="26"/>
        <v>Error?</v>
      </c>
    </row>
    <row r="1748" spans="1:5" x14ac:dyDescent="0.2">
      <c r="A1748" s="5">
        <v>1687</v>
      </c>
      <c r="B1748" s="1817">
        <f>'Tax Sched 23'!B8</f>
        <v>331166</v>
      </c>
      <c r="C1748" s="2" t="s">
        <v>569</v>
      </c>
      <c r="D1748" s="2" t="str">
        <f t="shared" si="26"/>
        <v>Error?</v>
      </c>
    </row>
    <row r="1749" spans="1:5" x14ac:dyDescent="0.2">
      <c r="A1749" s="5">
        <v>1688</v>
      </c>
      <c r="B1749" s="1817">
        <f>'Tax Sched 23'!B10</f>
        <v>233497</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1256931</v>
      </c>
      <c r="C1752" s="2" t="s">
        <v>569</v>
      </c>
      <c r="D1752" s="2" t="str">
        <f t="shared" si="26"/>
        <v>Error?</v>
      </c>
    </row>
    <row r="1753" spans="1:5" x14ac:dyDescent="0.2">
      <c r="A1753" s="5">
        <v>1692</v>
      </c>
      <c r="B1753" s="1817">
        <f>'Tax Sched 23'!B12</f>
        <v>233619</v>
      </c>
      <c r="C1753" s="2" t="s">
        <v>569</v>
      </c>
      <c r="D1753" s="2" t="str">
        <f t="shared" si="26"/>
        <v>Error?</v>
      </c>
    </row>
    <row r="1754" spans="1:5" x14ac:dyDescent="0.2">
      <c r="A1754" s="5">
        <v>1693</v>
      </c>
      <c r="B1754" s="1817">
        <f>'Tax Sched 23'!B14</f>
        <v>186766</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16798525</v>
      </c>
      <c r="C1759" s="2" t="s">
        <v>569</v>
      </c>
      <c r="D1759" s="2" t="str">
        <f t="shared" si="26"/>
        <v>Error?</v>
      </c>
    </row>
    <row r="1760" spans="1:5" x14ac:dyDescent="0.2">
      <c r="A1760" s="5">
        <v>1699</v>
      </c>
      <c r="B1760" s="1817">
        <f>'Tax Sched 23'!D4</f>
        <v>8596760</v>
      </c>
      <c r="C1760" s="2" t="s">
        <v>569</v>
      </c>
      <c r="D1760" s="2" t="str">
        <f t="shared" si="26"/>
        <v>Error?</v>
      </c>
    </row>
    <row r="1761" spans="1:7" x14ac:dyDescent="0.2">
      <c r="A1761" s="5">
        <v>1700</v>
      </c>
      <c r="B1761" s="1817">
        <f>'Tax Sched 23'!D5</f>
        <v>2335840</v>
      </c>
      <c r="C1761" s="2" t="s">
        <v>569</v>
      </c>
      <c r="D1761" s="2" t="str">
        <f t="shared" si="26"/>
        <v>Error?</v>
      </c>
    </row>
    <row r="1762" spans="1:7" s="8" customFormat="1" x14ac:dyDescent="0.2">
      <c r="A1762" s="5">
        <v>1701</v>
      </c>
      <c r="B1762" s="1817">
        <f>'Tax Sched 23'!D6</f>
        <v>2173980</v>
      </c>
      <c r="C1762" s="2" t="s">
        <v>569</v>
      </c>
      <c r="D1762" s="2" t="str">
        <f t="shared" si="26"/>
        <v>Error?</v>
      </c>
      <c r="E1762" s="9"/>
      <c r="G1762"/>
    </row>
    <row r="1763" spans="1:7" x14ac:dyDescent="0.2">
      <c r="A1763" s="5">
        <v>1702</v>
      </c>
      <c r="B1763" s="1817">
        <f>'Tax Sched 23'!D7</f>
        <v>934256</v>
      </c>
      <c r="C1763" s="2" t="s">
        <v>569</v>
      </c>
      <c r="D1763" s="2" t="str">
        <f t="shared" si="26"/>
        <v>Error?</v>
      </c>
    </row>
    <row r="1764" spans="1:7" x14ac:dyDescent="0.2">
      <c r="A1764" s="5">
        <v>1703</v>
      </c>
      <c r="B1764" s="1817">
        <f>'Tax Sched 23'!D8</f>
        <v>331166</v>
      </c>
      <c r="C1764" s="2" t="s">
        <v>569</v>
      </c>
      <c r="D1764" s="2" t="str">
        <f t="shared" si="26"/>
        <v>Error?</v>
      </c>
    </row>
    <row r="1765" spans="1:7" x14ac:dyDescent="0.2">
      <c r="A1765" s="5">
        <v>1704</v>
      </c>
      <c r="B1765" s="1817">
        <f>'Tax Sched 23'!D10</f>
        <v>233497</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1256931</v>
      </c>
      <c r="C1768" s="2" t="s">
        <v>569</v>
      </c>
      <c r="D1768" s="2" t="str">
        <f t="shared" si="26"/>
        <v>Error?</v>
      </c>
    </row>
    <row r="1769" spans="1:7" x14ac:dyDescent="0.2">
      <c r="A1769" s="5">
        <v>1708</v>
      </c>
      <c r="B1769" s="1817">
        <f>'Tax Sched 23'!D12</f>
        <v>233619</v>
      </c>
      <c r="C1769" s="2" t="s">
        <v>569</v>
      </c>
      <c r="D1769" s="2" t="str">
        <f t="shared" si="26"/>
        <v>Error?</v>
      </c>
    </row>
    <row r="1770" spans="1:7" x14ac:dyDescent="0.2">
      <c r="A1770" s="5">
        <v>1709</v>
      </c>
      <c r="B1770" s="1817">
        <f>'Tax Sched 23'!D14</f>
        <v>186766</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16798525</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8751160</v>
      </c>
      <c r="C1792" s="2" t="s">
        <v>569</v>
      </c>
      <c r="D1792" s="2" t="str">
        <f t="shared" si="27"/>
        <v>Error?</v>
      </c>
    </row>
    <row r="1793" spans="1:4" x14ac:dyDescent="0.2">
      <c r="A1793" s="5">
        <v>1732</v>
      </c>
      <c r="B1793" s="1817">
        <f>'Tax Sched 23'!F5</f>
        <v>2378033</v>
      </c>
      <c r="C1793" s="2" t="s">
        <v>569</v>
      </c>
      <c r="D1793" s="2" t="str">
        <f t="shared" si="27"/>
        <v>Error?</v>
      </c>
    </row>
    <row r="1794" spans="1:4" x14ac:dyDescent="0.2">
      <c r="A1794" s="5">
        <v>1733</v>
      </c>
      <c r="B1794" s="1817">
        <f>'Tax Sched 23'!F6</f>
        <v>2174575</v>
      </c>
      <c r="C1794" s="2" t="s">
        <v>569</v>
      </c>
      <c r="D1794" s="2" t="str">
        <f t="shared" si="27"/>
        <v>Error?</v>
      </c>
    </row>
    <row r="1795" spans="1:4" x14ac:dyDescent="0.2">
      <c r="A1795" s="5">
        <v>1734</v>
      </c>
      <c r="B1795" s="1817">
        <f>'Tax Sched 23'!F7</f>
        <v>951213</v>
      </c>
      <c r="C1795" s="2" t="s">
        <v>569</v>
      </c>
      <c r="D1795" s="2" t="str">
        <f t="shared" si="27"/>
        <v>Error?</v>
      </c>
    </row>
    <row r="1796" spans="1:4" x14ac:dyDescent="0.2">
      <c r="A1796" s="5">
        <v>1735</v>
      </c>
      <c r="B1796" s="1817">
        <f>'Tax Sched 23'!F8</f>
        <v>332021</v>
      </c>
      <c r="C1796" s="2" t="s">
        <v>569</v>
      </c>
      <c r="D1796" s="2" t="str">
        <f t="shared" si="27"/>
        <v>Error?</v>
      </c>
    </row>
    <row r="1797" spans="1:4" x14ac:dyDescent="0.2">
      <c r="A1797" s="5">
        <v>1736</v>
      </c>
      <c r="B1797" s="1817">
        <f>'Tax Sched 23'!F10</f>
        <v>237803</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1330034</v>
      </c>
      <c r="C1800" s="2" t="s">
        <v>569</v>
      </c>
      <c r="D1800" s="2" t="str">
        <f t="shared" si="27"/>
        <v>Error?</v>
      </c>
    </row>
    <row r="1801" spans="1:4" x14ac:dyDescent="0.2">
      <c r="A1801" s="5">
        <v>1740</v>
      </c>
      <c r="B1801" s="1817">
        <f>'Tax Sched 23'!F12</f>
        <v>237803</v>
      </c>
      <c r="C1801" s="2" t="s">
        <v>569</v>
      </c>
      <c r="D1801" s="2" t="str">
        <f t="shared" si="27"/>
        <v>Error?</v>
      </c>
    </row>
    <row r="1802" spans="1:4" x14ac:dyDescent="0.2">
      <c r="A1802" s="5">
        <v>1741</v>
      </c>
      <c r="B1802" s="1817">
        <f>'Tax Sched 23'!F14</f>
        <v>190243</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17111696</v>
      </c>
      <c r="C1807" s="2" t="s">
        <v>569</v>
      </c>
      <c r="D1807" s="2" t="str">
        <f t="shared" si="27"/>
        <v>Error?</v>
      </c>
    </row>
    <row r="1808" spans="1:4" x14ac:dyDescent="0.2">
      <c r="A1808" s="5">
        <v>1747</v>
      </c>
      <c r="B1808" s="1817">
        <f>'Tax Sched 23'!E4</f>
        <v>8751160</v>
      </c>
      <c r="D1808" s="2" t="str">
        <f t="shared" si="27"/>
        <v>Error?</v>
      </c>
    </row>
    <row r="1809" spans="1:4" x14ac:dyDescent="0.2">
      <c r="A1809" s="5">
        <v>1748</v>
      </c>
      <c r="B1809" s="1817">
        <f>'Tax Sched 23'!E5</f>
        <v>2378033</v>
      </c>
      <c r="D1809" s="2" t="str">
        <f t="shared" si="27"/>
        <v>Error?</v>
      </c>
    </row>
    <row r="1810" spans="1:4" x14ac:dyDescent="0.2">
      <c r="A1810" s="5">
        <v>1749</v>
      </c>
      <c r="B1810" s="1817">
        <f>'Tax Sched 23'!E6</f>
        <v>2174575</v>
      </c>
      <c r="D1810" s="2" t="str">
        <f t="shared" si="27"/>
        <v>Error?</v>
      </c>
    </row>
    <row r="1811" spans="1:4" x14ac:dyDescent="0.2">
      <c r="A1811" s="5">
        <v>1750</v>
      </c>
      <c r="B1811" s="1817">
        <f>'Tax Sched 23'!E7</f>
        <v>951213</v>
      </c>
      <c r="D1811" s="2" t="str">
        <f t="shared" si="27"/>
        <v>Error?</v>
      </c>
    </row>
    <row r="1812" spans="1:4" x14ac:dyDescent="0.2">
      <c r="A1812" s="5">
        <v>1751</v>
      </c>
      <c r="B1812" s="1817">
        <f>'Tax Sched 23'!E8</f>
        <v>332021</v>
      </c>
      <c r="D1812" s="2" t="str">
        <f t="shared" si="27"/>
        <v>Error?</v>
      </c>
    </row>
    <row r="1813" spans="1:4" x14ac:dyDescent="0.2">
      <c r="A1813" s="5">
        <v>1752</v>
      </c>
      <c r="B1813" s="1817">
        <f>'Tax Sched 23'!E10</f>
        <v>237803</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1330034</v>
      </c>
      <c r="D1816" s="2" t="str">
        <f t="shared" si="27"/>
        <v>Error?</v>
      </c>
    </row>
    <row r="1817" spans="1:4" x14ac:dyDescent="0.2">
      <c r="A1817" s="5">
        <v>1756</v>
      </c>
      <c r="B1817" s="1817">
        <f>'Tax Sched 23'!E12</f>
        <v>237803</v>
      </c>
      <c r="D1817" s="2" t="str">
        <f t="shared" si="27"/>
        <v>Error?</v>
      </c>
    </row>
    <row r="1818" spans="1:4" x14ac:dyDescent="0.2">
      <c r="A1818" s="5">
        <v>1757</v>
      </c>
      <c r="B1818" s="1817">
        <f>'Tax Sched 23'!E14</f>
        <v>190243</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17111696</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14202572</v>
      </c>
      <c r="C1939" s="2" t="s">
        <v>569</v>
      </c>
      <c r="D1939" s="2" t="str">
        <f t="shared" si="29"/>
        <v>Error?</v>
      </c>
    </row>
    <row r="1940" spans="1:5" x14ac:dyDescent="0.2">
      <c r="A1940" s="5">
        <v>1879</v>
      </c>
      <c r="B1940" s="1817">
        <f>'Short-Term Long-Term Debt 24'!F49</f>
        <v>3000000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186766</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0</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186766</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186766</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536629</v>
      </c>
      <c r="D2008" s="2" t="str">
        <f t="shared" si="30"/>
        <v>Error?</v>
      </c>
    </row>
    <row r="2009" spans="1:4" x14ac:dyDescent="0.2">
      <c r="A2009" s="5">
        <v>1948</v>
      </c>
      <c r="B2009" s="1817">
        <f>'Cap Outlay Deprec 26'!C8</f>
        <v>55550192</v>
      </c>
      <c r="D2009" s="2" t="str">
        <f t="shared" si="30"/>
        <v>Error?</v>
      </c>
    </row>
    <row r="2010" spans="1:4" x14ac:dyDescent="0.2">
      <c r="A2010" s="5">
        <v>1949</v>
      </c>
      <c r="B2010" s="1817">
        <f>'Cap Outlay Deprec 26'!C10</f>
        <v>3302203</v>
      </c>
      <c r="D2010" s="2" t="str">
        <f t="shared" si="30"/>
        <v>Error?</v>
      </c>
    </row>
    <row r="2011" spans="1:4" x14ac:dyDescent="0.2">
      <c r="A2011" s="5">
        <v>1950</v>
      </c>
      <c r="B2011" s="1817">
        <f>'Cap Outlay Deprec 26'!C12</f>
        <v>5300267</v>
      </c>
      <c r="D2011" s="2" t="str">
        <f t="shared" si="30"/>
        <v>Error?</v>
      </c>
    </row>
    <row r="2012" spans="1:4" x14ac:dyDescent="0.2">
      <c r="A2012" s="5">
        <v>1951</v>
      </c>
      <c r="B2012" s="1817">
        <f>'Cap Outlay Deprec 26'!C13</f>
        <v>1489300</v>
      </c>
      <c r="D2012" s="2" t="str">
        <f t="shared" si="30"/>
        <v>Error?</v>
      </c>
    </row>
    <row r="2013" spans="1:4" x14ac:dyDescent="0.2">
      <c r="A2013" s="5">
        <v>1952</v>
      </c>
      <c r="B2013" s="1817">
        <f>'Cap Outlay Deprec 26'!C16</f>
        <v>66182226</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67835</v>
      </c>
      <c r="D2015" s="2" t="str">
        <f t="shared" si="30"/>
        <v>Error?</v>
      </c>
    </row>
    <row r="2016" spans="1:4" x14ac:dyDescent="0.2">
      <c r="A2016" s="5">
        <v>1955</v>
      </c>
      <c r="B2016" s="1817">
        <f>'Cap Outlay Deprec 26'!D10</f>
        <v>0</v>
      </c>
      <c r="D2016" s="2" t="str">
        <f t="shared" si="30"/>
        <v>Error?</v>
      </c>
    </row>
    <row r="2017" spans="1:4" x14ac:dyDescent="0.2">
      <c r="A2017" s="5">
        <v>1956</v>
      </c>
      <c r="B2017" s="1817">
        <f>'Cap Outlay Deprec 26'!D12</f>
        <v>334282</v>
      </c>
      <c r="D2017" s="2" t="str">
        <f t="shared" si="30"/>
        <v>Error?</v>
      </c>
    </row>
    <row r="2018" spans="1:4" x14ac:dyDescent="0.2">
      <c r="A2018" s="5">
        <v>1957</v>
      </c>
      <c r="B2018" s="1817">
        <f>'Cap Outlay Deprec 26'!D13</f>
        <v>534600</v>
      </c>
      <c r="D2018" s="2" t="str">
        <f t="shared" si="30"/>
        <v>Error?</v>
      </c>
    </row>
    <row r="2019" spans="1:4" x14ac:dyDescent="0.2">
      <c r="A2019" s="5">
        <v>1958</v>
      </c>
      <c r="B2019" s="1817">
        <f>'Cap Outlay Deprec 26'!D16</f>
        <v>995802</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450105</v>
      </c>
      <c r="D2023" s="2" t="str">
        <f t="shared" si="30"/>
        <v>Error?</v>
      </c>
    </row>
    <row r="2024" spans="1:4" x14ac:dyDescent="0.2">
      <c r="A2024" s="5">
        <v>1963</v>
      </c>
      <c r="B2024" s="1817">
        <f>'Cap Outlay Deprec 26'!E13</f>
        <v>166357</v>
      </c>
      <c r="D2024" s="2" t="str">
        <f t="shared" si="30"/>
        <v>Error?</v>
      </c>
    </row>
    <row r="2025" spans="1:4" x14ac:dyDescent="0.2">
      <c r="A2025" s="5">
        <v>1964</v>
      </c>
      <c r="B2025" s="1817">
        <f>'Cap Outlay Deprec 26'!E16</f>
        <v>616462</v>
      </c>
      <c r="C2025" s="2" t="s">
        <v>569</v>
      </c>
      <c r="D2025" s="2" t="str">
        <f t="shared" si="30"/>
        <v>Error?</v>
      </c>
    </row>
    <row r="2026" spans="1:4" x14ac:dyDescent="0.2">
      <c r="A2026" s="5">
        <v>1965</v>
      </c>
      <c r="B2026" s="1817">
        <f>'Cap Outlay Deprec 26'!F5</f>
        <v>536629</v>
      </c>
      <c r="C2026" s="2" t="s">
        <v>569</v>
      </c>
      <c r="D2026" s="2" t="str">
        <f t="shared" si="30"/>
        <v>Error?</v>
      </c>
    </row>
    <row r="2027" spans="1:4" x14ac:dyDescent="0.2">
      <c r="A2027" s="5">
        <v>1966</v>
      </c>
      <c r="B2027" s="1817">
        <f>'Cap Outlay Deprec 26'!F8</f>
        <v>55618027</v>
      </c>
      <c r="C2027" s="2" t="s">
        <v>569</v>
      </c>
      <c r="D2027" s="2" t="str">
        <f t="shared" si="30"/>
        <v>Error?</v>
      </c>
    </row>
    <row r="2028" spans="1:4" x14ac:dyDescent="0.2">
      <c r="A2028" s="5">
        <v>1967</v>
      </c>
      <c r="B2028" s="1817">
        <f>'Cap Outlay Deprec 26'!F10</f>
        <v>3302203</v>
      </c>
      <c r="C2028" s="2" t="s">
        <v>569</v>
      </c>
      <c r="D2028" s="2" t="str">
        <f t="shared" si="30"/>
        <v>Error?</v>
      </c>
    </row>
    <row r="2029" spans="1:4" x14ac:dyDescent="0.2">
      <c r="A2029" s="5">
        <v>1968</v>
      </c>
      <c r="B2029" s="1817">
        <f>'Cap Outlay Deprec 26'!F12</f>
        <v>5184444</v>
      </c>
      <c r="C2029" s="2" t="s">
        <v>569</v>
      </c>
      <c r="D2029" s="2" t="str">
        <f t="shared" si="30"/>
        <v>Error?</v>
      </c>
    </row>
    <row r="2030" spans="1:4" x14ac:dyDescent="0.2">
      <c r="A2030" s="5">
        <v>1969</v>
      </c>
      <c r="B2030" s="1817">
        <f>'Cap Outlay Deprec 26'!F13</f>
        <v>1857543</v>
      </c>
      <c r="C2030" s="2" t="s">
        <v>569</v>
      </c>
      <c r="D2030" s="2" t="str">
        <f t="shared" si="30"/>
        <v>Error?</v>
      </c>
    </row>
    <row r="2031" spans="1:4" x14ac:dyDescent="0.2">
      <c r="A2031" s="5">
        <v>1970</v>
      </c>
      <c r="B2031" s="1817">
        <f>'Cap Outlay Deprec 26'!F16</f>
        <v>66561566</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19026229</v>
      </c>
      <c r="D2033" s="2" t="str">
        <f t="shared" si="30"/>
        <v>Error?</v>
      </c>
    </row>
    <row r="2034" spans="1:4" x14ac:dyDescent="0.2">
      <c r="A2034" s="5">
        <v>1973</v>
      </c>
      <c r="B2034" s="1817">
        <f>'Cap Outlay Deprec 26'!H10</f>
        <v>2097620</v>
      </c>
      <c r="D2034" s="2" t="str">
        <f t="shared" si="30"/>
        <v>Error?</v>
      </c>
    </row>
    <row r="2035" spans="1:4" x14ac:dyDescent="0.2">
      <c r="A2035" s="5">
        <v>1974</v>
      </c>
      <c r="B2035" s="1817">
        <f>'Cap Outlay Deprec 26'!H12</f>
        <v>2853741</v>
      </c>
      <c r="D2035" s="2" t="str">
        <f t="shared" si="30"/>
        <v>Error?</v>
      </c>
    </row>
    <row r="2036" spans="1:4" x14ac:dyDescent="0.2">
      <c r="A2036" s="5">
        <v>1975</v>
      </c>
      <c r="B2036" s="1817">
        <f>'Cap Outlay Deprec 26'!H13</f>
        <v>1019595</v>
      </c>
      <c r="D2036" s="2" t="str">
        <f t="shared" si="30"/>
        <v>Error?</v>
      </c>
    </row>
    <row r="2037" spans="1:4" x14ac:dyDescent="0.2">
      <c r="A2037" s="5">
        <v>1976</v>
      </c>
      <c r="B2037" s="1817">
        <f>'Cap Outlay Deprec 26'!H16</f>
        <v>24997913</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1006491</v>
      </c>
      <c r="D2039" s="2" t="str">
        <f t="shared" si="30"/>
        <v>Error?</v>
      </c>
    </row>
    <row r="2040" spans="1:4" x14ac:dyDescent="0.2">
      <c r="A2040" s="5">
        <v>1979</v>
      </c>
      <c r="B2040" s="1817">
        <f>'Cap Outlay Deprec 26'!I10</f>
        <v>100068</v>
      </c>
      <c r="D2040" s="2" t="str">
        <f t="shared" si="30"/>
        <v>Error?</v>
      </c>
    </row>
    <row r="2041" spans="1:4" x14ac:dyDescent="0.2">
      <c r="A2041" s="5">
        <v>1980</v>
      </c>
      <c r="B2041" s="1817">
        <f>'Cap Outlay Deprec 26'!I12</f>
        <v>518355</v>
      </c>
      <c r="D2041" s="2" t="str">
        <f t="shared" si="30"/>
        <v>Error?</v>
      </c>
    </row>
    <row r="2042" spans="1:4" x14ac:dyDescent="0.2">
      <c r="A2042" s="5">
        <v>1981</v>
      </c>
      <c r="B2042" s="1817">
        <f>'Cap Outlay Deprec 26'!I13</f>
        <v>268519</v>
      </c>
      <c r="D2042" s="2" t="str">
        <f t="shared" si="30"/>
        <v>Error?</v>
      </c>
    </row>
    <row r="2043" spans="1:4" x14ac:dyDescent="0.2">
      <c r="A2043" s="5">
        <v>1982</v>
      </c>
      <c r="B2043" s="1817">
        <f>'Cap Outlay Deprec 26'!I16</f>
        <v>1893615</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450105</v>
      </c>
      <c r="D2047" s="2" t="str">
        <f t="shared" ref="D2047:D2110" si="31">IF(ISBLANK(B2047),"OK",IF(A2047-B2047=0,"OK","Error?"))</f>
        <v>Error?</v>
      </c>
    </row>
    <row r="2048" spans="1:4" x14ac:dyDescent="0.2">
      <c r="A2048" s="5">
        <v>1987</v>
      </c>
      <c r="B2048" s="1817">
        <f>'Cap Outlay Deprec 26'!J13</f>
        <v>166357</v>
      </c>
      <c r="D2048" s="2" t="str">
        <f t="shared" si="31"/>
        <v>Error?</v>
      </c>
    </row>
    <row r="2049" spans="1:4" x14ac:dyDescent="0.2">
      <c r="A2049" s="5">
        <v>1988</v>
      </c>
      <c r="B2049" s="1817">
        <f>'Cap Outlay Deprec 26'!J16</f>
        <v>616462</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20032720</v>
      </c>
      <c r="C2051" s="2" t="s">
        <v>569</v>
      </c>
      <c r="D2051" s="2" t="str">
        <f t="shared" si="31"/>
        <v>Error?</v>
      </c>
    </row>
    <row r="2052" spans="1:4" x14ac:dyDescent="0.2">
      <c r="A2052" s="5">
        <v>1991</v>
      </c>
      <c r="B2052" s="1817">
        <f>'Cap Outlay Deprec 26'!K10</f>
        <v>2197688</v>
      </c>
      <c r="C2052" s="2" t="s">
        <v>569</v>
      </c>
      <c r="D2052" s="2" t="str">
        <f t="shared" si="31"/>
        <v>Error?</v>
      </c>
    </row>
    <row r="2053" spans="1:4" x14ac:dyDescent="0.2">
      <c r="A2053" s="5">
        <v>1992</v>
      </c>
      <c r="B2053" s="1817">
        <f>'Cap Outlay Deprec 26'!K12</f>
        <v>2921991</v>
      </c>
      <c r="C2053" s="2" t="s">
        <v>569</v>
      </c>
      <c r="D2053" s="2" t="str">
        <f t="shared" si="31"/>
        <v>Error?</v>
      </c>
    </row>
    <row r="2054" spans="1:4" x14ac:dyDescent="0.2">
      <c r="A2054" s="5">
        <v>1993</v>
      </c>
      <c r="B2054" s="1817">
        <f>'Cap Outlay Deprec 26'!K13</f>
        <v>1121757</v>
      </c>
      <c r="C2054" s="2" t="s">
        <v>569</v>
      </c>
      <c r="D2054" s="2" t="str">
        <f t="shared" si="31"/>
        <v>Error?</v>
      </c>
    </row>
    <row r="2055" spans="1:4" x14ac:dyDescent="0.2">
      <c r="A2055" s="5">
        <v>1994</v>
      </c>
      <c r="B2055" s="1817">
        <f>'Cap Outlay Deprec 26'!K16</f>
        <v>26275066</v>
      </c>
      <c r="C2055" s="2" t="s">
        <v>569</v>
      </c>
      <c r="D2055" s="2" t="str">
        <f t="shared" si="31"/>
        <v>Error?</v>
      </c>
    </row>
    <row r="2056" spans="1:4" x14ac:dyDescent="0.2">
      <c r="A2056" s="5">
        <v>1995</v>
      </c>
      <c r="B2056" s="1817">
        <f>'Cap Outlay Deprec 26'!L5</f>
        <v>536629</v>
      </c>
      <c r="C2056" s="2" t="s">
        <v>569</v>
      </c>
      <c r="D2056" s="2" t="str">
        <f t="shared" si="31"/>
        <v>Error?</v>
      </c>
    </row>
    <row r="2057" spans="1:4" x14ac:dyDescent="0.2">
      <c r="A2057" s="5">
        <v>1996</v>
      </c>
      <c r="B2057" s="1817">
        <f>'Cap Outlay Deprec 26'!L8</f>
        <v>35585307</v>
      </c>
      <c r="C2057" s="2" t="s">
        <v>569</v>
      </c>
      <c r="D2057" s="2" t="str">
        <f t="shared" si="31"/>
        <v>Error?</v>
      </c>
    </row>
    <row r="2058" spans="1:4" x14ac:dyDescent="0.2">
      <c r="A2058" s="5">
        <v>1997</v>
      </c>
      <c r="B2058" s="1817">
        <f>'Cap Outlay Deprec 26'!L10</f>
        <v>1104515</v>
      </c>
      <c r="C2058" s="2" t="s">
        <v>569</v>
      </c>
      <c r="D2058" s="2" t="str">
        <f t="shared" si="31"/>
        <v>Error?</v>
      </c>
    </row>
    <row r="2059" spans="1:4" x14ac:dyDescent="0.2">
      <c r="A2059" s="5">
        <v>1998</v>
      </c>
      <c r="B2059" s="1817">
        <f>'Cap Outlay Deprec 26'!L12</f>
        <v>2262453</v>
      </c>
      <c r="C2059" s="2" t="s">
        <v>569</v>
      </c>
      <c r="D2059" s="2" t="str">
        <f t="shared" si="31"/>
        <v>Error?</v>
      </c>
    </row>
    <row r="2060" spans="1:4" x14ac:dyDescent="0.2">
      <c r="A2060" s="5">
        <v>1999</v>
      </c>
      <c r="B2060" s="1817">
        <f>'Cap Outlay Deprec 26'!L13</f>
        <v>735786</v>
      </c>
      <c r="C2060" s="2" t="s">
        <v>569</v>
      </c>
      <c r="D2060" s="2" t="str">
        <f t="shared" si="31"/>
        <v>Error?</v>
      </c>
    </row>
    <row r="2061" spans="1:4" x14ac:dyDescent="0.2">
      <c r="A2061" s="5">
        <v>2000</v>
      </c>
      <c r="B2061" s="1817">
        <f>'Cap Outlay Deprec 26'!L16</f>
        <v>40286500</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5377</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552629</v>
      </c>
      <c r="C2088" s="2" t="s">
        <v>569</v>
      </c>
      <c r="D2088" s="2" t="str">
        <f t="shared" si="31"/>
        <v>Error?</v>
      </c>
    </row>
    <row r="2089" spans="1:4" x14ac:dyDescent="0.2">
      <c r="A2089" s="5">
        <v>2028</v>
      </c>
      <c r="B2089" s="1817">
        <f>'Expenditures 15-22'!K92</f>
        <v>111780</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1000000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0</v>
      </c>
      <c r="D2435" s="2" t="str">
        <f t="shared" si="37"/>
        <v>Error?</v>
      </c>
    </row>
    <row r="2436" spans="1:4" x14ac:dyDescent="0.2">
      <c r="A2436" s="10">
        <v>2375</v>
      </c>
      <c r="B2436" s="1817"/>
      <c r="D2436" s="2" t="str">
        <f t="shared" si="37"/>
        <v>OK</v>
      </c>
    </row>
    <row r="2437" spans="1:4" x14ac:dyDescent="0.2">
      <c r="A2437" s="5">
        <v>2376</v>
      </c>
      <c r="B2437" s="1817">
        <f>'Assets-Liab 5-6'!D38</f>
        <v>0</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0</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908</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10875545</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2955876</v>
      </c>
      <c r="C2553" s="2" t="s">
        <v>569</v>
      </c>
      <c r="D2553" s="2" t="str">
        <f t="shared" si="38"/>
        <v>Error?</v>
      </c>
    </row>
    <row r="2554" spans="1:4" x14ac:dyDescent="0.2">
      <c r="A2554" s="5">
        <v>2493</v>
      </c>
      <c r="B2554" s="1817">
        <f>'Acct Summary 7-8'!C7</f>
        <v>1804659</v>
      </c>
      <c r="C2554" s="2" t="s">
        <v>569</v>
      </c>
      <c r="D2554" s="2" t="str">
        <f t="shared" si="38"/>
        <v>Error?</v>
      </c>
    </row>
    <row r="2555" spans="1:4" x14ac:dyDescent="0.2">
      <c r="A2555" s="5">
        <v>2494</v>
      </c>
      <c r="B2555" s="1817">
        <f>'Acct Summary 7-8'!C8</f>
        <v>15636080</v>
      </c>
      <c r="C2555" s="2" t="s">
        <v>569</v>
      </c>
      <c r="D2555" s="2" t="str">
        <f t="shared" si="38"/>
        <v>Error?</v>
      </c>
    </row>
    <row r="2556" spans="1:4" x14ac:dyDescent="0.2">
      <c r="A2556" s="5">
        <v>2495</v>
      </c>
      <c r="B2556" s="1817">
        <f>'Acct Summary 7-8'!C12</f>
        <v>11961063</v>
      </c>
      <c r="C2556" s="2" t="s">
        <v>569</v>
      </c>
      <c r="D2556" s="2" t="str">
        <f t="shared" si="38"/>
        <v>Error?</v>
      </c>
    </row>
    <row r="2557" spans="1:4" x14ac:dyDescent="0.2">
      <c r="A2557" s="5">
        <v>2496</v>
      </c>
      <c r="B2557" s="1817">
        <f>'Acct Summary 7-8'!C13</f>
        <v>3287643</v>
      </c>
      <c r="C2557" s="2" t="s">
        <v>569</v>
      </c>
      <c r="D2557" s="2" t="str">
        <f t="shared" si="38"/>
        <v>Error?</v>
      </c>
    </row>
    <row r="2558" spans="1:4" x14ac:dyDescent="0.2">
      <c r="A2558" s="5">
        <v>2497</v>
      </c>
      <c r="B2558" s="1817">
        <f>'Acct Summary 7-8'!C14</f>
        <v>1015</v>
      </c>
      <c r="C2558" s="2" t="s">
        <v>569</v>
      </c>
      <c r="D2558" s="2" t="str">
        <f t="shared" si="38"/>
        <v>Error?</v>
      </c>
    </row>
    <row r="2559" spans="1:4" x14ac:dyDescent="0.2">
      <c r="A2559" s="5">
        <v>2498</v>
      </c>
      <c r="B2559" s="1817">
        <f>'Acct Summary 7-8'!C15</f>
        <v>664409</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15914130</v>
      </c>
      <c r="C2561" s="2" t="s">
        <v>569</v>
      </c>
      <c r="D2561" s="2" t="str">
        <f t="shared" si="39"/>
        <v>Error?</v>
      </c>
    </row>
    <row r="2562" spans="1:4" x14ac:dyDescent="0.2">
      <c r="A2562" s="5">
        <v>2501</v>
      </c>
      <c r="B2562" s="1817">
        <f>'Acct Summary 7-8'!C20</f>
        <v>-278050</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2402617</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2402617</v>
      </c>
      <c r="C2568" s="2" t="s">
        <v>569</v>
      </c>
      <c r="D2568" s="2" t="str">
        <f t="shared" si="39"/>
        <v>Error?</v>
      </c>
    </row>
    <row r="2569" spans="1:4" x14ac:dyDescent="0.2">
      <c r="A2569" s="5">
        <v>2508</v>
      </c>
      <c r="B2569" s="1817">
        <f>'Acct Summary 7-8'!D13</f>
        <v>1527630</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1527630</v>
      </c>
      <c r="C2573" s="2" t="s">
        <v>569</v>
      </c>
      <c r="D2573" s="2" t="str">
        <f t="shared" si="39"/>
        <v>Error?</v>
      </c>
    </row>
    <row r="2574" spans="1:4" x14ac:dyDescent="0.2">
      <c r="A2574" s="5">
        <v>2513</v>
      </c>
      <c r="B2574" s="1817">
        <f>'Acct Summary 7-8'!D20</f>
        <v>874987</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977159</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612185</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1589344</v>
      </c>
      <c r="C2595" s="2" t="s">
        <v>569</v>
      </c>
      <c r="D2595" s="2" t="str">
        <f t="shared" si="39"/>
        <v>Error?</v>
      </c>
    </row>
    <row r="2596" spans="1:4" x14ac:dyDescent="0.2">
      <c r="A2596" s="5">
        <v>2535</v>
      </c>
      <c r="B2596" s="1817">
        <f>'Acct Summary 7-8'!F13</f>
        <v>1410706</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9588</v>
      </c>
      <c r="C2599" s="2" t="s">
        <v>569</v>
      </c>
      <c r="D2599" s="2" t="str">
        <f t="shared" si="39"/>
        <v>Error?</v>
      </c>
    </row>
    <row r="2600" spans="1:4" x14ac:dyDescent="0.2">
      <c r="A2600" s="5">
        <v>2539</v>
      </c>
      <c r="B2600" s="1817">
        <f>'Acct Summary 7-8'!F17</f>
        <v>1420294</v>
      </c>
      <c r="C2600" s="2" t="s">
        <v>569</v>
      </c>
      <c r="D2600" s="2" t="str">
        <f t="shared" si="39"/>
        <v>Error?</v>
      </c>
    </row>
    <row r="2601" spans="1:4" x14ac:dyDescent="0.2">
      <c r="A2601" s="5">
        <v>2540</v>
      </c>
      <c r="B2601" s="1817">
        <f>'Acct Summary 7-8'!F20</f>
        <v>169050</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677369</v>
      </c>
      <c r="C2603" s="2" t="s">
        <v>569</v>
      </c>
      <c r="D2603" s="2" t="str">
        <f t="shared" si="39"/>
        <v>Error?</v>
      </c>
    </row>
    <row r="2604" spans="1:4" x14ac:dyDescent="0.2">
      <c r="A2604" s="5">
        <v>2543</v>
      </c>
      <c r="B2604" s="1817">
        <f>'Acct Summary 7-8'!G6</f>
        <v>0</v>
      </c>
      <c r="C2604" s="2" t="s">
        <v>569</v>
      </c>
      <c r="D2604" s="2" t="str">
        <f t="shared" si="39"/>
        <v>Error?</v>
      </c>
    </row>
    <row r="2605" spans="1:4" x14ac:dyDescent="0.2">
      <c r="A2605" s="5">
        <v>2544</v>
      </c>
      <c r="B2605" s="1817">
        <f>'Acct Summary 7-8'!G7</f>
        <v>0</v>
      </c>
      <c r="C2605" s="2" t="s">
        <v>569</v>
      </c>
      <c r="D2605" s="2" t="str">
        <f t="shared" si="39"/>
        <v>Error?</v>
      </c>
    </row>
    <row r="2606" spans="1:4" x14ac:dyDescent="0.2">
      <c r="A2606" s="5">
        <v>2545</v>
      </c>
      <c r="B2606" s="1817">
        <f>'Acct Summary 7-8'!G8</f>
        <v>677369</v>
      </c>
      <c r="C2606" s="2" t="s">
        <v>569</v>
      </c>
      <c r="D2606" s="2" t="str">
        <f t="shared" si="39"/>
        <v>Error?</v>
      </c>
    </row>
    <row r="2607" spans="1:4" x14ac:dyDescent="0.2">
      <c r="A2607" s="5">
        <v>2546</v>
      </c>
      <c r="B2607" s="1817">
        <f>'Acct Summary 7-8'!G12</f>
        <v>261824</v>
      </c>
      <c r="C2607" s="2" t="s">
        <v>569</v>
      </c>
      <c r="D2607" s="2" t="str">
        <f t="shared" si="39"/>
        <v>Error?</v>
      </c>
    </row>
    <row r="2608" spans="1:4" x14ac:dyDescent="0.2">
      <c r="A2608" s="5">
        <v>2547</v>
      </c>
      <c r="B2608" s="1817">
        <f>'Acct Summary 7-8'!G13</f>
        <v>325127</v>
      </c>
      <c r="C2608" s="2" t="s">
        <v>569</v>
      </c>
      <c r="D2608" s="2" t="str">
        <f t="shared" si="39"/>
        <v>Error?</v>
      </c>
    </row>
    <row r="2609" spans="1:4" x14ac:dyDescent="0.2">
      <c r="A2609" s="5">
        <v>2548</v>
      </c>
      <c r="B2609" s="1817">
        <f>'Acct Summary 7-8'!G14</f>
        <v>0</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586951</v>
      </c>
      <c r="C2612" s="2" t="s">
        <v>569</v>
      </c>
      <c r="D2612" s="2" t="str">
        <f t="shared" si="39"/>
        <v>Error?</v>
      </c>
    </row>
    <row r="2613" spans="1:4" x14ac:dyDescent="0.2">
      <c r="A2613" s="5">
        <v>2552</v>
      </c>
      <c r="B2613" s="1817">
        <f>'Acct Summary 7-8'!G20</f>
        <v>90418</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2174243</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2174243</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2350216</v>
      </c>
      <c r="C2634" s="2" t="s">
        <v>569</v>
      </c>
      <c r="D2634" s="2" t="str">
        <f t="shared" si="40"/>
        <v>Error?</v>
      </c>
    </row>
    <row r="2635" spans="1:4" x14ac:dyDescent="0.2">
      <c r="A2635" s="5">
        <v>2574</v>
      </c>
      <c r="B2635" s="1817">
        <f>'Acct Summary 7-8'!E17</f>
        <v>2350216</v>
      </c>
      <c r="C2635" s="2" t="s">
        <v>569</v>
      </c>
      <c r="D2635" s="2" t="str">
        <f t="shared" si="40"/>
        <v>Error?</v>
      </c>
    </row>
    <row r="2636" spans="1:4" x14ac:dyDescent="0.2">
      <c r="A2636" s="5">
        <v>2575</v>
      </c>
      <c r="B2636" s="1817">
        <f>'Acct Summary 7-8'!E20</f>
        <v>-175973</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0</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0</v>
      </c>
      <c r="C2658" s="2" t="s">
        <v>569</v>
      </c>
      <c r="D2658" s="2" t="str">
        <f t="shared" si="40"/>
        <v>Error?</v>
      </c>
    </row>
    <row r="2659" spans="1:4" x14ac:dyDescent="0.2">
      <c r="A2659" s="5">
        <v>2598</v>
      </c>
      <c r="B2659" s="1817">
        <f>'Acct Summary 7-8'!H13</f>
        <v>0</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0</v>
      </c>
      <c r="C2661" s="2" t="s">
        <v>569</v>
      </c>
      <c r="D2661" s="2" t="str">
        <f t="shared" si="40"/>
        <v>Error?</v>
      </c>
    </row>
    <row r="2662" spans="1:4" x14ac:dyDescent="0.2">
      <c r="A2662" s="5">
        <v>2601</v>
      </c>
      <c r="B2662" s="1817">
        <f>'Acct Summary 7-8'!H20</f>
        <v>0</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5521</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5521</v>
      </c>
      <c r="C2724" s="2" t="s">
        <v>569</v>
      </c>
      <c r="D2724" s="2" t="str">
        <f t="shared" si="41"/>
        <v>Error?</v>
      </c>
    </row>
    <row r="2725" spans="1:4" x14ac:dyDescent="0.2">
      <c r="A2725" s="5">
        <v>2664</v>
      </c>
      <c r="B2725" s="1817">
        <f>'Expenditures 15-22'!D247</f>
        <v>80</v>
      </c>
      <c r="D2725" s="2" t="str">
        <f t="shared" si="41"/>
        <v>Error?</v>
      </c>
    </row>
    <row r="2726" spans="1:4" x14ac:dyDescent="0.2">
      <c r="A2726" s="5">
        <v>2665</v>
      </c>
      <c r="B2726" s="1817">
        <f>'Expenditures 15-22'!K247</f>
        <v>80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547252</v>
      </c>
      <c r="C2789" s="2" t="s">
        <v>569</v>
      </c>
      <c r="D2789" s="2" t="str">
        <f t="shared" si="42"/>
        <v>Error?</v>
      </c>
    </row>
    <row r="2790" spans="1:4" x14ac:dyDescent="0.2">
      <c r="A2790" s="5">
        <v>2729</v>
      </c>
      <c r="B2790" s="1817">
        <f>'Expenditures 15-22'!E102</f>
        <v>547252</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59085</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4209372</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4273264</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60734</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360827</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4273264</v>
      </c>
      <c r="D2912" s="2" t="str">
        <f t="shared" si="44"/>
        <v>Error?</v>
      </c>
    </row>
    <row r="2913" spans="1:4" x14ac:dyDescent="0.2">
      <c r="A2913" s="5">
        <v>2852</v>
      </c>
      <c r="B2913" s="1817">
        <f>'Assets-Liab 5-6'!I41</f>
        <v>4273264</v>
      </c>
      <c r="C2913" s="2" t="s">
        <v>569</v>
      </c>
      <c r="D2913" s="2" t="str">
        <f t="shared" si="44"/>
        <v>Error?</v>
      </c>
    </row>
    <row r="2914" spans="1:4" x14ac:dyDescent="0.2">
      <c r="A2914" s="5">
        <v>2853</v>
      </c>
      <c r="B2914" s="1817">
        <f>'Assets-Liab 5-6'!L33</f>
        <v>360827</v>
      </c>
      <c r="D2914" s="2" t="str">
        <f t="shared" si="44"/>
        <v>Error?</v>
      </c>
    </row>
    <row r="2915" spans="1:4" x14ac:dyDescent="0.2">
      <c r="A2915" s="10">
        <v>2854</v>
      </c>
      <c r="B2915" s="1817"/>
      <c r="D2915" s="2" t="str">
        <f t="shared" si="44"/>
        <v>OK</v>
      </c>
    </row>
    <row r="2916" spans="1:4" x14ac:dyDescent="0.2">
      <c r="A2916" s="5">
        <v>2855</v>
      </c>
      <c r="B2916" s="1817">
        <f>'Assets-Liab 5-6'!L34</f>
        <v>360827</v>
      </c>
      <c r="C2916" s="2" t="s">
        <v>569</v>
      </c>
      <c r="D2916" s="2" t="str">
        <f t="shared" si="44"/>
        <v>Error?</v>
      </c>
    </row>
    <row r="2917" spans="1:4" x14ac:dyDescent="0.2">
      <c r="A2917" s="5">
        <v>2856</v>
      </c>
      <c r="B2917" s="1817">
        <f>'Assets-Liab 5-6'!L41</f>
        <v>360827</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547252</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5377</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569</v>
      </c>
      <c r="D2973" s="2" t="str">
        <f t="shared" si="45"/>
        <v>Error?</v>
      </c>
    </row>
    <row r="2974" spans="1:4" x14ac:dyDescent="0.2">
      <c r="A2974" s="5">
        <v>2913</v>
      </c>
      <c r="B2974" s="1817">
        <f>'Expenditures 15-22'!K79</f>
        <v>547252</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0</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5377</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451055</v>
      </c>
      <c r="D3055" s="2" t="str">
        <f t="shared" si="46"/>
        <v>Error?</v>
      </c>
    </row>
    <row r="3056" spans="1:4" x14ac:dyDescent="0.2">
      <c r="A3056" s="5">
        <v>2995</v>
      </c>
      <c r="B3056" s="1817">
        <f>'Expenditures 15-22'!D10</f>
        <v>124053</v>
      </c>
      <c r="D3056" s="2" t="str">
        <f t="shared" si="46"/>
        <v>Error?</v>
      </c>
    </row>
    <row r="3057" spans="1:4" x14ac:dyDescent="0.2">
      <c r="A3057" s="5">
        <v>2996</v>
      </c>
      <c r="B3057" s="1817">
        <f>'Expenditures 15-22'!E10</f>
        <v>0</v>
      </c>
      <c r="D3057" s="2" t="str">
        <f t="shared" si="46"/>
        <v>Error?</v>
      </c>
    </row>
    <row r="3058" spans="1:4" x14ac:dyDescent="0.2">
      <c r="A3058" s="5">
        <v>2997</v>
      </c>
      <c r="B3058" s="1817">
        <f>'Expenditures 15-22'!F10</f>
        <v>588</v>
      </c>
      <c r="D3058" s="2" t="str">
        <f t="shared" si="46"/>
        <v>Error?</v>
      </c>
    </row>
    <row r="3059" spans="1:4" x14ac:dyDescent="0.2">
      <c r="A3059" s="5">
        <v>2998</v>
      </c>
      <c r="B3059" s="1817">
        <f>'Expenditures 15-22'!G10</f>
        <v>0</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575696</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12217</v>
      </c>
      <c r="D3064" s="2" t="str">
        <f t="shared" si="46"/>
        <v>Error?</v>
      </c>
    </row>
    <row r="3065" spans="1:4" x14ac:dyDescent="0.2">
      <c r="A3065" s="5">
        <v>3004</v>
      </c>
      <c r="B3065" s="1817">
        <f>'Expenditures 15-22'!K219</f>
        <v>12217</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283326</v>
      </c>
      <c r="C3225" s="2" t="s">
        <v>569</v>
      </c>
      <c r="D3225" s="2" t="str">
        <f t="shared" si="49"/>
        <v>Error?</v>
      </c>
    </row>
    <row r="3226" spans="1:4" x14ac:dyDescent="0.2">
      <c r="A3226" s="5">
        <v>3165</v>
      </c>
      <c r="B3226" s="1817">
        <f>'Acct Summary 7-8'!I8</f>
        <v>283326</v>
      </c>
      <c r="C3226" s="2" t="s">
        <v>569</v>
      </c>
      <c r="D3226" s="2" t="str">
        <f t="shared" si="49"/>
        <v>Error?</v>
      </c>
    </row>
    <row r="3227" spans="1:4" x14ac:dyDescent="0.2">
      <c r="A3227" s="5">
        <v>3166</v>
      </c>
      <c r="B3227" s="1817">
        <f>'Acct Summary 7-8'!I20</f>
        <v>283326</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1000000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174918</v>
      </c>
      <c r="C3231" s="2" t="s">
        <v>569</v>
      </c>
      <c r="D3231" s="2" t="str">
        <f t="shared" si="49"/>
        <v>Error?</v>
      </c>
    </row>
    <row r="3232" spans="1:4" x14ac:dyDescent="0.2">
      <c r="A3232" s="5">
        <v>3171</v>
      </c>
      <c r="B3232" s="1817">
        <f>'Acct Summary 7-8'!C77</f>
        <v>825082</v>
      </c>
      <c r="C3232" s="2" t="s">
        <v>569</v>
      </c>
      <c r="D3232" s="2" t="str">
        <f t="shared" si="49"/>
        <v>Error?</v>
      </c>
    </row>
    <row r="3233" spans="1:4" x14ac:dyDescent="0.2">
      <c r="A3233" s="5">
        <v>3172</v>
      </c>
      <c r="B3233" s="1817">
        <f>'Acct Summary 7-8'!C78</f>
        <v>547032</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874987</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169050</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90418</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174918</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174918</v>
      </c>
      <c r="C3277" s="2" t="s">
        <v>569</v>
      </c>
      <c r="D3277" s="2" t="str">
        <f t="shared" si="50"/>
        <v>Error?</v>
      </c>
    </row>
    <row r="3278" spans="1:4" x14ac:dyDescent="0.2">
      <c r="A3278" s="5">
        <v>3217</v>
      </c>
      <c r="B3278" s="1817">
        <f>'Acct Summary 7-8'!E78</f>
        <v>-1055</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0</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3025573</v>
      </c>
      <c r="C3317" s="2" t="s">
        <v>569</v>
      </c>
      <c r="D3317" s="2" t="str">
        <f t="shared" si="50"/>
        <v>Error?</v>
      </c>
    </row>
    <row r="3318" spans="1:4" x14ac:dyDescent="0.2">
      <c r="A3318" s="5">
        <v>3257</v>
      </c>
      <c r="B3318" s="1817">
        <f>'Acct Summary 7-8'!I76</f>
        <v>1025425</v>
      </c>
      <c r="C3318" s="2" t="s">
        <v>569</v>
      </c>
      <c r="D3318" s="2" t="str">
        <f t="shared" si="50"/>
        <v>Error?</v>
      </c>
    </row>
    <row r="3319" spans="1:4" x14ac:dyDescent="0.2">
      <c r="A3319" s="5">
        <v>3258</v>
      </c>
      <c r="B3319" s="1817">
        <f>'Acct Summary 7-8'!I77</f>
        <v>2000148</v>
      </c>
      <c r="C3319" s="2" t="s">
        <v>569</v>
      </c>
      <c r="D3319" s="2" t="str">
        <f t="shared" si="50"/>
        <v>Error?</v>
      </c>
    </row>
    <row r="3320" spans="1:4" x14ac:dyDescent="0.2">
      <c r="A3320" s="5">
        <v>3259</v>
      </c>
      <c r="B3320" s="1817">
        <f>'Acct Summary 7-8'!I78</f>
        <v>2283474</v>
      </c>
      <c r="C3320" s="2" t="s">
        <v>569</v>
      </c>
      <c r="D3320" s="2" t="str">
        <f t="shared" si="50"/>
        <v>Error?</v>
      </c>
    </row>
    <row r="3321" spans="1:4" x14ac:dyDescent="0.2">
      <c r="A3321" s="5">
        <v>3260</v>
      </c>
      <c r="B3321" s="1817">
        <f>'Acct Summary 7-8'!I79</f>
        <v>1989790</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4273264</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2178400</v>
      </c>
      <c r="D3366" s="2" t="str">
        <f t="shared" si="51"/>
        <v>Error?</v>
      </c>
    </row>
    <row r="3367" spans="1:4" x14ac:dyDescent="0.2">
      <c r="A3367" s="5">
        <v>3306</v>
      </c>
      <c r="B3367" s="1817">
        <f>'Expenditures 15-22'!C19</f>
        <v>115648</v>
      </c>
      <c r="D3367" s="2" t="str">
        <f t="shared" si="51"/>
        <v>Error?</v>
      </c>
    </row>
    <row r="3368" spans="1:4" x14ac:dyDescent="0.2">
      <c r="A3368" s="5">
        <v>3307</v>
      </c>
      <c r="B3368" s="1817">
        <f>'Expenditures 15-22'!D8</f>
        <v>521030</v>
      </c>
      <c r="D3368" s="2" t="str">
        <f t="shared" si="51"/>
        <v>Error?</v>
      </c>
    </row>
    <row r="3369" spans="1:4" x14ac:dyDescent="0.2">
      <c r="A3369" s="5">
        <v>3308</v>
      </c>
      <c r="B3369" s="1817">
        <f>'Expenditures 15-22'!D19</f>
        <v>17467</v>
      </c>
      <c r="D3369" s="2" t="str">
        <f t="shared" si="51"/>
        <v>Error?</v>
      </c>
    </row>
    <row r="3370" spans="1:4" x14ac:dyDescent="0.2">
      <c r="A3370" s="5">
        <v>3309</v>
      </c>
      <c r="B3370" s="1817">
        <f>'Expenditures 15-22'!E8</f>
        <v>0</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21246</v>
      </c>
      <c r="D3372" s="2" t="str">
        <f t="shared" si="51"/>
        <v>Error?</v>
      </c>
    </row>
    <row r="3373" spans="1:4" x14ac:dyDescent="0.2">
      <c r="A3373" s="5">
        <v>3312</v>
      </c>
      <c r="B3373" s="1817">
        <f>'Expenditures 15-22'!F19</f>
        <v>162</v>
      </c>
      <c r="D3373" s="2" t="str">
        <f t="shared" si="51"/>
        <v>Error?</v>
      </c>
    </row>
    <row r="3374" spans="1:4" x14ac:dyDescent="0.2">
      <c r="A3374" s="5">
        <v>3313</v>
      </c>
      <c r="B3374" s="1817">
        <f>'Expenditures 15-22'!G8</f>
        <v>795</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2721471</v>
      </c>
      <c r="C3380" s="2" t="s">
        <v>569</v>
      </c>
      <c r="D3380" s="2" t="str">
        <f t="shared" si="51"/>
        <v>Error?</v>
      </c>
    </row>
    <row r="3381" spans="1:4" x14ac:dyDescent="0.2">
      <c r="A3381" s="5">
        <v>3320</v>
      </c>
      <c r="B3381" s="1817">
        <f>'Expenditures 15-22'!K19</f>
        <v>133277</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92193</v>
      </c>
      <c r="D3387" s="2" t="str">
        <f t="shared" si="51"/>
        <v>Error?</v>
      </c>
    </row>
    <row r="3388" spans="1:4" x14ac:dyDescent="0.2">
      <c r="A3388" s="5">
        <v>3327</v>
      </c>
      <c r="B3388" s="1817">
        <f>'Expenditures 15-22'!D217</f>
        <v>121371</v>
      </c>
      <c r="D3388" s="2" t="str">
        <f t="shared" si="51"/>
        <v>Error?</v>
      </c>
    </row>
    <row r="3389" spans="1:4" x14ac:dyDescent="0.2">
      <c r="A3389" s="5">
        <v>3328</v>
      </c>
      <c r="B3389" s="1817">
        <f>'Expenditures 15-22'!D228</f>
        <v>1594</v>
      </c>
      <c r="D3389" s="2" t="str">
        <f t="shared" si="51"/>
        <v>Error?</v>
      </c>
    </row>
    <row r="3390" spans="1:4" x14ac:dyDescent="0.2">
      <c r="A3390" s="5">
        <v>3329</v>
      </c>
      <c r="B3390" s="1817">
        <f>'Expenditures 15-22'!K215</f>
        <v>92193</v>
      </c>
      <c r="C3390" s="2" t="s">
        <v>569</v>
      </c>
      <c r="D3390" s="2" t="str">
        <f t="shared" si="51"/>
        <v>Error?</v>
      </c>
    </row>
    <row r="3391" spans="1:4" x14ac:dyDescent="0.2">
      <c r="A3391" s="5">
        <v>3330</v>
      </c>
      <c r="B3391" s="1817">
        <f>'Expenditures 15-22'!K217</f>
        <v>121371</v>
      </c>
      <c r="C3391" s="2" t="s">
        <v>569</v>
      </c>
      <c r="D3391" s="2" t="str">
        <f t="shared" ref="D3391:D3454" si="52">IF(ISBLANK(B3391),"OK",IF(A3391-B3391=0,"OK","Error?"))</f>
        <v>Error?</v>
      </c>
    </row>
    <row r="3392" spans="1:4" x14ac:dyDescent="0.2">
      <c r="A3392" s="5">
        <v>3331</v>
      </c>
      <c r="B3392" s="1817">
        <f>'Expenditures 15-22'!K228</f>
        <v>1594</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742065</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1208763</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21809</v>
      </c>
      <c r="D3417" s="2" t="str">
        <f t="shared" si="52"/>
        <v>Error?</v>
      </c>
    </row>
    <row r="3418" spans="1:4" x14ac:dyDescent="0.2">
      <c r="A3418" s="10">
        <v>3357</v>
      </c>
      <c r="B3418" s="1817"/>
      <c r="D3418" s="2" t="str">
        <f t="shared" si="52"/>
        <v>OK</v>
      </c>
    </row>
    <row r="3419" spans="1:4" x14ac:dyDescent="0.2">
      <c r="A3419" s="5">
        <v>3358</v>
      </c>
      <c r="B3419" s="1817">
        <f>'Assets-Liab 5-6'!F4</f>
        <v>898889</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279035</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908</v>
      </c>
      <c r="D3425" s="2" t="str">
        <f t="shared" si="52"/>
        <v>Error?</v>
      </c>
    </row>
    <row r="3426" spans="1:4" x14ac:dyDescent="0.2">
      <c r="A3426" s="10">
        <v>3365</v>
      </c>
      <c r="B3426" s="1817"/>
      <c r="D3426" s="2" t="str">
        <f t="shared" si="52"/>
        <v>OK</v>
      </c>
    </row>
    <row r="3427" spans="1:4" x14ac:dyDescent="0.2">
      <c r="A3427" s="5">
        <v>3366</v>
      </c>
      <c r="B3427" s="1817">
        <f>'Assets-Liab 5-6'!I4</f>
        <v>63892</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300093</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282091</v>
      </c>
      <c r="C3446" s="2" t="s">
        <v>569</v>
      </c>
      <c r="D3446" s="2" t="str">
        <f t="shared" si="52"/>
        <v>Error?</v>
      </c>
    </row>
    <row r="3447" spans="1:4" x14ac:dyDescent="0.2">
      <c r="A3447" s="5">
        <v>3386</v>
      </c>
      <c r="B3447" s="1817">
        <f>'Tax Sched 23'!D16</f>
        <v>282091</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297016</v>
      </c>
      <c r="C3449" s="2" t="s">
        <v>569</v>
      </c>
      <c r="D3449" s="2" t="str">
        <f t="shared" si="52"/>
        <v>Error?</v>
      </c>
    </row>
    <row r="3450" spans="1:4" x14ac:dyDescent="0.2">
      <c r="A3450" s="5">
        <v>3389</v>
      </c>
      <c r="B3450" s="1817">
        <f>'Tax Sched 23'!E16</f>
        <v>297016</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59085</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59085</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59085</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1431456</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35074</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1466530</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4415</v>
      </c>
      <c r="D3566" s="2" t="str">
        <f t="shared" si="54"/>
        <v>Error?</v>
      </c>
    </row>
    <row r="3567" spans="1:4" x14ac:dyDescent="0.2">
      <c r="A3567" s="5">
        <v>3506</v>
      </c>
      <c r="B3567" s="1817">
        <f>'Assets-Liab 5-6'!K39</f>
        <v>1462115</v>
      </c>
      <c r="D3567" s="2" t="str">
        <f t="shared" si="54"/>
        <v>Error?</v>
      </c>
    </row>
    <row r="3568" spans="1:4" x14ac:dyDescent="0.2">
      <c r="A3568" s="5">
        <v>3507</v>
      </c>
      <c r="B3568" s="1817">
        <f>'Assets-Liab 5-6'!K41</f>
        <v>1466530</v>
      </c>
      <c r="C3568" s="2" t="s">
        <v>569</v>
      </c>
      <c r="D3568" s="2" t="str">
        <f t="shared" si="54"/>
        <v>Error?</v>
      </c>
    </row>
    <row r="3569" spans="1:4" x14ac:dyDescent="0.2">
      <c r="A3569" s="5">
        <v>3508</v>
      </c>
      <c r="B3569" s="1817">
        <f>'Acct Summary 7-8'!K4</f>
        <v>235474</v>
      </c>
      <c r="C3569" s="2" t="s">
        <v>569</v>
      </c>
      <c r="D3569" s="2" t="str">
        <f t="shared" si="54"/>
        <v>Error?</v>
      </c>
    </row>
    <row r="3570" spans="1:4" x14ac:dyDescent="0.2">
      <c r="A3570" s="5">
        <v>3509</v>
      </c>
      <c r="B3570" s="1817">
        <f>'Acct Summary 7-8'!K6</f>
        <v>50000</v>
      </c>
      <c r="C3570" s="2" t="s">
        <v>569</v>
      </c>
      <c r="D3570" s="2" t="str">
        <f t="shared" si="54"/>
        <v>Error?</v>
      </c>
    </row>
    <row r="3571" spans="1:4" x14ac:dyDescent="0.2">
      <c r="A3571" s="5">
        <v>3510</v>
      </c>
      <c r="B3571" s="1817">
        <f>'Acct Summary 7-8'!K8</f>
        <v>285474</v>
      </c>
      <c r="C3571" s="2" t="s">
        <v>569</v>
      </c>
      <c r="D3571" s="2" t="str">
        <f t="shared" si="54"/>
        <v>Error?</v>
      </c>
    </row>
    <row r="3572" spans="1:4" x14ac:dyDescent="0.2">
      <c r="A3572" s="5">
        <v>3511</v>
      </c>
      <c r="B3572" s="1817">
        <f>'Acct Summary 7-8'!K13</f>
        <v>152883</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152883</v>
      </c>
      <c r="C3575" s="2" t="s">
        <v>569</v>
      </c>
      <c r="D3575" s="2" t="str">
        <f t="shared" si="54"/>
        <v>Error?</v>
      </c>
    </row>
    <row r="3576" spans="1:4" x14ac:dyDescent="0.2">
      <c r="A3576" s="5">
        <v>3515</v>
      </c>
      <c r="B3576" s="1817">
        <f>'Acct Summary 7-8'!K20</f>
        <v>132591</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132591</v>
      </c>
      <c r="C3588" s="2" t="s">
        <v>569</v>
      </c>
      <c r="D3588" s="2" t="str">
        <f t="shared" si="55"/>
        <v>Error?</v>
      </c>
    </row>
    <row r="3589" spans="1:4" x14ac:dyDescent="0.2">
      <c r="A3589" s="5">
        <v>3528</v>
      </c>
      <c r="B3589" s="1817">
        <f>'Acct Summary 7-8'!K79</f>
        <v>1333939</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1466530</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33658</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33658</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33658</v>
      </c>
      <c r="C3635" s="2" t="s">
        <v>569</v>
      </c>
      <c r="D3635" s="2" t="str">
        <f t="shared" si="55"/>
        <v>Error?</v>
      </c>
    </row>
    <row r="3636" spans="1:4" x14ac:dyDescent="0.2">
      <c r="A3636" s="5">
        <v>3575</v>
      </c>
      <c r="B3636" s="1817">
        <f>'Expenditures 15-22'!E367</f>
        <v>33658</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119225</v>
      </c>
      <c r="D3646" s="2" t="str">
        <f t="shared" si="55"/>
        <v>Error?</v>
      </c>
    </row>
    <row r="3647" spans="1:4" x14ac:dyDescent="0.2">
      <c r="A3647" s="5">
        <v>3586</v>
      </c>
      <c r="B3647" s="1817">
        <f>'Expenditures 15-22'!G350</f>
        <v>119225</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119225</v>
      </c>
      <c r="C3649" s="2" t="s">
        <v>569</v>
      </c>
      <c r="D3649" s="2" t="str">
        <f t="shared" si="56"/>
        <v>Error?</v>
      </c>
    </row>
    <row r="3650" spans="1:4" x14ac:dyDescent="0.2">
      <c r="A3650" s="5">
        <v>3589</v>
      </c>
      <c r="B3650" s="1817">
        <f>'Expenditures 15-22'!G367</f>
        <v>119225</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33658</v>
      </c>
      <c r="C3668" s="2" t="s">
        <v>569</v>
      </c>
      <c r="D3668" s="2" t="str">
        <f t="shared" si="56"/>
        <v>Error?</v>
      </c>
    </row>
    <row r="3669" spans="1:4" x14ac:dyDescent="0.2">
      <c r="A3669" s="5">
        <v>3608</v>
      </c>
      <c r="B3669" s="1817">
        <f>'Expenditures 15-22'!K349</f>
        <v>119225</v>
      </c>
      <c r="C3669" s="2" t="s">
        <v>569</v>
      </c>
      <c r="D3669" s="2" t="str">
        <f t="shared" si="56"/>
        <v>Error?</v>
      </c>
    </row>
    <row r="3670" spans="1:4" x14ac:dyDescent="0.2">
      <c r="A3670" s="5">
        <v>3609</v>
      </c>
      <c r="B3670" s="1817">
        <f>'Expenditures 15-22'!K350</f>
        <v>152883</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152883</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152883</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132591</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233619</v>
      </c>
      <c r="C3725" s="2" t="s">
        <v>569</v>
      </c>
      <c r="D3725" s="2" t="str">
        <f t="shared" si="57"/>
        <v>Error?</v>
      </c>
    </row>
    <row r="3726" spans="1:4" x14ac:dyDescent="0.2">
      <c r="A3726" s="5">
        <v>3665</v>
      </c>
      <c r="B3726" s="1817">
        <f>'Tax Sched 23'!D13</f>
        <v>233619</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237803</v>
      </c>
      <c r="C3728" s="2" t="s">
        <v>569</v>
      </c>
      <c r="D3728" s="2" t="str">
        <f t="shared" si="57"/>
        <v>Error?</v>
      </c>
    </row>
    <row r="3729" spans="1:4" x14ac:dyDescent="0.2">
      <c r="A3729" s="5">
        <v>3668</v>
      </c>
      <c r="B3729" s="1817">
        <f>'Tax Sched 23'!E13</f>
        <v>237803</v>
      </c>
      <c r="D3729" s="2" t="str">
        <f t="shared" si="57"/>
        <v>Error?</v>
      </c>
    </row>
    <row r="3730" spans="1:4" x14ac:dyDescent="0.2">
      <c r="A3730" s="5">
        <v>3669</v>
      </c>
      <c r="B3730" s="1817">
        <f>'ICR Computation 30'!E10</f>
        <v>395608</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-6008</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-6008</v>
      </c>
      <c r="D4111" s="2" t="str">
        <f t="shared" si="63"/>
        <v>Error?</v>
      </c>
    </row>
    <row r="4112" spans="1:4" x14ac:dyDescent="0.2">
      <c r="A4112" s="10">
        <v>4051</v>
      </c>
      <c r="B4112" s="1817"/>
      <c r="D4112" s="2" t="str">
        <f t="shared" si="63"/>
        <v>OK</v>
      </c>
    </row>
    <row r="4113" spans="1:4" x14ac:dyDescent="0.2">
      <c r="A4113" s="5">
        <v>4052</v>
      </c>
      <c r="B4113" s="1817">
        <f>'Acct Summary 7-8'!C9</f>
        <v>7252472</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22888552</v>
      </c>
      <c r="C4122" s="2" t="s">
        <v>569</v>
      </c>
      <c r="D4122" s="2" t="str">
        <f t="shared" si="63"/>
        <v>Error?</v>
      </c>
    </row>
    <row r="4123" spans="1:4" x14ac:dyDescent="0.2">
      <c r="A4123" s="5">
        <v>4062</v>
      </c>
      <c r="B4123" s="1817">
        <f>'Acct Summary 7-8'!D10</f>
        <v>2402617</v>
      </c>
      <c r="C4123" s="2" t="s">
        <v>569</v>
      </c>
      <c r="D4123" s="2" t="str">
        <f t="shared" si="63"/>
        <v>Error?</v>
      </c>
    </row>
    <row r="4124" spans="1:4" x14ac:dyDescent="0.2">
      <c r="A4124" s="5">
        <v>4063</v>
      </c>
      <c r="B4124" s="1817">
        <f>'Acct Summary 7-8'!E10</f>
        <v>2174243</v>
      </c>
      <c r="C4124" s="2" t="s">
        <v>569</v>
      </c>
      <c r="D4124" s="2" t="str">
        <f t="shared" si="63"/>
        <v>Error?</v>
      </c>
    </row>
    <row r="4125" spans="1:4" x14ac:dyDescent="0.2">
      <c r="A4125" s="5">
        <v>4064</v>
      </c>
      <c r="B4125" s="1817">
        <f>'Acct Summary 7-8'!F10</f>
        <v>1589344</v>
      </c>
      <c r="C4125" s="2" t="s">
        <v>569</v>
      </c>
      <c r="D4125" s="2" t="str">
        <f t="shared" si="63"/>
        <v>Error?</v>
      </c>
    </row>
    <row r="4126" spans="1:4" x14ac:dyDescent="0.2">
      <c r="A4126" s="5">
        <v>4065</v>
      </c>
      <c r="B4126" s="1817">
        <f>'Acct Summary 7-8'!G10</f>
        <v>677369</v>
      </c>
      <c r="C4126" s="2" t="s">
        <v>569</v>
      </c>
      <c r="D4126" s="2" t="str">
        <f t="shared" si="63"/>
        <v>Error?</v>
      </c>
    </row>
    <row r="4127" spans="1:4" x14ac:dyDescent="0.2">
      <c r="A4127" s="5">
        <v>4066</v>
      </c>
      <c r="B4127" s="1817">
        <f>'Acct Summary 7-8'!H10</f>
        <v>0</v>
      </c>
      <c r="C4127" s="2" t="s">
        <v>569</v>
      </c>
      <c r="D4127" s="2" t="str">
        <f t="shared" si="63"/>
        <v>Error?</v>
      </c>
    </row>
    <row r="4128" spans="1:4" x14ac:dyDescent="0.2">
      <c r="A4128" s="5">
        <v>4067</v>
      </c>
      <c r="B4128" s="1817">
        <f>'Acct Summary 7-8'!I10</f>
        <v>283326</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285474</v>
      </c>
      <c r="C4130" s="2" t="s">
        <v>569</v>
      </c>
      <c r="D4130" s="2" t="str">
        <f t="shared" si="63"/>
        <v>Error?</v>
      </c>
    </row>
    <row r="4131" spans="1:4" x14ac:dyDescent="0.2">
      <c r="A4131" s="5">
        <v>4070</v>
      </c>
      <c r="B4131" s="1817">
        <f>'Acct Summary 7-8'!C18</f>
        <v>7252472</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23166602</v>
      </c>
      <c r="C4136" s="2" t="s">
        <v>569</v>
      </c>
      <c r="D4136" s="2" t="str">
        <f t="shared" si="63"/>
        <v>Error?</v>
      </c>
    </row>
    <row r="4137" spans="1:4" x14ac:dyDescent="0.2">
      <c r="A4137" s="5">
        <v>4076</v>
      </c>
      <c r="B4137" s="1817">
        <f>'Acct Summary 7-8'!D19</f>
        <v>1527630</v>
      </c>
      <c r="C4137" s="2" t="s">
        <v>569</v>
      </c>
      <c r="D4137" s="2" t="str">
        <f t="shared" si="63"/>
        <v>Error?</v>
      </c>
    </row>
    <row r="4138" spans="1:4" x14ac:dyDescent="0.2">
      <c r="A4138" s="5">
        <v>4077</v>
      </c>
      <c r="B4138" s="1817">
        <f>'Acct Summary 7-8'!E19</f>
        <v>2350216</v>
      </c>
      <c r="C4138" s="2" t="s">
        <v>569</v>
      </c>
      <c r="D4138" s="2" t="str">
        <f t="shared" si="63"/>
        <v>Error?</v>
      </c>
    </row>
    <row r="4139" spans="1:4" x14ac:dyDescent="0.2">
      <c r="A4139" s="5">
        <v>4078</v>
      </c>
      <c r="B4139" s="1817">
        <f>'Acct Summary 7-8'!F19</f>
        <v>1420294</v>
      </c>
      <c r="C4139" s="2" t="s">
        <v>569</v>
      </c>
      <c r="D4139" s="2" t="str">
        <f t="shared" si="63"/>
        <v>Error?</v>
      </c>
    </row>
    <row r="4140" spans="1:4" x14ac:dyDescent="0.2">
      <c r="A4140" s="5">
        <v>4079</v>
      </c>
      <c r="B4140" s="1817">
        <f>'Acct Summary 7-8'!G19</f>
        <v>586951</v>
      </c>
      <c r="C4140" s="2" t="s">
        <v>569</v>
      </c>
      <c r="D4140" s="2" t="str">
        <f t="shared" si="63"/>
        <v>Error?</v>
      </c>
    </row>
    <row r="4141" spans="1:4" x14ac:dyDescent="0.2">
      <c r="A4141" s="5">
        <v>4080</v>
      </c>
      <c r="B4141" s="1817">
        <f>'Acct Summary 7-8'!H19</f>
        <v>0</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152883</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15289078</v>
      </c>
      <c r="C4171" s="2" t="s">
        <v>569</v>
      </c>
      <c r="D4171" s="2" t="str">
        <f t="shared" si="64"/>
        <v>Error?</v>
      </c>
    </row>
    <row r="4172" spans="1:4" x14ac:dyDescent="0.2">
      <c r="A4172" s="5">
        <v>4111</v>
      </c>
      <c r="B4172" s="1817">
        <f>'Short-Term Long-Term Debt 24'!J49</f>
        <v>15267269</v>
      </c>
      <c r="C4172" s="2" t="s">
        <v>569</v>
      </c>
      <c r="D4172" s="2" t="str">
        <f t="shared" si="64"/>
        <v>Error?</v>
      </c>
    </row>
    <row r="4173" spans="1:4" x14ac:dyDescent="0.2">
      <c r="A4173" s="5">
        <v>4112</v>
      </c>
      <c r="B4173" s="1817">
        <f>'Short-Term Long-Term Debt 24'!H49</f>
        <v>1913494</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7642</v>
      </c>
      <c r="D4210" s="2" t="str">
        <f t="shared" si="64"/>
        <v>Error?</v>
      </c>
    </row>
    <row r="4211" spans="1:4" x14ac:dyDescent="0.2">
      <c r="A4211" s="5">
        <v>4150</v>
      </c>
      <c r="B4211" s="1817">
        <f>'Expenditures 15-22'!K206</f>
        <v>7642</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1840</v>
      </c>
      <c r="C4265" s="2" t="s">
        <v>569</v>
      </c>
      <c r="D4265" s="2" t="str">
        <f t="shared" si="65"/>
        <v>Error?</v>
      </c>
      <c r="E4265" s="125"/>
    </row>
    <row r="4266" spans="1:5" x14ac:dyDescent="0.2">
      <c r="A4266" s="12">
        <v>4205</v>
      </c>
      <c r="B4266" s="1817">
        <f>('FP Info 3'!F10)*100000</f>
        <v>500</v>
      </c>
      <c r="C4266" s="2" t="s">
        <v>569</v>
      </c>
      <c r="D4266" s="2" t="str">
        <f t="shared" si="65"/>
        <v>Error?</v>
      </c>
      <c r="E4266" s="125"/>
    </row>
    <row r="4267" spans="1:5" x14ac:dyDescent="0.2">
      <c r="A4267" s="12">
        <v>4206</v>
      </c>
      <c r="B4267" s="1817">
        <f>('FP Info 3'!H10)*100000</f>
        <v>200</v>
      </c>
      <c r="C4267" s="2" t="s">
        <v>569</v>
      </c>
      <c r="D4267" s="2" t="str">
        <f t="shared" si="65"/>
        <v>Error?</v>
      </c>
      <c r="E4267" s="125"/>
    </row>
    <row r="4268" spans="1:5" x14ac:dyDescent="0.2">
      <c r="A4268" s="12">
        <v>4207</v>
      </c>
      <c r="B4268" s="1817">
        <f>('FP Info 3'!J10)*100000</f>
        <v>2540</v>
      </c>
      <c r="C4268" s="2" t="s">
        <v>569</v>
      </c>
      <c r="D4268" s="2" t="str">
        <f t="shared" si="65"/>
        <v>Error?</v>
      </c>
    </row>
    <row r="4269" spans="1:5" x14ac:dyDescent="0.2">
      <c r="A4269" s="12">
        <v>4208</v>
      </c>
      <c r="B4269" s="1817">
        <f>'FP Info 3'!J16</f>
        <v>24922602</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0</v>
      </c>
      <c r="D4329" s="2" t="str">
        <f t="shared" si="66"/>
        <v>Error?</v>
      </c>
    </row>
    <row r="4330" spans="1:4" x14ac:dyDescent="0.2">
      <c r="A4330" s="5">
        <v>4269</v>
      </c>
      <c r="B4330" s="1817">
        <f>'Revenues 9-14'!K167</f>
        <v>50000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0</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86712</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51856</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0</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97711</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0</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33644</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t="str">
        <f>'Revenues 9-14'!F168</f>
        <v xml:space="preserve"> </v>
      </c>
      <c r="D4795" s="2" t="e">
        <f t="shared" si="73"/>
        <v>#VALUE!</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0</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738</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475606526</v>
      </c>
      <c r="D4995" s="2" t="str">
        <f t="shared" si="77"/>
        <v>Error?</v>
      </c>
    </row>
    <row r="4996" spans="1:4" x14ac:dyDescent="0.2">
      <c r="A4996" s="12">
        <v>4935</v>
      </c>
      <c r="B4996" s="1817">
        <f>'FP Info 3'!H31</f>
        <v>65633700.588000007</v>
      </c>
      <c r="D4996" s="2" t="str">
        <f t="shared" si="77"/>
        <v>Error?</v>
      </c>
    </row>
    <row r="4997" spans="1:4" x14ac:dyDescent="0.2">
      <c r="A4997" s="12">
        <v>4936</v>
      </c>
      <c r="B4997" s="1817">
        <f>'FP Info 3'!H37</f>
        <v>15289078</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50000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233619</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8596760</v>
      </c>
      <c r="D5061" s="2" t="str">
        <f t="shared" si="78"/>
        <v>Error?</v>
      </c>
    </row>
    <row r="5062" spans="1:4" x14ac:dyDescent="0.2">
      <c r="A5062" s="10">
        <v>5001</v>
      </c>
      <c r="B5062" s="1817"/>
      <c r="D5062" s="2" t="str">
        <f t="shared" si="78"/>
        <v>OK</v>
      </c>
    </row>
    <row r="5063" spans="1:4" x14ac:dyDescent="0.2">
      <c r="A5063" s="5">
        <v>5002</v>
      </c>
      <c r="B5063" s="1817">
        <f>'Revenues 9-14'!C7</f>
        <v>186766</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9017145</v>
      </c>
      <c r="C5066" s="2" t="s">
        <v>569</v>
      </c>
      <c r="D5066" s="2" t="str">
        <f t="shared" si="78"/>
        <v>Error?</v>
      </c>
    </row>
    <row r="5067" spans="1:4" x14ac:dyDescent="0.2">
      <c r="A5067" s="5">
        <v>5006</v>
      </c>
      <c r="B5067" s="1817">
        <f>'Revenues 9-14'!C14</f>
        <v>0</v>
      </c>
      <c r="D5067" s="2" t="str">
        <f t="shared" si="78"/>
        <v>Error?</v>
      </c>
    </row>
    <row r="5068" spans="1:4" x14ac:dyDescent="0.2">
      <c r="A5068" s="5">
        <v>5007</v>
      </c>
      <c r="B5068" s="1817">
        <f>'Revenues 9-14'!C15</f>
        <v>0</v>
      </c>
      <c r="D5068" s="2" t="str">
        <f t="shared" si="78"/>
        <v>Error?</v>
      </c>
    </row>
    <row r="5069" spans="1:4" x14ac:dyDescent="0.2">
      <c r="A5069" s="5">
        <v>5008</v>
      </c>
      <c r="B5069" s="1817">
        <f>'Revenues 9-14'!C16</f>
        <v>1139386</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1139386</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19219</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19219</v>
      </c>
      <c r="C5087" s="2" t="s">
        <v>569</v>
      </c>
      <c r="D5087" s="2" t="str">
        <f t="shared" si="78"/>
        <v>Error?</v>
      </c>
    </row>
    <row r="5088" spans="1:4" x14ac:dyDescent="0.2">
      <c r="A5088" s="5">
        <v>5027</v>
      </c>
      <c r="B5088" s="1817">
        <f>'Revenues 9-14'!C65</f>
        <v>161566</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161566</v>
      </c>
      <c r="C5090" s="2" t="s">
        <v>569</v>
      </c>
      <c r="D5090" s="2" t="str">
        <f t="shared" si="78"/>
        <v>Error?</v>
      </c>
    </row>
    <row r="5091" spans="1:4" x14ac:dyDescent="0.2">
      <c r="A5091" s="5">
        <v>5030</v>
      </c>
      <c r="B5091" s="1817">
        <f>'Revenues 9-14'!C70</f>
        <v>28335</v>
      </c>
      <c r="D5091" s="2" t="str">
        <f t="shared" si="78"/>
        <v>Error?</v>
      </c>
    </row>
    <row r="5092" spans="1:4" x14ac:dyDescent="0.2">
      <c r="A5092" s="5">
        <v>5031</v>
      </c>
      <c r="B5092" s="1817">
        <f>'Revenues 9-14'!C71</f>
        <v>95046</v>
      </c>
      <c r="D5092" s="2" t="str">
        <f t="shared" si="78"/>
        <v>Error?</v>
      </c>
    </row>
    <row r="5093" spans="1:4" x14ac:dyDescent="0.2">
      <c r="A5093" s="5">
        <v>5032</v>
      </c>
      <c r="B5093" s="1817">
        <f>'Revenues 9-14'!C72</f>
        <v>8776</v>
      </c>
      <c r="D5093" s="2" t="str">
        <f t="shared" si="78"/>
        <v>Error?</v>
      </c>
    </row>
    <row r="5094" spans="1:4" x14ac:dyDescent="0.2">
      <c r="A5094" s="5">
        <v>5033</v>
      </c>
      <c r="B5094" s="1817">
        <f>'Revenues 9-14'!C73</f>
        <v>30</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265689</v>
      </c>
      <c r="C5096" s="2" t="s">
        <v>569</v>
      </c>
      <c r="D5096" s="2" t="str">
        <f t="shared" si="78"/>
        <v>Error?</v>
      </c>
    </row>
    <row r="5097" spans="1:4" x14ac:dyDescent="0.2">
      <c r="A5097" s="5">
        <v>5036</v>
      </c>
      <c r="B5097" s="1817">
        <f>'Revenues 9-14'!C77</f>
        <v>14105</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40432</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0</v>
      </c>
      <c r="D5101" s="2" t="str">
        <f t="shared" si="78"/>
        <v>Error?</v>
      </c>
    </row>
    <row r="5102" spans="1:4" x14ac:dyDescent="0.2">
      <c r="A5102" s="5">
        <v>5041</v>
      </c>
      <c r="B5102" s="1817">
        <f>'Revenues 9-14'!C82</f>
        <v>54537</v>
      </c>
      <c r="C5102" s="2" t="s">
        <v>569</v>
      </c>
      <c r="D5102" s="2" t="str">
        <f t="shared" si="78"/>
        <v>Error?</v>
      </c>
    </row>
    <row r="5103" spans="1:4" x14ac:dyDescent="0.2">
      <c r="A5103" s="5">
        <v>5042</v>
      </c>
      <c r="B5103" s="1817">
        <f>'Revenues 9-14'!C84</f>
        <v>59656</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59656</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308</v>
      </c>
      <c r="D5114" s="2" t="str">
        <f t="shared" si="78"/>
        <v>Error?</v>
      </c>
    </row>
    <row r="5115" spans="1:4" x14ac:dyDescent="0.2">
      <c r="A5115" s="5">
        <v>5054</v>
      </c>
      <c r="B5115" s="1817">
        <f>'Revenues 9-14'!C98</f>
        <v>90000</v>
      </c>
      <c r="D5115" s="2" t="str">
        <f t="shared" si="78"/>
        <v>Error?</v>
      </c>
    </row>
    <row r="5116" spans="1:4" x14ac:dyDescent="0.2">
      <c r="A5116" s="5">
        <v>5055</v>
      </c>
      <c r="B5116" s="1817">
        <f>'Revenues 9-14'!C99</f>
        <v>41183</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13784</v>
      </c>
      <c r="D5118" s="2" t="str">
        <f t="shared" si="78"/>
        <v>Error?</v>
      </c>
    </row>
    <row r="5119" spans="1:4" x14ac:dyDescent="0.2">
      <c r="A5119" s="5">
        <v>5058</v>
      </c>
      <c r="B5119" s="1817">
        <f>'Revenues 9-14'!C107</f>
        <v>3752</v>
      </c>
      <c r="D5119" s="2" t="str">
        <f t="shared" ref="D5119:D5182" si="79">IF(ISBLANK(B5119),"OK",IF(A5119-B5119=0,"OK","Error?"))</f>
        <v>Error?</v>
      </c>
    </row>
    <row r="5120" spans="1:4" x14ac:dyDescent="0.2">
      <c r="A5120" s="5">
        <v>5059</v>
      </c>
      <c r="B5120" s="1817">
        <f>'Revenues 9-14'!C108</f>
        <v>158347</v>
      </c>
      <c r="C5120" s="2" t="s">
        <v>569</v>
      </c>
      <c r="D5120" s="2" t="str">
        <f t="shared" si="79"/>
        <v>Error?</v>
      </c>
    </row>
    <row r="5121" spans="1:4" x14ac:dyDescent="0.2">
      <c r="A5121" s="5">
        <v>5060</v>
      </c>
      <c r="B5121" s="1817">
        <f>'Revenues 9-14'!C109</f>
        <v>10875545</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2150372</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2150372</v>
      </c>
      <c r="C5132" s="2" t="s">
        <v>569</v>
      </c>
      <c r="D5132" s="2" t="str">
        <f t="shared" si="79"/>
        <v>Error?</v>
      </c>
    </row>
    <row r="5133" spans="1:4" x14ac:dyDescent="0.2">
      <c r="A5133" s="5">
        <v>5072</v>
      </c>
      <c r="B5133" s="1817">
        <f>'Revenues 9-14'!C125</f>
        <v>367373</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47364</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414737</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0</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9633</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5735</v>
      </c>
      <c r="D5167" s="2" t="str">
        <f t="shared" si="79"/>
        <v>Error?</v>
      </c>
    </row>
    <row r="5168" spans="1:4" x14ac:dyDescent="0.2">
      <c r="A5168" s="5">
        <v>5107</v>
      </c>
      <c r="B5168" s="1817">
        <f>'Revenues 9-14'!C148</f>
        <v>17245</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324510</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805504</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2955876</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0</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267738</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98144</v>
      </c>
      <c r="D5241" s="2" t="str">
        <f t="shared" si="80"/>
        <v>Error?</v>
      </c>
    </row>
    <row r="5242" spans="1:4" x14ac:dyDescent="0.2">
      <c r="A5242" s="5">
        <v>5181</v>
      </c>
      <c r="B5242" s="1817">
        <f>'Revenues 9-14'!C194</f>
        <v>68924</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434806</v>
      </c>
      <c r="C5246" s="2" t="s">
        <v>569</v>
      </c>
      <c r="D5246" s="2" t="str">
        <f t="shared" si="80"/>
        <v>Error?</v>
      </c>
    </row>
    <row r="5247" spans="1:4" x14ac:dyDescent="0.2">
      <c r="A5247" s="5">
        <v>5186</v>
      </c>
      <c r="B5247" s="1817">
        <f>'Revenues 9-14'!C200</f>
        <v>529845</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51856</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529845</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39928</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563063</v>
      </c>
      <c r="D5278" s="2" t="str">
        <f t="shared" si="81"/>
        <v>Error?</v>
      </c>
    </row>
    <row r="5279" spans="1:4" x14ac:dyDescent="0.2">
      <c r="A5279" s="5">
        <v>5218</v>
      </c>
      <c r="B5279" s="1817">
        <f>'Revenues 9-14'!C214</f>
        <v>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602991</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1804659</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1804659</v>
      </c>
      <c r="C5326" s="2" t="s">
        <v>569</v>
      </c>
      <c r="D5326" s="2" t="str">
        <f t="shared" si="82"/>
        <v>Error?</v>
      </c>
    </row>
    <row r="5327" spans="1:5" x14ac:dyDescent="0.2">
      <c r="A5327" s="5">
        <v>5266</v>
      </c>
      <c r="B5327" s="1817">
        <f>'Revenues 9-14'!C268</f>
        <v>15636080</v>
      </c>
      <c r="C5327" s="2" t="s">
        <v>569</v>
      </c>
      <c r="D5327" s="2" t="str">
        <f t="shared" si="82"/>
        <v>Error?</v>
      </c>
    </row>
    <row r="5328" spans="1:5" x14ac:dyDescent="0.2">
      <c r="A5328" s="5">
        <v>5267</v>
      </c>
      <c r="B5328" s="1817">
        <f>'Revenues 9-14'!D5</f>
        <v>2335840</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2335840</v>
      </c>
      <c r="C5334" s="2" t="s">
        <v>569</v>
      </c>
      <c r="D5334" s="2" t="str">
        <f t="shared" si="82"/>
        <v>Error?</v>
      </c>
    </row>
    <row r="5335" spans="1:4" x14ac:dyDescent="0.2">
      <c r="A5335" s="5">
        <v>5274</v>
      </c>
      <c r="B5335" s="1817">
        <f>'Revenues 9-14'!D14</f>
        <v>0</v>
      </c>
      <c r="D5335" s="2" t="str">
        <f t="shared" si="82"/>
        <v>Error?</v>
      </c>
    </row>
    <row r="5336" spans="1:4" x14ac:dyDescent="0.2">
      <c r="A5336" s="5">
        <v>5275</v>
      </c>
      <c r="B5336" s="1817">
        <f>'Revenues 9-14'!D15</f>
        <v>0</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0</v>
      </c>
      <c r="C5339" s="2" t="s">
        <v>569</v>
      </c>
      <c r="D5339" s="2" t="str">
        <f t="shared" si="82"/>
        <v>Error?</v>
      </c>
    </row>
    <row r="5340" spans="1:4" x14ac:dyDescent="0.2">
      <c r="A5340" s="5">
        <v>5279</v>
      </c>
      <c r="B5340" s="1817">
        <f>'Revenues 9-14'!D65</f>
        <v>50517</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50517</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16260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0</v>
      </c>
      <c r="D5354" s="2" t="str">
        <f t="shared" si="82"/>
        <v>Error?</v>
      </c>
    </row>
    <row r="5355" spans="1:4" x14ac:dyDescent="0.2">
      <c r="A5355" s="5">
        <v>5294</v>
      </c>
      <c r="B5355" s="1817">
        <f>'Revenues 9-14'!D108</f>
        <v>16260</v>
      </c>
      <c r="C5355" s="2" t="s">
        <v>569</v>
      </c>
      <c r="D5355" s="2" t="str">
        <f t="shared" si="82"/>
        <v>Error?</v>
      </c>
    </row>
    <row r="5356" spans="1:4" x14ac:dyDescent="0.2">
      <c r="A5356" s="5">
        <v>5295</v>
      </c>
      <c r="B5356" s="1817">
        <f>'Revenues 9-14'!D109</f>
        <v>2402617</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2402617</v>
      </c>
      <c r="C5508" s="2" t="s">
        <v>569</v>
      </c>
      <c r="D5508" s="2" t="str">
        <f t="shared" si="85"/>
        <v>Error?</v>
      </c>
    </row>
    <row r="5509" spans="1:4" x14ac:dyDescent="0.2">
      <c r="A5509" s="5">
        <v>5448</v>
      </c>
      <c r="B5509" s="1817">
        <f>'Revenues 9-14'!E5</f>
        <v>2173980</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2173980</v>
      </c>
      <c r="C5513" s="2" t="s">
        <v>569</v>
      </c>
      <c r="D5513" s="2" t="str">
        <f t="shared" si="85"/>
        <v>Error?</v>
      </c>
    </row>
    <row r="5514" spans="1:4" x14ac:dyDescent="0.2">
      <c r="A5514" s="5">
        <v>5453</v>
      </c>
      <c r="B5514" s="1817">
        <f>'Revenues 9-14'!E14</f>
        <v>0</v>
      </c>
      <c r="D5514" s="2" t="str">
        <f t="shared" si="85"/>
        <v>Error?</v>
      </c>
    </row>
    <row r="5515" spans="1:4" x14ac:dyDescent="0.2">
      <c r="A5515" s="5">
        <v>5454</v>
      </c>
      <c r="B5515" s="1817">
        <f>'Revenues 9-14'!E15</f>
        <v>0</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0</v>
      </c>
      <c r="C5518" s="2" t="s">
        <v>569</v>
      </c>
      <c r="D5518" s="2" t="str">
        <f t="shared" si="85"/>
        <v>Error?</v>
      </c>
    </row>
    <row r="5519" spans="1:4" x14ac:dyDescent="0.2">
      <c r="A5519" s="5">
        <v>5458</v>
      </c>
      <c r="B5519" s="1817">
        <f>'Revenues 9-14'!E65</f>
        <v>263</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263</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2174243</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2174243</v>
      </c>
      <c r="C5552" s="2" t="s">
        <v>569</v>
      </c>
      <c r="D5552" s="2" t="str">
        <f t="shared" si="85"/>
        <v>Error?</v>
      </c>
    </row>
    <row r="5553" spans="1:4" x14ac:dyDescent="0.2">
      <c r="A5553" s="5">
        <v>5492</v>
      </c>
      <c r="B5553" s="1817">
        <f>'Revenues 9-14'!F5</f>
        <v>934256</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934256</v>
      </c>
      <c r="C5557" s="2" t="s">
        <v>569</v>
      </c>
      <c r="D5557" s="2" t="str">
        <f t="shared" si="85"/>
        <v>Error?</v>
      </c>
    </row>
    <row r="5558" spans="1:4" x14ac:dyDescent="0.2">
      <c r="A5558" s="5">
        <v>5497</v>
      </c>
      <c r="B5558" s="1817">
        <f>'Revenues 9-14'!F14</f>
        <v>0</v>
      </c>
      <c r="D5558" s="2" t="str">
        <f t="shared" si="85"/>
        <v>Error?</v>
      </c>
    </row>
    <row r="5559" spans="1:4" x14ac:dyDescent="0.2">
      <c r="A5559" s="5">
        <v>5498</v>
      </c>
      <c r="B5559" s="1817">
        <f>'Revenues 9-14'!F15</f>
        <v>0</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0</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41989</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41989</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914</v>
      </c>
      <c r="D5586" s="2" t="str">
        <f t="shared" si="86"/>
        <v>Error?</v>
      </c>
    </row>
    <row r="5587" spans="1:4" x14ac:dyDescent="0.2">
      <c r="A5587" s="5">
        <v>5526</v>
      </c>
      <c r="B5587" s="1817">
        <f>'Revenues 9-14'!F108</f>
        <v>914</v>
      </c>
      <c r="C5587" s="2" t="s">
        <v>569</v>
      </c>
      <c r="D5587" s="2" t="str">
        <f t="shared" si="86"/>
        <v>Error?</v>
      </c>
    </row>
    <row r="5588" spans="1:4" x14ac:dyDescent="0.2">
      <c r="A5588" s="5">
        <v>5527</v>
      </c>
      <c r="B5588" s="1817">
        <f>'Revenues 9-14'!F109</f>
        <v>977159</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0</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0</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442622</v>
      </c>
      <c r="D5615" s="2" t="str">
        <f t="shared" si="86"/>
        <v>Error?</v>
      </c>
    </row>
    <row r="5616" spans="1:4" x14ac:dyDescent="0.2">
      <c r="A5616" s="10">
        <v>5555</v>
      </c>
      <c r="B5616" s="1817"/>
      <c r="D5616" s="2" t="str">
        <f t="shared" si="86"/>
        <v>OK</v>
      </c>
    </row>
    <row r="5617" spans="1:5" x14ac:dyDescent="0.2">
      <c r="A5617" s="5">
        <v>5556</v>
      </c>
      <c r="B5617" s="1817">
        <f>'Revenues 9-14'!F153</f>
        <v>169563</v>
      </c>
      <c r="D5617" s="2" t="str">
        <f t="shared" si="86"/>
        <v>Error?</v>
      </c>
    </row>
    <row r="5618" spans="1:5" x14ac:dyDescent="0.2">
      <c r="A5618" s="5">
        <v>5557</v>
      </c>
      <c r="B5618" s="1817">
        <f>'Revenues 9-14'!F155</f>
        <v>612185</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612185</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612185</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1589344</v>
      </c>
      <c r="C5720" s="2" t="s">
        <v>569</v>
      </c>
      <c r="D5720" s="2" t="str">
        <f t="shared" si="88"/>
        <v>Error?</v>
      </c>
    </row>
    <row r="5721" spans="1:4" x14ac:dyDescent="0.2">
      <c r="A5721" s="5">
        <v>5660</v>
      </c>
      <c r="B5721" s="1817">
        <f>'Revenues 9-14'!G5</f>
        <v>331166</v>
      </c>
      <c r="D5721" s="2" t="str">
        <f t="shared" si="88"/>
        <v>Error?</v>
      </c>
    </row>
    <row r="5722" spans="1:4" x14ac:dyDescent="0.2">
      <c r="A5722" s="5">
        <v>5661</v>
      </c>
      <c r="B5722" s="1817">
        <f>'Revenues 9-14'!G7</f>
        <v>0</v>
      </c>
      <c r="D5722" s="2" t="str">
        <f t="shared" si="88"/>
        <v>Error?</v>
      </c>
    </row>
    <row r="5723" spans="1:4" x14ac:dyDescent="0.2">
      <c r="A5723" s="5">
        <v>5662</v>
      </c>
      <c r="B5723" s="1817">
        <f>'Revenues 9-14'!G8</f>
        <v>282091</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613257</v>
      </c>
      <c r="C5725" s="2" t="s">
        <v>569</v>
      </c>
      <c r="D5725" s="2" t="str">
        <f t="shared" si="88"/>
        <v>Error?</v>
      </c>
    </row>
    <row r="5726" spans="1:4" x14ac:dyDescent="0.2">
      <c r="A5726" s="5">
        <v>5665</v>
      </c>
      <c r="B5726" s="1817">
        <f>'Revenues 9-14'!G14</f>
        <v>0</v>
      </c>
      <c r="D5726" s="2" t="str">
        <f t="shared" si="88"/>
        <v>Error?</v>
      </c>
    </row>
    <row r="5727" spans="1:4" x14ac:dyDescent="0.2">
      <c r="A5727" s="5">
        <v>5666</v>
      </c>
      <c r="B5727" s="1817">
        <f>'Revenues 9-14'!G15</f>
        <v>0</v>
      </c>
      <c r="D5727" s="2" t="str">
        <f t="shared" si="88"/>
        <v>Error?</v>
      </c>
    </row>
    <row r="5728" spans="1:4" x14ac:dyDescent="0.2">
      <c r="A5728" s="5">
        <v>5667</v>
      </c>
      <c r="B5728" s="1817">
        <f>'Revenues 9-14'!G16</f>
        <v>50000</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50000</v>
      </c>
      <c r="C5730" s="2" t="s">
        <v>569</v>
      </c>
      <c r="D5730" s="2" t="str">
        <f t="shared" si="88"/>
        <v>Error?</v>
      </c>
    </row>
    <row r="5731" spans="1:4" x14ac:dyDescent="0.2">
      <c r="A5731" s="5">
        <v>5670</v>
      </c>
      <c r="B5731" s="1817">
        <f>'Revenues 9-14'!G65</f>
        <v>14112</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14112</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0</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0</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0</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0</v>
      </c>
      <c r="C5869" s="2" t="s">
        <v>569</v>
      </c>
      <c r="D5869" s="2" t="str">
        <f t="shared" si="90"/>
        <v>Error?</v>
      </c>
    </row>
    <row r="5870" spans="1:4" x14ac:dyDescent="0.2">
      <c r="A5870" s="5">
        <v>5809</v>
      </c>
      <c r="B5870" s="1817">
        <f>'Revenues 9-14'!G268</f>
        <v>677369</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0</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0</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0</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0</v>
      </c>
      <c r="C5915" s="2" t="s">
        <v>569</v>
      </c>
      <c r="D5915" s="2" t="str">
        <f t="shared" si="91"/>
        <v>Error?</v>
      </c>
    </row>
    <row r="5916" spans="1:4" x14ac:dyDescent="0.2">
      <c r="A5916" s="5">
        <v>5855</v>
      </c>
      <c r="B5916" s="1817">
        <f>'Revenues 9-14'!I5</f>
        <v>233497</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233497</v>
      </c>
      <c r="C5918" s="2" t="s">
        <v>569</v>
      </c>
      <c r="D5918" s="2" t="str">
        <f t="shared" si="91"/>
        <v>Error?</v>
      </c>
    </row>
    <row r="5919" spans="1:4" x14ac:dyDescent="0.2">
      <c r="A5919" s="5">
        <v>5858</v>
      </c>
      <c r="B5919" s="1817">
        <f>'Revenues 9-14'!I14</f>
        <v>0</v>
      </c>
      <c r="D5919" s="2" t="str">
        <f t="shared" si="91"/>
        <v>Error?</v>
      </c>
    </row>
    <row r="5920" spans="1:4" x14ac:dyDescent="0.2">
      <c r="A5920" s="5">
        <v>5859</v>
      </c>
      <c r="B5920" s="1817">
        <f>'Revenues 9-14'!I15</f>
        <v>0</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0</v>
      </c>
      <c r="C5923" s="2" t="s">
        <v>569</v>
      </c>
      <c r="D5923" s="2" t="str">
        <f t="shared" si="91"/>
        <v>Error?</v>
      </c>
    </row>
    <row r="5924" spans="1:4" x14ac:dyDescent="0.2">
      <c r="A5924" s="5">
        <v>5863</v>
      </c>
      <c r="B5924" s="1817">
        <f>'Revenues 9-14'!I65</f>
        <v>49829</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49829</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283326</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233619</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233619</v>
      </c>
      <c r="C5987" s="2" t="s">
        <v>569</v>
      </c>
      <c r="D5987" s="2" t="str">
        <f t="shared" si="92"/>
        <v>Error?</v>
      </c>
    </row>
    <row r="5988" spans="1:4" x14ac:dyDescent="0.2">
      <c r="A5988" s="5">
        <v>5927</v>
      </c>
      <c r="B5988" s="1817">
        <f>'Revenues 9-14'!K14</f>
        <v>0</v>
      </c>
      <c r="D5988" s="2" t="str">
        <f t="shared" si="92"/>
        <v>Error?</v>
      </c>
    </row>
    <row r="5989" spans="1:4" x14ac:dyDescent="0.2">
      <c r="A5989" s="5">
        <v>5928</v>
      </c>
      <c r="B5989" s="1817">
        <f>'Revenues 9-14'!K15</f>
        <v>0</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0</v>
      </c>
      <c r="C5992" s="2" t="s">
        <v>569</v>
      </c>
      <c r="D5992" s="2" t="str">
        <f t="shared" si="92"/>
        <v>Error?</v>
      </c>
    </row>
    <row r="5993" spans="1:4" x14ac:dyDescent="0.2">
      <c r="A5993" s="5">
        <v>5932</v>
      </c>
      <c r="B5993" s="1817">
        <f>'Revenues 9-14'!K65</f>
        <v>1855</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1855</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50000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285474</v>
      </c>
      <c r="C6023" s="2" t="s">
        <v>569</v>
      </c>
      <c r="D6023" s="2" t="str">
        <f t="shared" si="93"/>
        <v>Error?</v>
      </c>
    </row>
    <row r="6024" spans="1:5" x14ac:dyDescent="0.2">
      <c r="A6024" s="5">
        <v>5963</v>
      </c>
      <c r="B6024" s="1817">
        <f>'Revenues 9-14'!G109</f>
        <v>677369</v>
      </c>
      <c r="C6024" s="2" t="s">
        <v>569</v>
      </c>
      <c r="D6024" s="2" t="str">
        <f t="shared" si="93"/>
        <v>Error?</v>
      </c>
    </row>
    <row r="6025" spans="1:5" x14ac:dyDescent="0.2">
      <c r="A6025" s="5">
        <v>5964</v>
      </c>
      <c r="B6025" s="1817">
        <f>'Revenues 9-14'!H109</f>
        <v>0</v>
      </c>
      <c r="C6025" s="2" t="s">
        <v>569</v>
      </c>
      <c r="D6025" s="2" t="str">
        <f t="shared" si="93"/>
        <v>Error?</v>
      </c>
    </row>
    <row r="6026" spans="1:5" x14ac:dyDescent="0.2">
      <c r="A6026" s="5">
        <v>5965</v>
      </c>
      <c r="B6026" s="1817">
        <f>'Revenues 9-14'!I109</f>
        <v>283326</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235474</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133502</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70225</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1604.3</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6327</v>
      </c>
      <c r="D6123" s="2" t="str">
        <f t="shared" si="94"/>
        <v>Error?</v>
      </c>
      <c r="E6123" s="2" t="s">
        <v>189</v>
      </c>
    </row>
    <row r="6124" spans="1:5" x14ac:dyDescent="0.2">
      <c r="A6124">
        <v>6063</v>
      </c>
      <c r="B6124" s="1817">
        <f>'Assets-Liab 5-6'!J13</f>
        <v>1315418</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1315418</v>
      </c>
      <c r="D6215" s="2" t="str">
        <f t="shared" si="96"/>
        <v>Error?</v>
      </c>
      <c r="E6215" s="2" t="s">
        <v>189</v>
      </c>
    </row>
    <row r="6216" spans="1:5" x14ac:dyDescent="0.2">
      <c r="A6216">
        <v>6155</v>
      </c>
      <c r="B6216" s="1817">
        <f>'Assets-Liab 5-6'!J41</f>
        <v>1315418</v>
      </c>
      <c r="D6216" s="2" t="str">
        <f t="shared" si="96"/>
        <v>Error?</v>
      </c>
      <c r="E6216" s="2" t="s">
        <v>189</v>
      </c>
    </row>
    <row r="6217" spans="1:5" x14ac:dyDescent="0.2">
      <c r="A6217">
        <v>6156</v>
      </c>
      <c r="B6217" s="1817">
        <f>'Assets-Liab 5-6'!J4</f>
        <v>1309091</v>
      </c>
      <c r="D6217" s="2" t="str">
        <f t="shared" si="96"/>
        <v>Error?</v>
      </c>
      <c r="E6217" s="2" t="s">
        <v>189</v>
      </c>
    </row>
    <row r="6218" spans="1:5" x14ac:dyDescent="0.2">
      <c r="A6218">
        <v>6157</v>
      </c>
      <c r="B6218" s="1817">
        <f>'Assets-Liab 5-6'!J5</f>
        <v>0</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1257652</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1257652</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1257652</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772961</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772961</v>
      </c>
      <c r="D6229" s="2" t="str">
        <f t="shared" si="96"/>
        <v>Error?</v>
      </c>
      <c r="E6229" s="2" t="s">
        <v>189</v>
      </c>
    </row>
    <row r="6230" spans="1:5" x14ac:dyDescent="0.2">
      <c r="A6230">
        <v>6169</v>
      </c>
      <c r="B6230" s="1817">
        <f>'Acct Summary 7-8'!J20</f>
        <v>484691</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171852</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3066</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25425</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484691</v>
      </c>
      <c r="D6263" s="2" t="str">
        <f t="shared" si="96"/>
        <v>Error?</v>
      </c>
      <c r="E6263" s="2" t="s">
        <v>189</v>
      </c>
    </row>
    <row r="6264" spans="1:5" x14ac:dyDescent="0.2">
      <c r="A6264">
        <v>6203</v>
      </c>
      <c r="B6264" s="1817">
        <f>'Acct Summary 7-8'!J79</f>
        <v>830727</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1315418</v>
      </c>
      <c r="D6266" s="2" t="str">
        <f t="shared" si="96"/>
        <v>Error?</v>
      </c>
      <c r="E6266" s="2" t="s">
        <v>189</v>
      </c>
    </row>
    <row r="6267" spans="1:5" x14ac:dyDescent="0.2">
      <c r="A6267">
        <v>6206</v>
      </c>
      <c r="B6267" s="1817">
        <f>'Acct Summary 7-8'!C82</f>
        <v>547032</v>
      </c>
      <c r="D6267" s="2" t="str">
        <f t="shared" si="96"/>
        <v>Error?</v>
      </c>
      <c r="E6267" s="2" t="s">
        <v>189</v>
      </c>
    </row>
    <row r="6268" spans="1:5" x14ac:dyDescent="0.2">
      <c r="A6268">
        <v>6207</v>
      </c>
      <c r="B6268" s="1817">
        <f>'Acct Summary 7-8'!D82</f>
        <v>874987</v>
      </c>
      <c r="D6268" s="2" t="str">
        <f t="shared" si="96"/>
        <v>Error?</v>
      </c>
      <c r="E6268" s="2" t="s">
        <v>189</v>
      </c>
    </row>
    <row r="6269" spans="1:5" x14ac:dyDescent="0.2">
      <c r="A6269">
        <v>6208</v>
      </c>
      <c r="B6269" s="1817">
        <f>'Acct Summary 7-8'!E82</f>
        <v>-1055</v>
      </c>
      <c r="D6269" s="2" t="str">
        <f t="shared" si="96"/>
        <v>Error?</v>
      </c>
      <c r="E6269" s="2" t="s">
        <v>189</v>
      </c>
    </row>
    <row r="6270" spans="1:5" x14ac:dyDescent="0.2">
      <c r="A6270">
        <v>6209</v>
      </c>
      <c r="B6270" s="1817">
        <f>'Acct Summary 7-8'!F82</f>
        <v>169050</v>
      </c>
      <c r="D6270" s="2" t="str">
        <f t="shared" si="96"/>
        <v>Error?</v>
      </c>
      <c r="E6270" s="2" t="s">
        <v>189</v>
      </c>
    </row>
    <row r="6271" spans="1:5" x14ac:dyDescent="0.2">
      <c r="A6271">
        <v>6210</v>
      </c>
      <c r="B6271" s="1817">
        <f>'Acct Summary 7-8'!G82</f>
        <v>90418</v>
      </c>
      <c r="D6271" s="2" t="str">
        <f t="shared" ref="D6271:D6334" si="97">IF(ISBLANK(B6271),"OK",IF(A6271-B6271=0,"OK","Error?"))</f>
        <v>Error?</v>
      </c>
      <c r="E6271" s="2" t="s">
        <v>189</v>
      </c>
    </row>
    <row r="6272" spans="1:5" x14ac:dyDescent="0.2">
      <c r="A6272">
        <v>6211</v>
      </c>
      <c r="B6272" s="1817">
        <f>'Acct Summary 7-8'!H82</f>
        <v>0</v>
      </c>
      <c r="D6272" s="2" t="str">
        <f t="shared" si="97"/>
        <v>Error?</v>
      </c>
      <c r="E6272" s="2" t="s">
        <v>189</v>
      </c>
    </row>
    <row r="6273" spans="1:5" x14ac:dyDescent="0.2">
      <c r="A6273">
        <v>6212</v>
      </c>
      <c r="B6273" s="1817">
        <f>'Acct Summary 7-8'!I82</f>
        <v>2283474</v>
      </c>
      <c r="D6273" s="2" t="str">
        <f t="shared" si="97"/>
        <v>Error?</v>
      </c>
      <c r="E6273" s="2" t="s">
        <v>189</v>
      </c>
    </row>
    <row r="6274" spans="1:5" x14ac:dyDescent="0.2">
      <c r="A6274">
        <v>6213</v>
      </c>
      <c r="B6274" s="1817">
        <f>'Acct Summary 7-8'!J82</f>
        <v>484691</v>
      </c>
      <c r="D6274" s="2" t="str">
        <f t="shared" si="97"/>
        <v>Error?</v>
      </c>
      <c r="E6274" s="2" t="s">
        <v>189</v>
      </c>
    </row>
    <row r="6275" spans="1:5" x14ac:dyDescent="0.2">
      <c r="A6275">
        <v>6214</v>
      </c>
      <c r="B6275" s="1817">
        <f>'Acct Summary 7-8'!K82</f>
        <v>132591</v>
      </c>
      <c r="D6275" s="2" t="str">
        <f t="shared" si="97"/>
        <v>Error?</v>
      </c>
      <c r="E6275" s="2" t="s">
        <v>189</v>
      </c>
    </row>
    <row r="6276" spans="1:5" x14ac:dyDescent="0.2">
      <c r="A6276">
        <v>6215</v>
      </c>
      <c r="B6276" s="1817">
        <f>'Acct Summary 7-8'!C83</f>
        <v>4.6295646678075439E-2</v>
      </c>
      <c r="D6276" s="2" t="str">
        <f t="shared" si="97"/>
        <v>Error?</v>
      </c>
      <c r="E6276" s="2" t="s">
        <v>189</v>
      </c>
    </row>
    <row r="6277" spans="1:5" x14ac:dyDescent="0.2">
      <c r="A6277">
        <v>6216</v>
      </c>
      <c r="B6277" s="1817">
        <f>'Acct Summary 7-8'!D83</f>
        <v>0.16962664717191345</v>
      </c>
      <c r="D6277" s="2" t="str">
        <f t="shared" si="97"/>
        <v>Error?</v>
      </c>
      <c r="E6277" s="2" t="s">
        <v>189</v>
      </c>
    </row>
    <row r="6278" spans="1:5" x14ac:dyDescent="0.2">
      <c r="A6278">
        <v>6217</v>
      </c>
      <c r="B6278" s="1817">
        <f>'Acct Summary 7-8'!E83</f>
        <v>-4.83745242789674E-2</v>
      </c>
      <c r="D6278" s="2" t="str">
        <f t="shared" si="97"/>
        <v>Error?</v>
      </c>
      <c r="E6278" s="2" t="s">
        <v>189</v>
      </c>
    </row>
    <row r="6279" spans="1:5" x14ac:dyDescent="0.2">
      <c r="A6279">
        <v>6218</v>
      </c>
      <c r="B6279" s="1817">
        <f>'Acct Summary 7-8'!F83</f>
        <v>4.6000375513269499E-2</v>
      </c>
      <c r="D6279" s="2" t="str">
        <f t="shared" si="97"/>
        <v>Error?</v>
      </c>
      <c r="E6279" s="2" t="s">
        <v>189</v>
      </c>
    </row>
    <row r="6280" spans="1:5" x14ac:dyDescent="0.2">
      <c r="A6280">
        <v>6219</v>
      </c>
      <c r="B6280" s="1817">
        <f>'Acct Summary 7-8'!G83</f>
        <v>6.967074796384623E-2</v>
      </c>
      <c r="D6280" s="2" t="str">
        <f t="shared" si="97"/>
        <v>Error?</v>
      </c>
      <c r="E6280" s="2" t="s">
        <v>189</v>
      </c>
    </row>
    <row r="6281" spans="1:5" x14ac:dyDescent="0.2">
      <c r="A6281">
        <v>6220</v>
      </c>
      <c r="B6281" s="1817">
        <f>'Acct Summary 7-8'!H83</f>
        <v>0</v>
      </c>
      <c r="D6281" s="2" t="str">
        <f t="shared" si="97"/>
        <v>Error?</v>
      </c>
      <c r="E6281" s="2" t="s">
        <v>189</v>
      </c>
    </row>
    <row r="6282" spans="1:5" x14ac:dyDescent="0.2">
      <c r="A6282">
        <v>6221</v>
      </c>
      <c r="B6282" s="1817">
        <f>'Acct Summary 7-8'!I83</f>
        <v>0.53436296002306438</v>
      </c>
      <c r="D6282" s="2" t="str">
        <f t="shared" si="97"/>
        <v>Error?</v>
      </c>
      <c r="E6282" s="2" t="s">
        <v>189</v>
      </c>
    </row>
    <row r="6283" spans="1:5" x14ac:dyDescent="0.2">
      <c r="A6283">
        <v>6222</v>
      </c>
      <c r="B6283" s="1817">
        <f>'Acct Summary 7-8'!J83</f>
        <v>0.36846918622065383</v>
      </c>
      <c r="D6283" s="2" t="str">
        <f t="shared" si="97"/>
        <v>Error?</v>
      </c>
      <c r="E6283" s="2" t="s">
        <v>189</v>
      </c>
    </row>
    <row r="6284" spans="1:5" x14ac:dyDescent="0.2">
      <c r="A6284">
        <v>6223</v>
      </c>
      <c r="B6284" s="1817">
        <f>'Acct Summary 7-8'!K83</f>
        <v>9.0411379242156656E-2</v>
      </c>
      <c r="D6284" s="2" t="str">
        <f t="shared" si="97"/>
        <v>Error?</v>
      </c>
      <c r="E6284" s="2" t="s">
        <v>189</v>
      </c>
    </row>
    <row r="6285" spans="1:5" x14ac:dyDescent="0.2">
      <c r="A6285">
        <v>6224</v>
      </c>
      <c r="B6285" s="1817">
        <f>'Acct Summary 7-8'!E37</f>
        <v>171852</v>
      </c>
      <c r="D6285" s="2" t="str">
        <f t="shared" si="97"/>
        <v>Error?</v>
      </c>
      <c r="E6285" s="2" t="s">
        <v>189</v>
      </c>
    </row>
    <row r="6286" spans="1:5" x14ac:dyDescent="0.2">
      <c r="A6286">
        <v>6225</v>
      </c>
      <c r="B6286" s="1817">
        <f>'Acct Summary 7-8'!E38</f>
        <v>3066</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1256931</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1256931</v>
      </c>
      <c r="D6301" s="2" t="str">
        <f t="shared" si="97"/>
        <v>Error?</v>
      </c>
      <c r="E6301" s="2" t="s">
        <v>189</v>
      </c>
    </row>
    <row r="6302" spans="1:5" x14ac:dyDescent="0.2">
      <c r="A6302">
        <v>6241</v>
      </c>
      <c r="B6302" s="1817">
        <f>'Revenues 9-14'!J14</f>
        <v>0</v>
      </c>
      <c r="D6302" s="2" t="str">
        <f t="shared" si="97"/>
        <v>Error?</v>
      </c>
      <c r="E6302" s="2" t="s">
        <v>189</v>
      </c>
    </row>
    <row r="6303" spans="1:5" x14ac:dyDescent="0.2">
      <c r="A6303">
        <v>6242</v>
      </c>
      <c r="B6303" s="1817">
        <f>'Revenues 9-14'!J15</f>
        <v>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0</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721</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721</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t="str">
        <f>'Revenues 9-14'!C97</f>
        <v xml:space="preserve"> </v>
      </c>
      <c r="D6320" s="2" t="e">
        <f t="shared" si="97"/>
        <v>#VALUE!</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9320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1257652</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9633</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224519</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300151</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173440</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107417</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611893</v>
      </c>
      <c r="D6880" s="2" t="str">
        <f t="shared" si="106"/>
        <v>Error?</v>
      </c>
    </row>
    <row r="6881" spans="1:4" x14ac:dyDescent="0.2">
      <c r="A6881">
        <v>6820</v>
      </c>
      <c r="B6881" s="1817">
        <f>'Expenditures 15-22'!K22</f>
        <v>611893</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t="str">
        <f>'Expenditures 15-22'!H29</f>
        <v xml:space="preserve"> </v>
      </c>
      <c r="D6894" s="2" t="e">
        <f t="shared" si="106"/>
        <v>#VALUE!</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56129</v>
      </c>
      <c r="D6983" s="2" t="str">
        <f t="shared" si="108"/>
        <v>Error?</v>
      </c>
    </row>
    <row r="6984" spans="1:4" x14ac:dyDescent="0.2">
      <c r="A6984">
        <v>6923</v>
      </c>
      <c r="B6984" s="1817">
        <f>'Expenditures 15-22'!K86</f>
        <v>56129</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49901</v>
      </c>
      <c r="D6987" s="2" t="str">
        <f t="shared" si="108"/>
        <v>Error?</v>
      </c>
    </row>
    <row r="6988" spans="1:4" x14ac:dyDescent="0.2">
      <c r="A6988">
        <v>6927</v>
      </c>
      <c r="B6988" s="1817">
        <f>'Expenditures 15-22'!K88</f>
        <v>49901</v>
      </c>
      <c r="D6988" s="2" t="str">
        <f t="shared" si="108"/>
        <v>Error?</v>
      </c>
    </row>
    <row r="6989" spans="1:4" x14ac:dyDescent="0.2">
      <c r="A6989">
        <v>6928</v>
      </c>
      <c r="B6989" s="1817">
        <f>'Expenditures 15-22'!H89</f>
        <v>5750</v>
      </c>
      <c r="D6989" s="2" t="str">
        <f t="shared" si="108"/>
        <v>Error?</v>
      </c>
    </row>
    <row r="6990" spans="1:4" x14ac:dyDescent="0.2">
      <c r="A6990">
        <v>6929</v>
      </c>
      <c r="B6990" s="1817">
        <f>'Expenditures 15-22'!K89</f>
        <v>5750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111780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772961</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1257652</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1946</v>
      </c>
      <c r="D7067" s="2" t="str">
        <f t="shared" si="109"/>
        <v>Error?</v>
      </c>
    </row>
    <row r="7068" spans="1:4" x14ac:dyDescent="0.2">
      <c r="A7068">
        <v>7007</v>
      </c>
      <c r="B7068" s="1817">
        <f>'Expenditures 15-22'!K205</f>
        <v>1946</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14453</v>
      </c>
      <c r="D7073" s="2" t="str">
        <f t="shared" si="109"/>
        <v>Error?</v>
      </c>
    </row>
    <row r="7074" spans="1:4" x14ac:dyDescent="0.2">
      <c r="A7074">
        <v>7013</v>
      </c>
      <c r="B7074" s="1817">
        <f>'Expenditures 15-22'!K216</f>
        <v>14453</v>
      </c>
      <c r="D7074" s="2" t="str">
        <f t="shared" si="109"/>
        <v>Error?</v>
      </c>
    </row>
    <row r="7075" spans="1:4" x14ac:dyDescent="0.2">
      <c r="A7075">
        <v>7014</v>
      </c>
      <c r="B7075" s="1817">
        <f>'Expenditures 15-22'!D218</f>
        <v>5716</v>
      </c>
      <c r="D7075" s="2" t="str">
        <f t="shared" si="109"/>
        <v>Error?</v>
      </c>
    </row>
    <row r="7076" spans="1:4" x14ac:dyDescent="0.2">
      <c r="A7076">
        <v>7015</v>
      </c>
      <c r="B7076" s="1817">
        <f>'Expenditures 15-22'!K218</f>
        <v>5716</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1256</v>
      </c>
      <c r="D7079" s="2" t="str">
        <f t="shared" si="109"/>
        <v>Error?</v>
      </c>
    </row>
    <row r="7080" spans="1:4" x14ac:dyDescent="0.2">
      <c r="A7080">
        <v>7019</v>
      </c>
      <c r="B7080" s="1817">
        <f>'Expenditures 15-22'!K226</f>
        <v>1256</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30697</v>
      </c>
      <c r="D7093" s="2" t="str">
        <f t="shared" si="109"/>
        <v>Error?</v>
      </c>
    </row>
    <row r="7094" spans="1:4" x14ac:dyDescent="0.2">
      <c r="A7094">
        <v>7033</v>
      </c>
      <c r="B7094" s="1817">
        <f>'Expenditures 15-22'!K254</f>
        <v>30697</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53077</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53077</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12750</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12750</v>
      </c>
      <c r="D7153" s="2" t="str">
        <f t="shared" si="110"/>
        <v>Error?</v>
      </c>
    </row>
    <row r="7154" spans="1:4" x14ac:dyDescent="0.2">
      <c r="A7154">
        <v>7093</v>
      </c>
      <c r="B7154" s="1817">
        <f>'Expenditures 15-22'!C323</f>
        <v>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0</v>
      </c>
      <c r="D7156" s="2" t="str">
        <f t="shared" si="110"/>
        <v>Error?</v>
      </c>
    </row>
    <row r="7157" spans="1:4" x14ac:dyDescent="0.2">
      <c r="A7157">
        <v>7096</v>
      </c>
      <c r="B7157" s="1817">
        <f>'Expenditures 15-22'!F323</f>
        <v>0</v>
      </c>
      <c r="D7157" s="2" t="str">
        <f t="shared" si="110"/>
        <v>Error?</v>
      </c>
    </row>
    <row r="7158" spans="1:4" x14ac:dyDescent="0.2">
      <c r="A7158">
        <v>7097</v>
      </c>
      <c r="B7158" s="1817">
        <f>'Expenditures 15-22'!G323</f>
        <v>0</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0</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474816</v>
      </c>
      <c r="D7172" s="2" t="str">
        <f t="shared" si="111"/>
        <v>Error?</v>
      </c>
    </row>
    <row r="7173" spans="1:4" x14ac:dyDescent="0.2">
      <c r="A7173">
        <v>7112</v>
      </c>
      <c r="B7173" s="1817">
        <f>'Expenditures 15-22'!D325</f>
        <v>67729</v>
      </c>
      <c r="D7173" s="2" t="str">
        <f t="shared" si="111"/>
        <v>Error?</v>
      </c>
    </row>
    <row r="7174" spans="1:4" x14ac:dyDescent="0.2">
      <c r="A7174">
        <v>7113</v>
      </c>
      <c r="B7174" s="1817">
        <f>'Expenditures 15-22'!E325</f>
        <v>28106</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570651</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0</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0</v>
      </c>
      <c r="D7198" s="2" t="str">
        <f t="shared" si="111"/>
        <v>Error?</v>
      </c>
    </row>
    <row r="7199" spans="1:4" x14ac:dyDescent="0.2">
      <c r="A7199">
        <v>7138</v>
      </c>
      <c r="B7199" s="1817">
        <f>'Expenditures 15-22'!C330</f>
        <v>474816</v>
      </c>
      <c r="D7199" s="2" t="str">
        <f t="shared" si="111"/>
        <v>Error?</v>
      </c>
    </row>
    <row r="7200" spans="1:4" x14ac:dyDescent="0.2">
      <c r="A7200">
        <v>7139</v>
      </c>
      <c r="B7200" s="1817">
        <f>'Expenditures 15-22'!D330</f>
        <v>67729</v>
      </c>
      <c r="D7200" s="2" t="str">
        <f t="shared" si="111"/>
        <v>Error?</v>
      </c>
    </row>
    <row r="7201" spans="1:4" x14ac:dyDescent="0.2">
      <c r="A7201">
        <v>7140</v>
      </c>
      <c r="B7201" s="1817">
        <f>'Expenditures 15-22'!E330</f>
        <v>230416</v>
      </c>
      <c r="D7201" s="2" t="str">
        <f t="shared" si="111"/>
        <v>Error?</v>
      </c>
    </row>
    <row r="7202" spans="1:4" x14ac:dyDescent="0.2">
      <c r="A7202">
        <v>7141</v>
      </c>
      <c r="B7202" s="1817">
        <f>'Expenditures 15-22'!F330</f>
        <v>0</v>
      </c>
      <c r="D7202" s="2" t="str">
        <f t="shared" si="111"/>
        <v>Error?</v>
      </c>
    </row>
    <row r="7203" spans="1:4" x14ac:dyDescent="0.2">
      <c r="A7203">
        <v>7142</v>
      </c>
      <c r="B7203" s="1817">
        <f>'Expenditures 15-22'!G330</f>
        <v>0</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772961</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474816</v>
      </c>
      <c r="D7216" s="2" t="str">
        <f t="shared" si="111"/>
        <v>Error?</v>
      </c>
    </row>
    <row r="7217" spans="1:4" x14ac:dyDescent="0.2">
      <c r="A7217">
        <v>7156</v>
      </c>
      <c r="B7217" s="1817">
        <f>'Expenditures 15-22'!D342</f>
        <v>67729</v>
      </c>
      <c r="D7217" s="2" t="str">
        <f t="shared" si="111"/>
        <v>Error?</v>
      </c>
    </row>
    <row r="7218" spans="1:4" x14ac:dyDescent="0.2">
      <c r="A7218">
        <v>7157</v>
      </c>
      <c r="B7218" s="1817">
        <f>'Expenditures 15-22'!E342</f>
        <v>230416</v>
      </c>
      <c r="D7218" s="2" t="str">
        <f t="shared" si="111"/>
        <v>Error?</v>
      </c>
    </row>
    <row r="7219" spans="1:4" x14ac:dyDescent="0.2">
      <c r="A7219">
        <v>7158</v>
      </c>
      <c r="B7219" s="1817">
        <f>'Expenditures 15-22'!F342</f>
        <v>0</v>
      </c>
      <c r="D7219" s="2" t="str">
        <f t="shared" si="111"/>
        <v>Error?</v>
      </c>
    </row>
    <row r="7220" spans="1:4" x14ac:dyDescent="0.2">
      <c r="A7220">
        <v>7159</v>
      </c>
      <c r="B7220" s="1817">
        <f>'Expenditures 15-22'!G342</f>
        <v>0</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772961</v>
      </c>
      <c r="D7224" s="2" t="str">
        <f t="shared" si="111"/>
        <v>Error?</v>
      </c>
    </row>
    <row r="7225" spans="1:4" x14ac:dyDescent="0.2">
      <c r="A7225">
        <v>7164</v>
      </c>
      <c r="B7225" s="1817">
        <f>'Expenditures 15-22'!K343</f>
        <v>484691</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40838</v>
      </c>
      <c r="D7246" s="2" t="str">
        <f t="shared" si="112"/>
        <v>Error?</v>
      </c>
    </row>
    <row r="7247" spans="1:4" x14ac:dyDescent="0.2">
      <c r="A7247">
        <f t="shared" si="113"/>
        <v>7186</v>
      </c>
      <c r="B7247" s="1817">
        <f>'Expenditures 15-22'!E7</f>
        <v>2568</v>
      </c>
      <c r="D7247" s="2" t="str">
        <f t="shared" si="112"/>
        <v>Error?</v>
      </c>
    </row>
    <row r="7248" spans="1:4" x14ac:dyDescent="0.2">
      <c r="A7248">
        <f t="shared" si="113"/>
        <v>7187</v>
      </c>
      <c r="B7248" s="1817">
        <f>'Expenditures 15-22'!F7</f>
        <v>28342</v>
      </c>
      <c r="D7248" s="2" t="str">
        <f t="shared" si="112"/>
        <v>Error?</v>
      </c>
    </row>
    <row r="7249" spans="1:4" x14ac:dyDescent="0.2">
      <c r="A7249">
        <f t="shared" si="113"/>
        <v>7188</v>
      </c>
      <c r="B7249" s="1817">
        <f>'Expenditures 15-22'!G7</f>
        <v>3884</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142035</v>
      </c>
      <c r="D7251" s="2" t="str">
        <f t="shared" si="112"/>
        <v>Error?</v>
      </c>
    </row>
    <row r="7252" spans="1:4" x14ac:dyDescent="0.2">
      <c r="A7252">
        <f t="shared" si="113"/>
        <v>7191</v>
      </c>
      <c r="B7252" s="1817">
        <f>'Expenditures 15-22'!D9</f>
        <v>30449</v>
      </c>
      <c r="D7252" s="2" t="str">
        <f t="shared" si="112"/>
        <v>Error?</v>
      </c>
    </row>
    <row r="7253" spans="1:4" x14ac:dyDescent="0.2">
      <c r="A7253">
        <f t="shared" si="113"/>
        <v>7192</v>
      </c>
      <c r="B7253" s="1817">
        <f>'Expenditures 15-22'!E9</f>
        <v>956</v>
      </c>
      <c r="D7253" s="2" t="str">
        <f t="shared" si="112"/>
        <v>Error?</v>
      </c>
    </row>
    <row r="7254" spans="1:4" x14ac:dyDescent="0.2">
      <c r="A7254">
        <f t="shared" si="113"/>
        <v>7193</v>
      </c>
      <c r="B7254" s="1817">
        <f>'Expenditures 15-22'!F9</f>
        <v>0</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96575</v>
      </c>
      <c r="D7263" s="2" t="str">
        <f t="shared" si="112"/>
        <v>Error?</v>
      </c>
    </row>
    <row r="7264" spans="1:4" x14ac:dyDescent="0.2">
      <c r="A7264">
        <f t="shared" si="113"/>
        <v>7203</v>
      </c>
      <c r="B7264" s="1817">
        <f>'Expenditures 15-22'!D17</f>
        <v>10473</v>
      </c>
      <c r="D7264" s="2" t="str">
        <f t="shared" si="112"/>
        <v>Error?</v>
      </c>
    </row>
    <row r="7265" spans="1:5" x14ac:dyDescent="0.2">
      <c r="A7265">
        <f t="shared" si="113"/>
        <v>7204</v>
      </c>
      <c r="B7265" s="1817">
        <f>'Expenditures 15-22'!E17</f>
        <v>369</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3635</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3635</v>
      </c>
      <c r="D7609" s="2" t="str">
        <f t="shared" si="122"/>
        <v>Error?</v>
      </c>
      <c r="E7609" s="2" t="s">
        <v>19</v>
      </c>
    </row>
    <row r="7610" spans="1:5" x14ac:dyDescent="0.2">
      <c r="A7610">
        <f t="shared" si="123"/>
        <v>7549</v>
      </c>
      <c r="B7610" s="1817">
        <f>'Cap Outlay Deprec 26'!H9</f>
        <v>728</v>
      </c>
      <c r="D7610" s="2" t="str">
        <f t="shared" si="122"/>
        <v>Error?</v>
      </c>
      <c r="E7610" s="2" t="s">
        <v>19</v>
      </c>
    </row>
    <row r="7611" spans="1:5" x14ac:dyDescent="0.2">
      <c r="A7611">
        <f t="shared" si="123"/>
        <v>7550</v>
      </c>
      <c r="B7611" s="1817">
        <f>'Cap Outlay Deprec 26'!I9</f>
        <v>182</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910</v>
      </c>
      <c r="D7613" s="2" t="str">
        <f t="shared" si="122"/>
        <v>Error?</v>
      </c>
      <c r="E7613" s="2" t="s">
        <v>19</v>
      </c>
    </row>
    <row r="7614" spans="1:5" x14ac:dyDescent="0.2">
      <c r="A7614">
        <f t="shared" si="123"/>
        <v>7553</v>
      </c>
      <c r="B7614" s="1817">
        <f>'Cap Outlay Deprec 26'!L9</f>
        <v>2725</v>
      </c>
      <c r="D7614" s="2" t="str">
        <f t="shared" si="122"/>
        <v>Error?</v>
      </c>
      <c r="E7614" s="2" t="s">
        <v>19</v>
      </c>
    </row>
    <row r="7615" spans="1:5" x14ac:dyDescent="0.2">
      <c r="A7615">
        <f t="shared" si="123"/>
        <v>7554</v>
      </c>
      <c r="B7615" s="1817">
        <f>'Cap Outlay Deprec 26'!C14</f>
        <v>0</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0</v>
      </c>
      <c r="D7618" s="2" t="str">
        <f t="shared" si="124"/>
        <v>Error?</v>
      </c>
      <c r="E7618" s="2" t="s">
        <v>19</v>
      </c>
    </row>
    <row r="7619" spans="1:5" x14ac:dyDescent="0.2">
      <c r="A7619">
        <f t="shared" si="123"/>
        <v>7558</v>
      </c>
      <c r="B7619" s="1817">
        <f>'Cap Outlay Deprec 26'!H14</f>
        <v>0</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0</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1893615</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62555</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62555</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73928</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73928</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908</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0</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9320</v>
      </c>
      <c r="D7712" s="2" t="str">
        <f t="shared" si="126"/>
        <v>Error?</v>
      </c>
      <c r="E7712" s="2" t="s">
        <v>821</v>
      </c>
    </row>
    <row r="7713" spans="1:6" x14ac:dyDescent="0.2">
      <c r="A7713">
        <v>7652</v>
      </c>
      <c r="B7713" s="1817">
        <f>'Rest Tax Levies-Tort Im 25'!J8</f>
        <v>0</v>
      </c>
      <c r="D7713" s="2" t="str">
        <f t="shared" si="126"/>
        <v>Error?</v>
      </c>
      <c r="E7713" s="2" t="s">
        <v>821</v>
      </c>
    </row>
    <row r="7714" spans="1:6" x14ac:dyDescent="0.2">
      <c r="A7714">
        <v>7653</v>
      </c>
      <c r="B7714" s="1817">
        <f>'Rest Tax Levies-Tort Im 25'!K9</f>
        <v>17244</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0</v>
      </c>
      <c r="D7718" s="2" t="str">
        <f t="shared" si="126"/>
        <v>Error?</v>
      </c>
      <c r="E7718" s="2" t="s">
        <v>821</v>
      </c>
    </row>
    <row r="7719" spans="1:6" x14ac:dyDescent="0.2">
      <c r="A7719">
        <v>7658</v>
      </c>
      <c r="B7719" s="1817">
        <f>'Rest Tax Levies-Tort Im 25'!K12</f>
        <v>26564</v>
      </c>
      <c r="D7719" s="2" t="str">
        <f t="shared" si="126"/>
        <v>Error?</v>
      </c>
      <c r="E7719" s="2" t="s">
        <v>821</v>
      </c>
    </row>
    <row r="7720" spans="1:6" x14ac:dyDescent="0.2">
      <c r="A7720">
        <v>7659</v>
      </c>
      <c r="B7720" s="1817">
        <f>'Rest Tax Levies-Tort Im 25'!H14</f>
        <v>186766</v>
      </c>
      <c r="D7720" s="2" t="str">
        <f t="shared" si="126"/>
        <v>Error?</v>
      </c>
      <c r="E7720" s="2" t="s">
        <v>821</v>
      </c>
    </row>
    <row r="7721" spans="1:6" x14ac:dyDescent="0.2">
      <c r="A7721">
        <v>7660</v>
      </c>
      <c r="B7721" s="1817">
        <f>'Rest Tax Levies-Tort Im 25'!K14</f>
        <v>26564</v>
      </c>
      <c r="D7721" s="2" t="str">
        <f t="shared" si="126"/>
        <v>Error?</v>
      </c>
      <c r="E7721" s="2" t="s">
        <v>821</v>
      </c>
    </row>
    <row r="7722" spans="1:6" x14ac:dyDescent="0.2">
      <c r="A7722">
        <v>7661</v>
      </c>
      <c r="B7722" s="1817">
        <f>'Rest Tax Levies-Tort Im 25'!J15</f>
        <v>0</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0</v>
      </c>
      <c r="D7730" s="2" t="str">
        <f t="shared" si="126"/>
        <v>Error?</v>
      </c>
      <c r="E7730" s="2" t="s">
        <v>821</v>
      </c>
    </row>
    <row r="7731" spans="1:6" x14ac:dyDescent="0.2">
      <c r="A7731">
        <v>7670</v>
      </c>
      <c r="B7731" s="1817">
        <f>'Revenues 9-14'!H103</f>
        <v>0</v>
      </c>
      <c r="D7731" s="2" t="str">
        <f t="shared" si="126"/>
        <v>Error?</v>
      </c>
      <c r="E7731" s="2" t="s">
        <v>821</v>
      </c>
    </row>
    <row r="7732" spans="1:6" x14ac:dyDescent="0.2">
      <c r="A7732">
        <v>7671</v>
      </c>
      <c r="B7732" s="1817">
        <f>'Rest Tax Levies-Tort Im 25'!J24</f>
        <v>908</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908</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1000000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1402</v>
      </c>
    </row>
    <row r="7762" spans="1:5" x14ac:dyDescent="0.2">
      <c r="A7762">
        <v>7701</v>
      </c>
      <c r="B7762" s="1817" t="str">
        <f>'Expenditures 15-22'!E6</f>
        <v xml:space="preserve"> </v>
      </c>
      <c r="D7762" s="2" t="e">
        <f t="shared" si="127"/>
        <v>#VALUE!</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t="str">
        <f>'Revenues 9-14'!C254</f>
        <v xml:space="preserve"> </v>
      </c>
      <c r="D7765" s="2" t="e">
        <f t="shared" si="127"/>
        <v>#VALUE!</v>
      </c>
      <c r="E7765" s="4" t="s">
        <v>1444</v>
      </c>
    </row>
    <row r="7766" spans="1:5" x14ac:dyDescent="0.2">
      <c r="A7766">
        <v>7705</v>
      </c>
      <c r="B7766" s="1817" t="str">
        <f>'Revenues 9-14'!D254</f>
        <v xml:space="preserve"> </v>
      </c>
      <c r="D7766" s="2" t="e">
        <f t="shared" si="127"/>
        <v>#VALUE!</v>
      </c>
      <c r="E7766" s="4" t="s">
        <v>1444</v>
      </c>
    </row>
    <row r="7767" spans="1:5" x14ac:dyDescent="0.2">
      <c r="A7767" s="126">
        <v>7706</v>
      </c>
      <c r="B7767" s="1817"/>
      <c r="D7767" s="4" t="s">
        <v>1994</v>
      </c>
      <c r="E7767" s="4"/>
    </row>
    <row r="7768" spans="1:5" x14ac:dyDescent="0.2">
      <c r="A7768">
        <v>7707</v>
      </c>
      <c r="B7768" s="1817" t="str">
        <f>'Revenues 9-14'!F254</f>
        <v xml:space="preserve"> </v>
      </c>
      <c r="D7768" s="2" t="e">
        <f t="shared" si="127"/>
        <v>#VALUE!</v>
      </c>
      <c r="E7768" s="4" t="s">
        <v>1444</v>
      </c>
    </row>
    <row r="7769" spans="1:5" x14ac:dyDescent="0.2">
      <c r="A7769">
        <v>7708</v>
      </c>
      <c r="B7769" s="1817" t="str">
        <f>'Revenues 9-14'!G254</f>
        <v xml:space="preserve"> </v>
      </c>
      <c r="D7769" s="2" t="e">
        <f t="shared" si="127"/>
        <v>#VALUE!</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26564</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23344337</v>
      </c>
      <c r="D7817" s="2" t="str">
        <f t="shared" si="128"/>
        <v>Error?</v>
      </c>
      <c r="E7817" s="4" t="s">
        <v>1963</v>
      </c>
    </row>
    <row r="7818" spans="1:5" x14ac:dyDescent="0.2">
      <c r="A7818">
        <v>7757</v>
      </c>
      <c r="B7818" s="1817">
        <f>'PCTC-OEPP 27-28'!F172</f>
        <v>612399</v>
      </c>
      <c r="D7818" s="2" t="str">
        <f t="shared" si="128"/>
        <v>Error?</v>
      </c>
      <c r="E7818" s="4" t="s">
        <v>1977</v>
      </c>
    </row>
    <row r="7819" spans="1:5" x14ac:dyDescent="0.2">
      <c r="A7819">
        <v>7758</v>
      </c>
      <c r="B7819" s="1817">
        <f>'PCTC-OEPP 27-28'!F173</f>
        <v>17</v>
      </c>
      <c r="D7819" s="2" t="str">
        <f t="shared" si="128"/>
        <v>Error?</v>
      </c>
      <c r="E7819" s="4" t="s">
        <v>1977</v>
      </c>
    </row>
    <row r="7820" spans="1:5" x14ac:dyDescent="0.2">
      <c r="A7820">
        <v>7759</v>
      </c>
      <c r="B7820" s="1817">
        <f>'ICR Computation 30'!E40</f>
        <v>0</v>
      </c>
      <c r="D7820" s="2" t="str">
        <f t="shared" si="128"/>
        <v>Error?</v>
      </c>
    </row>
    <row r="7821" spans="1:5" x14ac:dyDescent="0.2">
      <c r="A7821">
        <v>7760</v>
      </c>
      <c r="B7821" s="1817">
        <f>'ICR Computation 30'!G40</f>
        <v>0</v>
      </c>
      <c r="D7821" s="2" t="str">
        <f t="shared" si="128"/>
        <v>Error?</v>
      </c>
    </row>
    <row r="7822" spans="1:5" x14ac:dyDescent="0.2">
      <c r="A7822" s="1">
        <v>7761</v>
      </c>
      <c r="B7822" s="1817">
        <f>'PCTC-OEPP 27-28'!F14</f>
        <v>22572182</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296267</v>
      </c>
      <c r="D7826" s="2" t="str">
        <f t="shared" si="129"/>
        <v>Error?</v>
      </c>
      <c r="E7826" s="4" t="s">
        <v>1995</v>
      </c>
    </row>
    <row r="7827" spans="1:5" x14ac:dyDescent="0.2">
      <c r="A7827">
        <v>7766</v>
      </c>
      <c r="B7827" s="1817">
        <f>'PCTC-OEPP 27-28'!F35</f>
        <v>173440</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512</v>
      </c>
      <c r="D7829" s="2" t="str">
        <f t="shared" si="129"/>
        <v>Error?</v>
      </c>
      <c r="E7829" s="4" t="s">
        <v>1995</v>
      </c>
    </row>
    <row r="7830" spans="1:5" x14ac:dyDescent="0.2">
      <c r="A7830">
        <v>7769</v>
      </c>
      <c r="B7830" s="1817">
        <f>'PCTC-OEPP 27-28'!F38</f>
        <v>413</v>
      </c>
      <c r="D7830" s="2" t="str">
        <f t="shared" si="129"/>
        <v>Error?</v>
      </c>
      <c r="E7830" s="4" t="s">
        <v>1995</v>
      </c>
    </row>
    <row r="7831" spans="1:5" x14ac:dyDescent="0.2">
      <c r="A7831">
        <v>7770</v>
      </c>
      <c r="B7831" s="1817">
        <f>'PCTC-OEPP 27-28'!F52</f>
        <v>1015</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4558195</v>
      </c>
      <c r="D7834" s="2" t="str">
        <f t="shared" si="129"/>
        <v>Error?</v>
      </c>
      <c r="E7834" s="4" t="s">
        <v>1995</v>
      </c>
    </row>
    <row r="7835" spans="1:5" x14ac:dyDescent="0.2">
      <c r="A7835">
        <v>7774</v>
      </c>
      <c r="B7835" s="1817">
        <f>'PCTC-OEPP 27-28'!F78</f>
        <v>18013987</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11228.565106276881</v>
      </c>
      <c r="D7837" s="2" t="str">
        <f t="shared" si="129"/>
        <v>Error?</v>
      </c>
      <c r="E7837" s="4" t="s">
        <v>1995</v>
      </c>
    </row>
    <row r="7838" spans="1:5" x14ac:dyDescent="0.2">
      <c r="A7838">
        <v>7777</v>
      </c>
      <c r="B7838" s="1817">
        <f>'PCTC-OEPP 27-28'!F96</f>
        <v>54537</v>
      </c>
      <c r="D7838" s="2" t="str">
        <f t="shared" si="129"/>
        <v>Error?</v>
      </c>
      <c r="E7838" s="4" t="s">
        <v>1995</v>
      </c>
    </row>
    <row r="7839" spans="1:5" x14ac:dyDescent="0.2">
      <c r="A7839">
        <v>7778</v>
      </c>
      <c r="B7839" s="1817">
        <f>'PCTC-OEPP 27-28'!F102</f>
        <v>16260</v>
      </c>
      <c r="D7839" s="2" t="str">
        <f t="shared" si="129"/>
        <v>Error?</v>
      </c>
      <c r="E7839" s="4" t="s">
        <v>1995</v>
      </c>
    </row>
    <row r="7840" spans="1:5" x14ac:dyDescent="0.2">
      <c r="A7840">
        <v>7779</v>
      </c>
      <c r="B7840" s="1817">
        <f>'PCTC-OEPP 27-28'!F103</f>
        <v>90000</v>
      </c>
      <c r="D7840" s="2" t="str">
        <f t="shared" si="129"/>
        <v>Error?</v>
      </c>
      <c r="E7840" s="4" t="s">
        <v>1995</v>
      </c>
    </row>
    <row r="7841" spans="1:5" x14ac:dyDescent="0.2">
      <c r="A7841">
        <v>7780</v>
      </c>
      <c r="B7841" s="1817">
        <f>'PCTC-OEPP 27-28'!F104</f>
        <v>0</v>
      </c>
      <c r="D7841" s="2" t="str">
        <f t="shared" si="129"/>
        <v>Error?</v>
      </c>
      <c r="E7841" s="4" t="s">
        <v>1995</v>
      </c>
    </row>
    <row r="7842" spans="1:5" x14ac:dyDescent="0.2">
      <c r="A7842">
        <v>7781</v>
      </c>
      <c r="B7842" s="1817">
        <f>'PCTC-OEPP 27-28'!F106</f>
        <v>414737</v>
      </c>
      <c r="D7842" s="2" t="str">
        <f t="shared" si="129"/>
        <v>Error?</v>
      </c>
      <c r="E7842" s="4" t="s">
        <v>1995</v>
      </c>
    </row>
    <row r="7843" spans="1:5" x14ac:dyDescent="0.2">
      <c r="A7843">
        <v>7782</v>
      </c>
      <c r="B7843" s="1817">
        <f>'PCTC-OEPP 27-28'!F107</f>
        <v>9633</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17245</v>
      </c>
      <c r="D7846" s="2" t="str">
        <f t="shared" si="129"/>
        <v>Error?</v>
      </c>
      <c r="E7846" s="4" t="s">
        <v>1995</v>
      </c>
    </row>
    <row r="7847" spans="1:5" x14ac:dyDescent="0.2">
      <c r="A7847">
        <v>7786</v>
      </c>
      <c r="B7847" s="1817">
        <f>'PCTC-OEPP 27-28'!F112</f>
        <v>612185</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33644</v>
      </c>
      <c r="D7855" s="2" t="str">
        <f t="shared" si="129"/>
        <v>Error?</v>
      </c>
      <c r="E7855" s="4" t="s">
        <v>1995</v>
      </c>
    </row>
    <row r="7856" spans="1:5" x14ac:dyDescent="0.2">
      <c r="A7856">
        <v>7795</v>
      </c>
      <c r="B7856" s="1817">
        <f>'PCTC-OEPP 27-28'!F124</f>
        <v>0</v>
      </c>
      <c r="D7856" s="2" t="str">
        <f t="shared" si="129"/>
        <v>Error?</v>
      </c>
      <c r="E7856" s="4" t="s">
        <v>1995</v>
      </c>
    </row>
    <row r="7857" spans="1:5" x14ac:dyDescent="0.2">
      <c r="A7857">
        <v>7796</v>
      </c>
      <c r="B7857" s="1817">
        <f>'PCTC-OEPP 27-28'!F125</f>
        <v>0</v>
      </c>
      <c r="D7857" s="2" t="str">
        <f t="shared" si="129"/>
        <v>Error?</v>
      </c>
      <c r="E7857" s="4" t="s">
        <v>1995</v>
      </c>
    </row>
    <row r="7858" spans="1:5" x14ac:dyDescent="0.2">
      <c r="A7858">
        <v>7797</v>
      </c>
      <c r="B7858" s="1817">
        <f>'PCTC-OEPP 27-28'!F126</f>
        <v>434806</v>
      </c>
      <c r="D7858" s="2" t="str">
        <f t="shared" si="129"/>
        <v>Error?</v>
      </c>
      <c r="E7858" s="4" t="s">
        <v>1995</v>
      </c>
    </row>
    <row r="7859" spans="1:5" x14ac:dyDescent="0.2">
      <c r="A7859">
        <v>7798</v>
      </c>
      <c r="B7859" s="1817">
        <f>'PCTC-OEPP 27-28'!F127</f>
        <v>529845</v>
      </c>
      <c r="D7859" s="2" t="str">
        <f t="shared" si="129"/>
        <v>Error?</v>
      </c>
      <c r="E7859" s="4" t="s">
        <v>1995</v>
      </c>
    </row>
    <row r="7860" spans="1:5" x14ac:dyDescent="0.2">
      <c r="A7860">
        <v>7799</v>
      </c>
      <c r="B7860" s="1817">
        <f>'PCTC-OEPP 27-28'!F128</f>
        <v>51856</v>
      </c>
      <c r="D7860" s="2" t="str">
        <f t="shared" si="129"/>
        <v>Error?</v>
      </c>
      <c r="E7860" s="4" t="s">
        <v>1995</v>
      </c>
    </row>
    <row r="7861" spans="1:5" x14ac:dyDescent="0.2">
      <c r="A7861">
        <v>7800</v>
      </c>
      <c r="B7861" s="1817">
        <f>'PCTC-OEPP 27-28'!F129</f>
        <v>563063</v>
      </c>
      <c r="D7861" s="2" t="str">
        <f t="shared" si="129"/>
        <v>Error?</v>
      </c>
      <c r="E7861" s="4" t="s">
        <v>1995</v>
      </c>
    </row>
    <row r="7862" spans="1:5" x14ac:dyDescent="0.2">
      <c r="A7862">
        <v>7801</v>
      </c>
      <c r="B7862" s="1817">
        <f>'PCTC-OEPP 27-28'!F130</f>
        <v>0</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0</v>
      </c>
      <c r="D7865" s="2" t="str">
        <f t="shared" si="129"/>
        <v>Error?</v>
      </c>
      <c r="E7865" s="4" t="s">
        <v>1995</v>
      </c>
    </row>
    <row r="7866" spans="1:5" x14ac:dyDescent="0.2">
      <c r="A7866">
        <v>7805</v>
      </c>
      <c r="B7866" s="1817">
        <f>'PCTC-OEPP 27-28'!F158</f>
        <v>0</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97711</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0</v>
      </c>
      <c r="D7874" s="2" t="str">
        <f t="shared" si="129"/>
        <v>Error?</v>
      </c>
      <c r="E7874" s="4" t="s">
        <v>1995</v>
      </c>
    </row>
    <row r="7875" spans="1:5" x14ac:dyDescent="0.2">
      <c r="A7875">
        <v>7814</v>
      </c>
      <c r="B7875" s="1817">
        <f>'PCTC-OEPP 27-28'!F170</f>
        <v>86712</v>
      </c>
      <c r="D7875" s="2" t="str">
        <f t="shared" si="129"/>
        <v>Error?</v>
      </c>
      <c r="E7875" s="4" t="s">
        <v>1995</v>
      </c>
    </row>
    <row r="7876" spans="1:5" x14ac:dyDescent="0.2">
      <c r="A7876">
        <v>7815</v>
      </c>
      <c r="B7876" s="1817">
        <f>'PCTC-OEPP 27-28'!F171</f>
        <v>738</v>
      </c>
      <c r="D7876" s="2" t="str">
        <f t="shared" si="129"/>
        <v>Error?</v>
      </c>
      <c r="E7876" s="4" t="s">
        <v>1995</v>
      </c>
    </row>
    <row r="7877" spans="1:5" x14ac:dyDescent="0.2">
      <c r="A7877">
        <v>7816</v>
      </c>
      <c r="B7877" s="1817">
        <f>'PCTC-OEPP 27-28'!F175</f>
        <v>3970252</v>
      </c>
      <c r="D7877" s="2" t="str">
        <f t="shared" si="129"/>
        <v>Error?</v>
      </c>
      <c r="E7877" s="4" t="s">
        <v>1995</v>
      </c>
    </row>
    <row r="7878" spans="1:5" x14ac:dyDescent="0.2">
      <c r="A7878">
        <v>7817</v>
      </c>
      <c r="B7878" s="1817">
        <f>'PCTC-OEPP 27-28'!F176</f>
        <v>14043735</v>
      </c>
      <c r="D7878" s="2" t="str">
        <f t="shared" si="129"/>
        <v>Error?</v>
      </c>
      <c r="E7878" s="4" t="s">
        <v>1995</v>
      </c>
    </row>
    <row r="7879" spans="1:5" x14ac:dyDescent="0.2">
      <c r="A7879">
        <v>7818</v>
      </c>
      <c r="B7879" s="1817">
        <f>'PCTC-OEPP 27-28'!F178</f>
        <v>15937350</v>
      </c>
      <c r="D7879" s="2" t="str">
        <f t="shared" si="129"/>
        <v>Error?</v>
      </c>
      <c r="E7879" s="4" t="s">
        <v>1995</v>
      </c>
    </row>
    <row r="7880" spans="1:5" x14ac:dyDescent="0.2">
      <c r="A7880">
        <v>7819</v>
      </c>
      <c r="B7880" s="1817">
        <f>'PCTC-OEPP 27-28'!F180</f>
        <v>9934.1457333416438</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26" sqref="H2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9" t="s">
        <v>1180</v>
      </c>
      <c r="B2" s="2519"/>
      <c r="C2" s="2519"/>
      <c r="D2" s="2519"/>
      <c r="E2" s="2519"/>
      <c r="F2" s="2519"/>
      <c r="G2" s="2519"/>
      <c r="H2" s="2519"/>
      <c r="I2" s="2519"/>
      <c r="J2" s="2519"/>
      <c r="K2" s="2519"/>
      <c r="L2" s="2519"/>
    </row>
    <row r="3" spans="1:29" ht="13.5" customHeight="1" x14ac:dyDescent="0.2">
      <c r="A3" s="2505" t="s">
        <v>1179</v>
      </c>
      <c r="B3" s="2505"/>
      <c r="C3" s="2505"/>
      <c r="D3" s="2505"/>
      <c r="E3" s="2505"/>
      <c r="F3" s="2505"/>
      <c r="G3" s="2505"/>
      <c r="H3" s="2505"/>
      <c r="I3" s="2505"/>
      <c r="J3" s="2505"/>
      <c r="K3" s="2505"/>
      <c r="L3" s="2505"/>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499" t="str">
        <f>COVER!A17</f>
        <v xml:space="preserve">  Clinton CUSD 15</v>
      </c>
      <c r="B7" s="2500"/>
      <c r="C7" s="2500"/>
      <c r="D7" s="2538"/>
      <c r="E7" s="2539">
        <f>COVER!A13</f>
        <v>17020015026</v>
      </c>
      <c r="F7" s="2540"/>
      <c r="G7" s="2506" t="str">
        <f>COVER!T23</f>
        <v>066-003845</v>
      </c>
      <c r="H7" s="2507"/>
      <c r="I7" s="2507"/>
      <c r="J7" s="2507"/>
      <c r="K7" s="2507"/>
      <c r="L7" s="2508"/>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09"/>
      <c r="B9" s="2510"/>
      <c r="C9" s="2510"/>
      <c r="D9" s="2510"/>
      <c r="E9" s="2510"/>
      <c r="F9" s="2511"/>
      <c r="G9" s="2512" t="str">
        <f>COVER!T13</f>
        <v>MOSE, YOCKEY, BROWN &amp; KULL, LLC</v>
      </c>
      <c r="H9" s="2513"/>
      <c r="I9" s="2513"/>
      <c r="J9" s="2513"/>
      <c r="K9" s="2513"/>
      <c r="L9" s="2514"/>
    </row>
    <row r="10" spans="1:29" ht="13.5" customHeight="1" x14ac:dyDescent="0.2">
      <c r="A10" s="2496" t="str">
        <f>COVER!A38</f>
        <v>CURT NETTLES</v>
      </c>
      <c r="B10" s="2497"/>
      <c r="C10" s="2497"/>
      <c r="D10" s="2497"/>
      <c r="E10" s="2497"/>
      <c r="F10" s="2498"/>
      <c r="G10" s="2512" t="str">
        <f>COVER!T17</f>
        <v>230 N MORGAN, PO BOX 317</v>
      </c>
      <c r="H10" s="2525"/>
      <c r="I10" s="2525"/>
      <c r="J10" s="2525"/>
      <c r="K10" s="2525"/>
      <c r="L10" s="2526"/>
    </row>
    <row r="11" spans="1:29" ht="13.5" customHeight="1" x14ac:dyDescent="0.2">
      <c r="A11" s="963" t="s">
        <v>1499</v>
      </c>
      <c r="B11" s="964"/>
      <c r="C11" s="965"/>
      <c r="D11" s="970"/>
      <c r="E11" s="965"/>
      <c r="F11" s="969"/>
      <c r="G11" s="2512" t="str">
        <f>COVER!T19</f>
        <v>SHELBYVILLE</v>
      </c>
      <c r="H11" s="2525"/>
      <c r="I11" s="2525"/>
      <c r="J11" s="2525"/>
      <c r="K11" s="2525"/>
      <c r="L11" s="2526"/>
    </row>
    <row r="12" spans="1:29" ht="13.5" customHeight="1" x14ac:dyDescent="0.2">
      <c r="A12" s="2530" t="s">
        <v>1498</v>
      </c>
      <c r="B12" s="2531"/>
      <c r="C12" s="2531"/>
      <c r="D12" s="2531"/>
      <c r="E12" s="2531"/>
      <c r="F12" s="2532"/>
      <c r="G12" s="2527"/>
      <c r="H12" s="2528"/>
      <c r="I12" s="2528"/>
      <c r="J12" s="2528"/>
      <c r="K12" s="2528"/>
      <c r="L12" s="2529"/>
    </row>
    <row r="13" spans="1:29" ht="13.5" customHeight="1" x14ac:dyDescent="0.2">
      <c r="A13" s="2512"/>
      <c r="B13" s="2525"/>
      <c r="C13" s="2525"/>
      <c r="D13" s="2525"/>
      <c r="E13" s="2525"/>
      <c r="F13" s="2526"/>
      <c r="G13" s="2520" t="s">
        <v>1500</v>
      </c>
      <c r="H13" s="2521"/>
      <c r="I13" s="2533" t="str">
        <f>COVER!T25</f>
        <v>mybkcpas@consolidated.net</v>
      </c>
      <c r="J13" s="2534"/>
      <c r="K13" s="2534"/>
      <c r="L13" s="2535"/>
    </row>
    <row r="14" spans="1:29" ht="13.5" customHeight="1" x14ac:dyDescent="0.2">
      <c r="A14" s="2512" t="str">
        <f>COVER!A19</f>
        <v>1210 STATE ROUTE 54 WEST</v>
      </c>
      <c r="B14" s="2525"/>
      <c r="C14" s="2525"/>
      <c r="D14" s="2525"/>
      <c r="E14" s="2525"/>
      <c r="F14" s="2526"/>
      <c r="G14" s="974" t="s">
        <v>1174</v>
      </c>
      <c r="H14" s="972"/>
      <c r="I14" s="972"/>
      <c r="J14" s="972"/>
      <c r="K14" s="972"/>
      <c r="L14" s="973"/>
    </row>
    <row r="15" spans="1:29" ht="13.5" customHeight="1" x14ac:dyDescent="0.2">
      <c r="A15" s="2512" t="str">
        <f>COVER!A21</f>
        <v>CLINTON</v>
      </c>
      <c r="B15" s="2525"/>
      <c r="C15" s="2525"/>
      <c r="D15" s="2525"/>
      <c r="E15" s="2525"/>
      <c r="F15" s="2526"/>
      <c r="G15" s="2522" t="str">
        <f>COVER!T15</f>
        <v>KENT D. KULL</v>
      </c>
      <c r="H15" s="2523"/>
      <c r="I15" s="2523"/>
      <c r="J15" s="2523"/>
      <c r="K15" s="2523"/>
      <c r="L15" s="2524"/>
    </row>
    <row r="16" spans="1:29" ht="12.2" customHeight="1" x14ac:dyDescent="0.2">
      <c r="A16" s="2502">
        <f>COVER!A25</f>
        <v>61727</v>
      </c>
      <c r="B16" s="2503"/>
      <c r="C16" s="2503"/>
      <c r="D16" s="2503"/>
      <c r="E16" s="2503"/>
      <c r="F16" s="2504"/>
      <c r="G16" s="2515"/>
      <c r="H16" s="2516"/>
      <c r="I16" s="2516"/>
      <c r="J16" s="2516"/>
      <c r="K16" s="2516"/>
      <c r="L16" s="2517"/>
    </row>
    <row r="17" spans="1:13" ht="12.2" customHeight="1" x14ac:dyDescent="0.2">
      <c r="A17" s="2518"/>
      <c r="B17" s="2503"/>
      <c r="C17" s="2503"/>
      <c r="D17" s="2503"/>
      <c r="E17" s="2503"/>
      <c r="F17" s="2504"/>
      <c r="G17" s="974" t="s">
        <v>1173</v>
      </c>
      <c r="H17" s="972"/>
      <c r="I17" s="972"/>
      <c r="J17" s="972"/>
      <c r="K17" s="976" t="s">
        <v>1172</v>
      </c>
      <c r="L17" s="969"/>
      <c r="M17" s="962"/>
    </row>
    <row r="18" spans="1:13" ht="12.2" customHeight="1" x14ac:dyDescent="0.2">
      <c r="A18" s="2496"/>
      <c r="B18" s="2497"/>
      <c r="C18" s="2497"/>
      <c r="D18" s="2497"/>
      <c r="E18" s="2497"/>
      <c r="F18" s="2498"/>
      <c r="G18" s="2499" t="str">
        <f>COVER!T21</f>
        <v>217-774-9587</v>
      </c>
      <c r="H18" s="2500"/>
      <c r="I18" s="2500"/>
      <c r="J18" s="2500"/>
      <c r="K18" s="2499" t="str">
        <f>COVER!X21</f>
        <v>217-774-9589</v>
      </c>
      <c r="L18" s="250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1" t="str">
        <f>'Single Audit Cover'!A7</f>
        <v xml:space="preserve">  Clinton CUSD 15</v>
      </c>
      <c r="B1" s="2542"/>
      <c r="C1" s="2542"/>
      <c r="D1" s="2542"/>
    </row>
    <row r="2" spans="1:11" s="991" customFormat="1" ht="12.75" x14ac:dyDescent="0.2">
      <c r="A2" s="2543">
        <f>'Single Audit Cover'!E7</f>
        <v>17020015026</v>
      </c>
      <c r="B2" s="2544"/>
      <c r="C2" s="2544"/>
      <c r="D2" s="2544"/>
    </row>
    <row r="3" spans="1:11" s="991" customFormat="1" ht="12.75" x14ac:dyDescent="0.2">
      <c r="A3" s="2541" t="s">
        <v>1493</v>
      </c>
      <c r="B3" s="2542"/>
      <c r="C3" s="2542"/>
      <c r="D3" s="2542"/>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6" t="str">
        <f>'Single Audit Cover'!A7</f>
        <v xml:space="preserve">  Clinton CUSD 15</v>
      </c>
      <c r="B1" s="2546"/>
      <c r="C1" s="2546"/>
      <c r="D1" s="2546"/>
      <c r="E1" s="2546"/>
    </row>
    <row r="2" spans="1:5" x14ac:dyDescent="0.2">
      <c r="A2" s="2547">
        <f>'Single Audit Cover'!E7</f>
        <v>17020015026</v>
      </c>
      <c r="B2" s="2547"/>
      <c r="C2" s="2547"/>
      <c r="D2" s="2547"/>
      <c r="E2" s="2547"/>
    </row>
    <row r="3" spans="1:5" ht="4.5" customHeight="1" x14ac:dyDescent="0.2"/>
    <row r="4" spans="1:5" x14ac:dyDescent="0.2">
      <c r="A4" s="2546" t="s">
        <v>1233</v>
      </c>
      <c r="B4" s="2546"/>
      <c r="C4" s="2546"/>
      <c r="D4" s="2546"/>
      <c r="E4" s="2546"/>
    </row>
    <row r="5" spans="1:5" x14ac:dyDescent="0.2">
      <c r="A5" s="2549" t="str">
        <f>'Single Audit Cover'!A4</f>
        <v>Year Ending June 30, 2020</v>
      </c>
      <c r="B5" s="2549"/>
      <c r="C5" s="2549"/>
      <c r="D5" s="2549"/>
      <c r="E5" s="2549"/>
    </row>
    <row r="6" spans="1:5" x14ac:dyDescent="0.2">
      <c r="A6" s="2546" t="s">
        <v>1232</v>
      </c>
      <c r="B6" s="2546"/>
      <c r="C6" s="2546"/>
      <c r="D6" s="2546"/>
      <c r="E6" s="2546"/>
    </row>
    <row r="8" spans="1:5" x14ac:dyDescent="0.2">
      <c r="A8" s="1036" t="s">
        <v>1231</v>
      </c>
    </row>
    <row r="10" spans="1:5" x14ac:dyDescent="0.2">
      <c r="A10" s="1037" t="s">
        <v>1230</v>
      </c>
      <c r="B10" s="1038" t="s">
        <v>1229</v>
      </c>
      <c r="C10" s="1038"/>
      <c r="D10" s="1039">
        <f>SUM('Acct Summary 7-8'!C7:K7)</f>
        <v>1804659</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70225</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-86712</v>
      </c>
    </row>
    <row r="19" spans="1:4" ht="13.5" thickBot="1" x14ac:dyDescent="0.25">
      <c r="A19" s="1041" t="s">
        <v>1223</v>
      </c>
      <c r="D19" s="1042">
        <f>SUM(D10:D17)</f>
        <v>1788172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8"/>
      <c r="B24" s="2548"/>
      <c r="D24" s="1044"/>
    </row>
    <row r="25" spans="1:4" x14ac:dyDescent="0.2">
      <c r="A25" s="2545"/>
      <c r="B25" s="2545"/>
      <c r="D25" s="1044"/>
    </row>
    <row r="26" spans="1:4" x14ac:dyDescent="0.2">
      <c r="A26" s="2545"/>
      <c r="B26" s="2545"/>
      <c r="D26" s="1044"/>
    </row>
    <row r="27" spans="1:4" x14ac:dyDescent="0.2">
      <c r="A27" s="2545"/>
      <c r="B27" s="2545"/>
      <c r="D27" s="1044"/>
    </row>
    <row r="28" spans="1:4" x14ac:dyDescent="0.2">
      <c r="A28" s="2545"/>
      <c r="B28" s="2545"/>
      <c r="D28" s="1044"/>
    </row>
    <row r="29" spans="1:4" x14ac:dyDescent="0.2">
      <c r="A29" s="2545"/>
      <c r="B29" s="2545"/>
      <c r="D29" s="1044"/>
    </row>
    <row r="30" spans="1:4" x14ac:dyDescent="0.2">
      <c r="A30" s="2545"/>
      <c r="B30" s="2545"/>
      <c r="D30" s="1044"/>
    </row>
    <row r="32" spans="1:4" x14ac:dyDescent="0.2">
      <c r="A32" s="1036" t="s">
        <v>1221</v>
      </c>
      <c r="D32" s="1039">
        <f>SUM(D19:D30)</f>
        <v>1788172</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5"/>
      <c r="B40" s="2545"/>
      <c r="D40" s="1044"/>
    </row>
    <row r="41" spans="1:4" x14ac:dyDescent="0.2">
      <c r="A41" s="2545"/>
      <c r="B41" s="2545"/>
      <c r="D41" s="1047"/>
    </row>
    <row r="42" spans="1:4" x14ac:dyDescent="0.2">
      <c r="A42" s="2545"/>
      <c r="B42" s="2545"/>
      <c r="D42" s="1047"/>
    </row>
    <row r="43" spans="1:4" x14ac:dyDescent="0.2">
      <c r="A43" s="2545"/>
      <c r="B43" s="2545"/>
      <c r="D43" s="1047"/>
    </row>
    <row r="44" spans="1:4" x14ac:dyDescent="0.2">
      <c r="A44" s="2545"/>
      <c r="B44" s="2545"/>
      <c r="D44" s="1047"/>
    </row>
    <row r="45" spans="1:4" x14ac:dyDescent="0.2">
      <c r="A45" s="2545"/>
      <c r="B45" s="2545"/>
      <c r="D45" s="1047"/>
    </row>
    <row r="47" spans="1:4" x14ac:dyDescent="0.2">
      <c r="B47" s="1048" t="s">
        <v>1215</v>
      </c>
      <c r="C47" s="1048"/>
      <c r="D47" s="1049">
        <f>SUM(D35:D45)</f>
        <v>0</v>
      </c>
    </row>
    <row r="49" spans="2:4" x14ac:dyDescent="0.2">
      <c r="B49" s="1048" t="s">
        <v>1214</v>
      </c>
      <c r="C49" s="1048"/>
      <c r="D49" s="1049">
        <f>D32-D47</f>
        <v>1788172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5" t="str">
        <f>'Single Audit Cover'!A7</f>
        <v xml:space="preserve">  Clinton CUSD 15</v>
      </c>
      <c r="C1" s="2550"/>
      <c r="D1" s="2550"/>
      <c r="E1" s="2550"/>
      <c r="F1" s="2550"/>
      <c r="G1" s="2550"/>
      <c r="H1" s="2550"/>
      <c r="I1" s="2550"/>
      <c r="J1" s="2550"/>
      <c r="K1" s="2550"/>
      <c r="L1" s="2550"/>
      <c r="M1" s="2550"/>
    </row>
    <row r="2" spans="2:14" ht="15" x14ac:dyDescent="0.2">
      <c r="B2" s="2551">
        <f>'Single Audit Cover'!E7</f>
        <v>17020015026</v>
      </c>
      <c r="C2" s="2551"/>
      <c r="D2" s="2551"/>
      <c r="E2" s="2551"/>
      <c r="F2" s="2551"/>
      <c r="G2" s="2551"/>
      <c r="H2" s="2551"/>
      <c r="I2" s="2551"/>
      <c r="J2" s="2551"/>
      <c r="K2" s="2551"/>
      <c r="L2" s="2551"/>
      <c r="M2" s="2551"/>
      <c r="N2" s="1078"/>
    </row>
    <row r="3" spans="2:14" ht="15" x14ac:dyDescent="0.2">
      <c r="B3" s="2552" t="s">
        <v>1207</v>
      </c>
      <c r="C3" s="2552"/>
      <c r="D3" s="2552"/>
      <c r="E3" s="2552"/>
      <c r="F3" s="2552"/>
      <c r="G3" s="2552"/>
      <c r="H3" s="2552"/>
      <c r="I3" s="2552"/>
      <c r="J3" s="2552"/>
      <c r="K3" s="2552"/>
      <c r="L3" s="2552"/>
      <c r="M3" s="2552"/>
      <c r="N3" s="1078"/>
    </row>
    <row r="4" spans="2:14" ht="15" x14ac:dyDescent="0.2">
      <c r="B4" s="2553" t="str">
        <f>'Single Audit Cover'!A4</f>
        <v>Year Ending June 30, 2020</v>
      </c>
      <c r="C4" s="2553"/>
      <c r="D4" s="2553"/>
      <c r="E4" s="2553"/>
      <c r="F4" s="2553"/>
      <c r="G4" s="2553"/>
      <c r="H4" s="2553"/>
      <c r="I4" s="2553"/>
      <c r="J4" s="2553"/>
      <c r="K4" s="2553"/>
      <c r="L4" s="2553"/>
      <c r="M4" s="2553"/>
      <c r="N4" s="1078"/>
    </row>
    <row r="5" spans="2:14" x14ac:dyDescent="0.2">
      <c r="H5" s="1899"/>
      <c r="J5" s="1899"/>
    </row>
    <row r="6" spans="2:14" x14ac:dyDescent="0.2">
      <c r="B6" s="1079"/>
      <c r="C6" s="1080"/>
      <c r="D6" s="1081" t="s">
        <v>1253</v>
      </c>
      <c r="E6" s="1082" t="s">
        <v>524</v>
      </c>
      <c r="F6" s="1083"/>
      <c r="G6" s="1084" t="s">
        <v>1708</v>
      </c>
      <c r="H6" s="1082"/>
      <c r="I6" s="1082"/>
      <c r="J6" s="1900"/>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8" t="str">
        <f>"7/1/"&amp;MID('AFR20'!$E$2,3,2)-2&amp;"-6/30/"&amp;MID('AFR20'!$E$2,3,2)-1</f>
        <v>7/1/18-6/30/19</v>
      </c>
      <c r="F9" s="1898" t="str">
        <f>"7/1/"&amp;MID('AFR20'!$E$2,3,2)-1&amp;"-6/30/"&amp;MID('AFR20'!$E$2,3,2)</f>
        <v>7/1/19-6/30/20</v>
      </c>
      <c r="G9" s="1898" t="str">
        <f>"7/1/"&amp;MID('AFR20'!$E$2,3,2)-2&amp;"-6/30/"&amp;MID('AFR20'!$E$2,3,2)-1</f>
        <v>7/1/18-6/30/19</v>
      </c>
      <c r="H9" s="1093" t="s">
        <v>1562</v>
      </c>
      <c r="I9" s="1898"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5" t="str">
        <f>'Single Audit Cover'!A7</f>
        <v xml:space="preserve">  Clinton CUSD 15</v>
      </c>
      <c r="B1" s="2555"/>
      <c r="C1" s="2555"/>
      <c r="D1" s="2555"/>
      <c r="E1" s="2555"/>
      <c r="F1" s="2555"/>
    </row>
    <row r="2" spans="1:7" ht="13.5" customHeight="1" x14ac:dyDescent="0.2">
      <c r="A2" s="2551">
        <f>'Single Audit Cover'!E7</f>
        <v>17020015026</v>
      </c>
      <c r="B2" s="2551"/>
      <c r="C2" s="2551"/>
      <c r="D2" s="2551"/>
      <c r="E2" s="2551"/>
      <c r="F2" s="2551"/>
      <c r="G2" s="1051"/>
    </row>
    <row r="3" spans="1:7" ht="15.75" customHeight="1" x14ac:dyDescent="0.2">
      <c r="A3" s="2556" t="s">
        <v>1259</v>
      </c>
      <c r="B3" s="2556"/>
      <c r="C3" s="2556"/>
      <c r="D3" s="2556"/>
      <c r="E3" s="2556"/>
      <c r="F3" s="2556"/>
    </row>
    <row r="4" spans="1:7" ht="13.5" customHeight="1" x14ac:dyDescent="0.2">
      <c r="A4" s="2557" t="str">
        <f>'Single Audit Cover'!A4</f>
        <v>Year Ending June 30, 2020</v>
      </c>
      <c r="B4" s="2557"/>
      <c r="C4" s="2557"/>
      <c r="D4" s="2557"/>
      <c r="E4" s="2557"/>
      <c r="F4" s="2557"/>
    </row>
    <row r="5" spans="1:7" ht="8.25" customHeight="1" x14ac:dyDescent="0.2">
      <c r="C5" s="295"/>
      <c r="D5" s="295"/>
    </row>
    <row r="6" spans="1:7" ht="13.5" customHeight="1" x14ac:dyDescent="0.2">
      <c r="A6" s="1052" t="s">
        <v>1702</v>
      </c>
      <c r="C6" s="295"/>
      <c r="D6" s="295"/>
    </row>
    <row r="7" spans="1:7" ht="60.95" customHeight="1" x14ac:dyDescent="0.2">
      <c r="A7" s="2554" t="s">
        <v>1703</v>
      </c>
      <c r="B7" s="2554"/>
      <c r="C7" s="2554"/>
      <c r="D7" s="2554"/>
      <c r="E7" s="2554"/>
      <c r="F7" s="2554"/>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54" t="s">
        <v>1705</v>
      </c>
      <c r="B13" s="2554"/>
      <c r="C13" s="2554"/>
      <c r="D13" s="2554"/>
      <c r="E13" s="2554"/>
      <c r="F13" s="2554"/>
    </row>
    <row r="14" spans="1:7" ht="9.75" customHeight="1" x14ac:dyDescent="0.2">
      <c r="C14" s="1036"/>
      <c r="D14" s="1036"/>
    </row>
    <row r="15" spans="1:7" ht="13.5" customHeight="1" x14ac:dyDescent="0.2">
      <c r="C15" s="1476" t="s">
        <v>1258</v>
      </c>
      <c r="D15" s="2559" t="s">
        <v>1257</v>
      </c>
      <c r="E15" s="2559"/>
      <c r="F15" s="2559"/>
    </row>
    <row r="16" spans="1:7" ht="13.5" customHeight="1" x14ac:dyDescent="0.2">
      <c r="A16" s="1058"/>
      <c r="B16" s="1052" t="s">
        <v>1256</v>
      </c>
      <c r="C16" s="1476" t="s">
        <v>1255</v>
      </c>
      <c r="D16" s="2560" t="s">
        <v>1568</v>
      </c>
      <c r="E16" s="2560"/>
      <c r="F16" s="2560"/>
    </row>
    <row r="17" spans="1:6" ht="20.45" customHeight="1" x14ac:dyDescent="0.2">
      <c r="A17" s="1059"/>
      <c r="B17" s="1060"/>
      <c r="C17" s="1061"/>
      <c r="D17" s="2558"/>
      <c r="E17" s="2558"/>
      <c r="F17" s="2558"/>
    </row>
    <row r="18" spans="1:6" ht="20.65" customHeight="1" x14ac:dyDescent="0.2">
      <c r="A18" s="1059"/>
      <c r="B18" s="1060"/>
      <c r="C18" s="1061"/>
      <c r="D18" s="2558"/>
      <c r="E18" s="2558"/>
      <c r="F18" s="2558"/>
    </row>
    <row r="19" spans="1:6" ht="20.65" customHeight="1" x14ac:dyDescent="0.2">
      <c r="A19" s="1059"/>
      <c r="B19" s="1060"/>
      <c r="C19" s="1061"/>
      <c r="D19" s="2558"/>
      <c r="E19" s="2558"/>
      <c r="F19" s="2558"/>
    </row>
    <row r="20" spans="1:6" ht="20.65" customHeight="1" x14ac:dyDescent="0.2">
      <c r="A20" s="1059"/>
      <c r="B20" s="1060"/>
      <c r="C20" s="1061"/>
      <c r="D20" s="2558"/>
      <c r="E20" s="2558"/>
      <c r="F20" s="2558"/>
    </row>
    <row r="21" spans="1:6" ht="20.65" customHeight="1" x14ac:dyDescent="0.2">
      <c r="A21" s="1059"/>
      <c r="B21" s="1060"/>
      <c r="C21" s="1061"/>
      <c r="D21" s="2558"/>
      <c r="E21" s="2558"/>
      <c r="F21" s="2558"/>
    </row>
    <row r="22" spans="1:6" ht="20.65" customHeight="1" x14ac:dyDescent="0.2">
      <c r="A22" s="1059"/>
      <c r="B22" s="1060"/>
      <c r="C22" s="1061"/>
      <c r="D22" s="2558"/>
      <c r="E22" s="2558"/>
      <c r="F22" s="2558"/>
    </row>
    <row r="23" spans="1:6" ht="20.65" customHeight="1" x14ac:dyDescent="0.2">
      <c r="A23" s="1059"/>
      <c r="B23" s="1060"/>
      <c r="C23" s="1061"/>
      <c r="D23" s="2558"/>
      <c r="E23" s="2558"/>
      <c r="F23" s="2558"/>
    </row>
    <row r="24" spans="1:6" ht="20.65" customHeight="1" x14ac:dyDescent="0.2">
      <c r="A24" s="1059"/>
      <c r="B24" s="1060"/>
      <c r="C24" s="1061"/>
      <c r="D24" s="2558"/>
      <c r="E24" s="2558"/>
      <c r="F24" s="2558"/>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62" t="s">
        <v>1706</v>
      </c>
      <c r="B27" s="2562"/>
      <c r="C27" s="2562"/>
      <c r="D27" s="2562"/>
      <c r="E27" s="2562"/>
      <c r="F27" s="2562"/>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63">
        <f>+C28+C29</f>
        <v>0</v>
      </c>
      <c r="F29" s="2564"/>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5" t="s">
        <v>1570</v>
      </c>
      <c r="C44" s="2565"/>
      <c r="D44" s="2565"/>
      <c r="E44" s="1168"/>
    </row>
    <row r="45" spans="1:6" s="1076" customFormat="1" ht="3.75" customHeight="1" x14ac:dyDescent="0.2">
      <c r="A45" s="1075"/>
      <c r="B45" s="1475"/>
      <c r="C45" s="1475"/>
      <c r="D45" s="1475"/>
      <c r="E45" s="1168"/>
    </row>
    <row r="46" spans="1:6" s="1076" customFormat="1" ht="20.25" customHeight="1" x14ac:dyDescent="0.2">
      <c r="A46" s="1077">
        <v>6</v>
      </c>
      <c r="B46" s="2561" t="s">
        <v>1531</v>
      </c>
      <c r="C46" s="2561"/>
      <c r="D46" s="2561"/>
    </row>
    <row r="47" spans="1:6" ht="14.25" customHeight="1" x14ac:dyDescent="0.2">
      <c r="A47" s="1077"/>
      <c r="B47" s="2561"/>
      <c r="C47" s="2561"/>
      <c r="D47" s="2561"/>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6"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8" t="s">
        <v>1157</v>
      </c>
      <c r="B2" s="2138"/>
      <c r="C2" s="2138"/>
      <c r="D2" s="2138"/>
      <c r="E2" s="2138"/>
      <c r="F2" s="2138"/>
      <c r="G2" s="2138"/>
      <c r="H2" s="2138"/>
      <c r="I2" s="2138"/>
      <c r="J2" s="2138"/>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t="s">
        <v>2015</v>
      </c>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t="s">
        <v>2015</v>
      </c>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2" t="s">
        <v>1613</v>
      </c>
      <c r="B35" s="2153"/>
      <c r="C35" s="2153"/>
      <c r="D35" s="2153"/>
      <c r="E35" s="2154"/>
      <c r="F35" s="2154"/>
      <c r="G35" s="2154"/>
      <c r="H35" s="2154"/>
      <c r="I35" s="215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2" t="s">
        <v>310</v>
      </c>
      <c r="B47" s="2155"/>
      <c r="C47" s="2155"/>
      <c r="D47" s="2155"/>
      <c r="E47" s="2156"/>
      <c r="F47" s="2156"/>
      <c r="G47" s="2156"/>
      <c r="H47" s="2156"/>
      <c r="I47" s="215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2015</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9" t="s">
        <v>2116</v>
      </c>
      <c r="C57" s="2160"/>
      <c r="D57" s="2160"/>
      <c r="E57" s="2160"/>
      <c r="F57" s="2160"/>
      <c r="G57" s="2160"/>
      <c r="H57" s="2160"/>
      <c r="I57" s="2160"/>
      <c r="J57" s="2161"/>
    </row>
    <row r="58" spans="1:10" s="176" customFormat="1" x14ac:dyDescent="0.2">
      <c r="A58" s="248"/>
      <c r="B58" s="2162"/>
      <c r="C58" s="2163"/>
      <c r="D58" s="2163"/>
      <c r="E58" s="2163"/>
      <c r="F58" s="2163"/>
      <c r="G58" s="2163"/>
      <c r="H58" s="2163"/>
      <c r="I58" s="2163"/>
      <c r="J58" s="2164"/>
    </row>
    <row r="59" spans="1:10" s="176" customFormat="1" x14ac:dyDescent="0.2">
      <c r="A59" s="248"/>
      <c r="B59" s="2162"/>
      <c r="C59" s="2163"/>
      <c r="D59" s="2163"/>
      <c r="E59" s="2163"/>
      <c r="F59" s="2163"/>
      <c r="G59" s="2163"/>
      <c r="H59" s="2163"/>
      <c r="I59" s="2163"/>
      <c r="J59" s="2164"/>
    </row>
    <row r="60" spans="1:10" s="176" customFormat="1" x14ac:dyDescent="0.2">
      <c r="A60" s="248"/>
      <c r="B60" s="2162"/>
      <c r="C60" s="2163"/>
      <c r="D60" s="2163"/>
      <c r="E60" s="2163"/>
      <c r="F60" s="2163"/>
      <c r="G60" s="2163"/>
      <c r="H60" s="2163"/>
      <c r="I60" s="2163"/>
      <c r="J60" s="2164"/>
    </row>
    <row r="61" spans="1:10" s="176" customFormat="1" x14ac:dyDescent="0.2">
      <c r="A61" s="248"/>
      <c r="B61" s="2162"/>
      <c r="C61" s="2163"/>
      <c r="D61" s="2163"/>
      <c r="E61" s="2163"/>
      <c r="F61" s="2163"/>
      <c r="G61" s="2163"/>
      <c r="H61" s="2163"/>
      <c r="I61" s="2163"/>
      <c r="J61" s="2164"/>
    </row>
    <row r="62" spans="1:10" s="176" customFormat="1" x14ac:dyDescent="0.2">
      <c r="A62" s="248"/>
      <c r="B62" s="2162"/>
      <c r="C62" s="2163"/>
      <c r="D62" s="2163"/>
      <c r="E62" s="2163"/>
      <c r="F62" s="2163"/>
      <c r="G62" s="2163"/>
      <c r="H62" s="2163"/>
      <c r="I62" s="2163"/>
      <c r="J62" s="2164"/>
    </row>
    <row r="63" spans="1:10" s="176" customFormat="1" x14ac:dyDescent="0.2">
      <c r="A63" s="248"/>
      <c r="B63" s="2162"/>
      <c r="C63" s="2163"/>
      <c r="D63" s="2163"/>
      <c r="E63" s="2163"/>
      <c r="F63" s="2163"/>
      <c r="G63" s="2163"/>
      <c r="H63" s="2163"/>
      <c r="I63" s="2163"/>
      <c r="J63" s="2164"/>
    </row>
    <row r="64" spans="1:10" s="176" customFormat="1" x14ac:dyDescent="0.2">
      <c r="A64" s="248"/>
      <c r="B64" s="2162"/>
      <c r="C64" s="2163"/>
      <c r="D64" s="2163"/>
      <c r="E64" s="2163"/>
      <c r="F64" s="2163"/>
      <c r="G64" s="2163"/>
      <c r="H64" s="2163"/>
      <c r="I64" s="2163"/>
      <c r="J64" s="2164"/>
    </row>
    <row r="65" spans="1:11" s="176" customFormat="1" x14ac:dyDescent="0.2">
      <c r="A65" s="248"/>
      <c r="B65" s="2162"/>
      <c r="C65" s="2163"/>
      <c r="D65" s="2163"/>
      <c r="E65" s="2163"/>
      <c r="F65" s="2163"/>
      <c r="G65" s="2163"/>
      <c r="H65" s="2163"/>
      <c r="I65" s="2163"/>
      <c r="J65" s="2164"/>
    </row>
    <row r="66" spans="1:11" s="176" customFormat="1" x14ac:dyDescent="0.2">
      <c r="A66" s="248"/>
      <c r="B66" s="2162"/>
      <c r="C66" s="2163"/>
      <c r="D66" s="2163"/>
      <c r="E66" s="2163"/>
      <c r="F66" s="2163"/>
      <c r="G66" s="2163"/>
      <c r="H66" s="2163"/>
      <c r="I66" s="2163"/>
      <c r="J66" s="2164"/>
    </row>
    <row r="67" spans="1:11" s="176" customFormat="1" ht="9" customHeight="1" x14ac:dyDescent="0.2">
      <c r="A67" s="249"/>
      <c r="B67" s="2165"/>
      <c r="C67" s="2166"/>
      <c r="D67" s="2166"/>
      <c r="E67" s="2166"/>
      <c r="F67" s="2166"/>
      <c r="G67" s="2166"/>
      <c r="H67" s="2166"/>
      <c r="I67" s="2166"/>
      <c r="J67" s="216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2" t="s">
        <v>1311</v>
      </c>
      <c r="B70" s="2155"/>
      <c r="C70" s="2155"/>
      <c r="D70" s="2155"/>
      <c r="E70" s="2156"/>
      <c r="F70" s="2156"/>
      <c r="G70" s="2156"/>
      <c r="H70" s="2156"/>
      <c r="I70" s="2156"/>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7" t="s">
        <v>1308</v>
      </c>
      <c r="B83" s="2157"/>
      <c r="C83" s="2157"/>
      <c r="D83" s="2158"/>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8" t="s">
        <v>1986</v>
      </c>
      <c r="B85" s="2168"/>
      <c r="C85" s="2168"/>
      <c r="D85" s="2169"/>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70" t="s">
        <v>1986</v>
      </c>
      <c r="B88" s="2171"/>
      <c r="C88" s="2171"/>
      <c r="D88" s="2172"/>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9"/>
      <c r="C102" s="2140"/>
      <c r="D102" s="2140"/>
      <c r="E102" s="2140"/>
      <c r="F102" s="2140"/>
      <c r="G102" s="2140"/>
      <c r="H102" s="2140"/>
      <c r="I102" s="2141"/>
    </row>
    <row r="103" spans="1:9" s="176" customFormat="1" ht="11.25" customHeight="1" x14ac:dyDescent="0.2">
      <c r="A103" s="294"/>
      <c r="B103" s="2142"/>
      <c r="C103" s="2143"/>
      <c r="D103" s="2143"/>
      <c r="E103" s="2143"/>
      <c r="F103" s="2143"/>
      <c r="G103" s="2143"/>
      <c r="H103" s="2143"/>
      <c r="I103" s="2144"/>
    </row>
    <row r="104" spans="1:9" s="176" customFormat="1" ht="11.25" customHeight="1" x14ac:dyDescent="0.2">
      <c r="A104" s="294"/>
      <c r="B104" s="2142"/>
      <c r="C104" s="2143"/>
      <c r="D104" s="2143"/>
      <c r="E104" s="2143"/>
      <c r="F104" s="2143"/>
      <c r="G104" s="2143"/>
      <c r="H104" s="2143"/>
      <c r="I104" s="2144"/>
    </row>
    <row r="105" spans="1:9" s="176" customFormat="1" x14ac:dyDescent="0.2">
      <c r="A105" s="294"/>
      <c r="B105" s="2142"/>
      <c r="C105" s="2143"/>
      <c r="D105" s="2143"/>
      <c r="E105" s="2143"/>
      <c r="F105" s="2143"/>
      <c r="G105" s="2143"/>
      <c r="H105" s="2143"/>
      <c r="I105" s="2144"/>
    </row>
    <row r="106" spans="1:9" s="176" customFormat="1" ht="11.25" customHeight="1" x14ac:dyDescent="0.2">
      <c r="A106" s="294"/>
      <c r="B106" s="2142"/>
      <c r="C106" s="2143"/>
      <c r="D106" s="2143"/>
      <c r="E106" s="2143"/>
      <c r="F106" s="2143"/>
      <c r="G106" s="2143"/>
      <c r="H106" s="2143"/>
      <c r="I106" s="2144"/>
    </row>
    <row r="107" spans="1:9" s="176" customFormat="1" ht="11.25" customHeight="1" x14ac:dyDescent="0.2">
      <c r="A107" s="294"/>
      <c r="B107" s="2142"/>
      <c r="C107" s="2143"/>
      <c r="D107" s="2143"/>
      <c r="E107" s="2143"/>
      <c r="F107" s="2143"/>
      <c r="G107" s="2143"/>
      <c r="H107" s="2143"/>
      <c r="I107" s="2144"/>
    </row>
    <row r="108" spans="1:9" s="176" customFormat="1" ht="11.25" customHeight="1" x14ac:dyDescent="0.2">
      <c r="A108" s="294"/>
      <c r="B108" s="2142"/>
      <c r="C108" s="2143"/>
      <c r="D108" s="2143"/>
      <c r="E108" s="2143"/>
      <c r="F108" s="2143"/>
      <c r="G108" s="2143"/>
      <c r="H108" s="2143"/>
      <c r="I108" s="2144"/>
    </row>
    <row r="109" spans="1:9" s="176" customFormat="1" ht="11.25" customHeight="1" x14ac:dyDescent="0.2">
      <c r="A109" s="294"/>
      <c r="B109" s="2142"/>
      <c r="C109" s="2143"/>
      <c r="D109" s="2143"/>
      <c r="E109" s="2143"/>
      <c r="F109" s="2143"/>
      <c r="G109" s="2143"/>
      <c r="H109" s="2143"/>
      <c r="I109" s="2144"/>
    </row>
    <row r="110" spans="1:9" s="176" customFormat="1" ht="11.25" customHeight="1" x14ac:dyDescent="0.2">
      <c r="A110" s="294"/>
      <c r="B110" s="2142"/>
      <c r="C110" s="2143"/>
      <c r="D110" s="2143"/>
      <c r="E110" s="2143"/>
      <c r="F110" s="2143"/>
      <c r="G110" s="2143"/>
      <c r="H110" s="2143"/>
      <c r="I110" s="2144"/>
    </row>
    <row r="111" spans="1:9" s="176" customFormat="1" ht="11.25" customHeight="1" x14ac:dyDescent="0.2">
      <c r="A111" s="294"/>
      <c r="B111" s="2142"/>
      <c r="C111" s="2143"/>
      <c r="D111" s="2143"/>
      <c r="E111" s="2143"/>
      <c r="F111" s="2143"/>
      <c r="G111" s="2143"/>
      <c r="H111" s="2143"/>
      <c r="I111" s="2144"/>
    </row>
    <row r="112" spans="1:9" s="176" customFormat="1" ht="11.25" customHeight="1" x14ac:dyDescent="0.2">
      <c r="A112" s="294"/>
      <c r="B112" s="2145"/>
      <c r="C112" s="2146"/>
      <c r="D112" s="2146"/>
      <c r="E112" s="2146"/>
      <c r="F112" s="2146"/>
      <c r="G112" s="2146"/>
      <c r="H112" s="2146"/>
      <c r="I112" s="214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8" t="s">
        <v>2016</v>
      </c>
      <c r="D114" s="214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9" t="s">
        <v>1318</v>
      </c>
      <c r="D117" s="2150"/>
      <c r="E117" s="2151"/>
      <c r="F117" s="2151"/>
      <c r="G117" s="2151"/>
      <c r="H117" s="215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0" t="str">
        <f>'Single Audit Cover'!A7</f>
        <v xml:space="preserve">  Clinton CUSD 15</v>
      </c>
      <c r="C1" s="2571"/>
      <c r="D1" s="2571"/>
      <c r="E1" s="2571"/>
      <c r="F1" s="2571"/>
      <c r="G1" s="2571"/>
      <c r="H1" s="2571"/>
      <c r="I1" s="2571"/>
      <c r="J1" s="1178"/>
    </row>
    <row r="2" spans="2:10" s="295" customFormat="1" ht="12.75" customHeight="1" x14ac:dyDescent="0.2">
      <c r="B2" s="2572">
        <f>'Single Audit Cover'!E7</f>
        <v>17020015026</v>
      </c>
      <c r="C2" s="2573"/>
      <c r="D2" s="2573"/>
      <c r="E2" s="2573"/>
      <c r="F2" s="2573"/>
      <c r="G2" s="2573"/>
      <c r="H2" s="2573"/>
      <c r="I2" s="2573"/>
      <c r="J2" s="1178"/>
    </row>
    <row r="3" spans="2:10" s="295" customFormat="1" ht="12.75" customHeight="1" x14ac:dyDescent="0.2">
      <c r="B3" s="2574" t="s">
        <v>1273</v>
      </c>
      <c r="C3" s="2575"/>
      <c r="D3" s="2575"/>
      <c r="E3" s="2575"/>
      <c r="F3" s="2575"/>
      <c r="G3" s="2575"/>
      <c r="H3" s="2575"/>
      <c r="I3" s="2575"/>
      <c r="J3" s="1179"/>
    </row>
    <row r="4" spans="2:10" s="295" customFormat="1" ht="12.75" customHeight="1" x14ac:dyDescent="0.2">
      <c r="B4" s="2574" t="str">
        <f>'Single Audit Cover'!A4</f>
        <v>Year Ending June 30, 2020</v>
      </c>
      <c r="C4" s="2575"/>
      <c r="D4" s="2575"/>
      <c r="E4" s="2575"/>
      <c r="F4" s="2575"/>
      <c r="G4" s="2575"/>
      <c r="H4" s="2575"/>
      <c r="I4" s="2575"/>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4" t="s">
        <v>1272</v>
      </c>
      <c r="C7" s="2575"/>
      <c r="D7" s="2575"/>
      <c r="E7" s="2575"/>
      <c r="F7" s="2575"/>
      <c r="G7" s="2575"/>
      <c r="H7" s="2575"/>
      <c r="I7" s="2575"/>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76"/>
      <c r="D11" s="2576"/>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77"/>
      <c r="E29" s="2577"/>
      <c r="F29" s="2577"/>
      <c r="G29" s="2577"/>
      <c r="H29" s="2577"/>
      <c r="I29" s="2577"/>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78" t="s">
        <v>1725</v>
      </c>
      <c r="D37" s="2579"/>
      <c r="E37" s="2579"/>
      <c r="F37" s="2580"/>
      <c r="G37" s="2578" t="s">
        <v>1572</v>
      </c>
      <c r="H37" s="2579"/>
      <c r="I37" s="2580"/>
    </row>
    <row r="38" spans="2:9" ht="16.5" customHeight="1" x14ac:dyDescent="0.2">
      <c r="B38" s="1200"/>
      <c r="C38" s="2566"/>
      <c r="D38" s="2567"/>
      <c r="E38" s="2567"/>
      <c r="F38" s="2568"/>
      <c r="G38" s="2581"/>
      <c r="H38" s="2582"/>
      <c r="I38" s="2583"/>
    </row>
    <row r="39" spans="2:9" ht="16.5" customHeight="1" x14ac:dyDescent="0.2">
      <c r="B39" s="1200"/>
      <c r="C39" s="2566"/>
      <c r="D39" s="2567"/>
      <c r="E39" s="2567"/>
      <c r="F39" s="2568"/>
      <c r="G39" s="2569"/>
      <c r="H39" s="2569"/>
      <c r="I39" s="2569"/>
    </row>
    <row r="40" spans="2:9" ht="16.5" customHeight="1" x14ac:dyDescent="0.2">
      <c r="B40" s="1200"/>
      <c r="C40" s="2566"/>
      <c r="D40" s="2567"/>
      <c r="E40" s="2567"/>
      <c r="F40" s="2568"/>
      <c r="G40" s="2569"/>
      <c r="H40" s="2569"/>
      <c r="I40" s="2569"/>
    </row>
    <row r="41" spans="2:9" ht="16.5" customHeight="1" x14ac:dyDescent="0.2">
      <c r="B41" s="1200"/>
      <c r="C41" s="2566"/>
      <c r="D41" s="2567"/>
      <c r="E41" s="2567"/>
      <c r="F41" s="2568"/>
      <c r="G41" s="2569"/>
      <c r="H41" s="2569"/>
      <c r="I41" s="2569"/>
    </row>
    <row r="42" spans="2:9" ht="16.5" customHeight="1" x14ac:dyDescent="0.2">
      <c r="B42" s="1200"/>
      <c r="C42" s="2566"/>
      <c r="D42" s="2567"/>
      <c r="E42" s="2567"/>
      <c r="F42" s="2568"/>
      <c r="G42" s="2569"/>
      <c r="H42" s="2569"/>
      <c r="I42" s="2569"/>
    </row>
    <row r="43" spans="2:9" ht="16.5" customHeight="1" x14ac:dyDescent="0.2">
      <c r="B43" s="1200"/>
      <c r="C43" s="2584" t="s">
        <v>1573</v>
      </c>
      <c r="D43" s="2585"/>
      <c r="E43" s="2585"/>
      <c r="F43" s="2586"/>
      <c r="G43" s="2587">
        <f>SUM(G38:I42)</f>
        <v>0</v>
      </c>
      <c r="H43" s="2587"/>
      <c r="I43" s="2587"/>
    </row>
    <row r="44" spans="2:9" ht="12.75" customHeight="1" x14ac:dyDescent="0.2"/>
    <row r="45" spans="2:9" ht="12.75" customHeight="1" x14ac:dyDescent="0.2">
      <c r="B45" s="1901" t="str">
        <f>"Total Federal Expenditures for 7/1/"&amp;MID('AFR20'!E2,3,2)-1&amp;"-6/30/"&amp;MID('AFR20'!E2,3,2)</f>
        <v>Total Federal Expenditures for 7/1/19-6/30/20</v>
      </c>
      <c r="C45" s="1902"/>
      <c r="D45" s="2588">
        <v>0</v>
      </c>
      <c r="E45" s="2589"/>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90"/>
      <c r="F49" s="2590"/>
      <c r="G49" s="2590"/>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0" t="str">
        <f>'Single Audit Cover'!A7</f>
        <v xml:space="preserve">  Clinton CUSD 15</v>
      </c>
      <c r="C1" s="2570"/>
      <c r="D1" s="2570"/>
      <c r="E1" s="2570"/>
      <c r="F1" s="2570"/>
      <c r="G1" s="2570"/>
      <c r="H1" s="2570"/>
      <c r="I1" s="2570"/>
      <c r="J1" s="2570"/>
      <c r="K1" s="2570"/>
      <c r="L1" s="1144"/>
      <c r="M1" s="1144"/>
    </row>
    <row r="2" spans="1:13" ht="12" customHeight="1" x14ac:dyDescent="0.2">
      <c r="B2" s="2572">
        <f>'Single Audit Cover'!E7</f>
        <v>17020015026</v>
      </c>
      <c r="C2" s="2572"/>
      <c r="D2" s="2572"/>
      <c r="E2" s="2572"/>
      <c r="F2" s="2572"/>
      <c r="G2" s="2572"/>
      <c r="H2" s="2572"/>
      <c r="I2" s="2572"/>
      <c r="J2" s="2572"/>
      <c r="K2" s="2572"/>
      <c r="L2" s="1145"/>
      <c r="M2" s="1146"/>
    </row>
    <row r="3" spans="1:13" ht="10.35" customHeight="1" x14ac:dyDescent="0.2">
      <c r="B3" s="2593" t="s">
        <v>1273</v>
      </c>
      <c r="C3" s="2593"/>
      <c r="D3" s="2593"/>
      <c r="E3" s="2593"/>
      <c r="F3" s="2593"/>
      <c r="G3" s="2593"/>
      <c r="H3" s="2593"/>
      <c r="I3" s="2593"/>
      <c r="J3" s="2593"/>
      <c r="K3" s="2593"/>
      <c r="L3" s="1147"/>
      <c r="M3" s="1147"/>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3" t="str">
        <f>'AFR20'!$E$2&amp;"-"</f>
        <v>2020-</v>
      </c>
      <c r="D10" s="1155">
        <v>1</v>
      </c>
      <c r="E10" s="300"/>
      <c r="F10" s="1156" t="s">
        <v>1283</v>
      </c>
      <c r="G10" s="1157" t="s">
        <v>2015</v>
      </c>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2" t="s">
        <v>2118</v>
      </c>
      <c r="C14" s="2592"/>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2" t="s">
        <v>2122</v>
      </c>
      <c r="C17" s="2592"/>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2123</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2" t="s">
        <v>2120</v>
      </c>
      <c r="C23" s="2592"/>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2" t="s">
        <v>2121</v>
      </c>
      <c r="C26" s="2592"/>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1" t="s">
        <v>2119</v>
      </c>
      <c r="C29" s="2591"/>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1" t="s">
        <v>2124</v>
      </c>
      <c r="C32" s="2591"/>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B21" sqref="B2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0" t="str">
        <f>'Single Audit Cover'!A7</f>
        <v xml:space="preserve">  Clinton CUSD 15</v>
      </c>
      <c r="C1" s="2570"/>
      <c r="D1" s="2570"/>
      <c r="E1" s="2570"/>
      <c r="F1" s="2570"/>
      <c r="G1" s="2570"/>
      <c r="H1" s="2570"/>
      <c r="I1" s="2570"/>
      <c r="J1" s="2570"/>
      <c r="K1" s="2570"/>
      <c r="L1" s="1144"/>
      <c r="M1" s="1144"/>
    </row>
    <row r="2" spans="1:13" ht="12" customHeight="1" x14ac:dyDescent="0.2">
      <c r="B2" s="2572">
        <f>'Single Audit Cover'!E7</f>
        <v>17020015026</v>
      </c>
      <c r="C2" s="2572"/>
      <c r="D2" s="2572"/>
      <c r="E2" s="2572"/>
      <c r="F2" s="2572"/>
      <c r="G2" s="2572"/>
      <c r="H2" s="2572"/>
      <c r="I2" s="2572"/>
      <c r="J2" s="2572"/>
      <c r="K2" s="2572"/>
      <c r="L2" s="1145"/>
      <c r="M2" s="1146"/>
    </row>
    <row r="3" spans="1:13" ht="10.35" customHeight="1" x14ac:dyDescent="0.2">
      <c r="B3" s="2593" t="s">
        <v>1273</v>
      </c>
      <c r="C3" s="2593"/>
      <c r="D3" s="2593"/>
      <c r="E3" s="2593"/>
      <c r="F3" s="2593"/>
      <c r="G3" s="2593"/>
      <c r="H3" s="2593"/>
      <c r="I3" s="2593"/>
      <c r="J3" s="2593"/>
      <c r="K3" s="2593"/>
      <c r="L3" s="2019"/>
      <c r="M3" s="2019"/>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3" t="str">
        <f>'AFR20'!$E$2&amp;"-"</f>
        <v>2020-</v>
      </c>
      <c r="D10" s="1155">
        <v>2</v>
      </c>
      <c r="E10" s="300"/>
      <c r="F10" s="1156" t="s">
        <v>1283</v>
      </c>
      <c r="G10" s="1157"/>
      <c r="H10" s="1158" t="s">
        <v>1282</v>
      </c>
      <c r="I10" s="1157" t="s">
        <v>2015</v>
      </c>
      <c r="J10" s="1159" t="s">
        <v>1281</v>
      </c>
      <c r="K10" s="300"/>
      <c r="L10" s="1151"/>
    </row>
    <row r="11" spans="1:13" ht="13.5" customHeight="1" x14ac:dyDescent="0.2">
      <c r="B11" s="300"/>
      <c r="C11" s="300"/>
      <c r="D11" s="300"/>
      <c r="E11" s="300"/>
      <c r="F11" s="300"/>
      <c r="G11" s="1153"/>
      <c r="H11" s="300"/>
      <c r="I11" s="1160" t="s">
        <v>1280</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8" t="s">
        <v>2125</v>
      </c>
      <c r="C14" s="2598"/>
      <c r="D14" s="2598"/>
      <c r="E14" s="2598"/>
      <c r="F14" s="2598"/>
      <c r="G14" s="2598"/>
      <c r="H14" s="2598"/>
      <c r="I14" s="2598"/>
      <c r="J14" s="2598"/>
      <c r="K14" s="259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8" t="s">
        <v>2126</v>
      </c>
      <c r="C17" s="2598"/>
      <c r="D17" s="2598"/>
      <c r="E17" s="2598"/>
      <c r="F17" s="2598"/>
      <c r="G17" s="2598"/>
      <c r="H17" s="2598"/>
      <c r="I17" s="2598"/>
      <c r="J17" s="2598"/>
      <c r="K17" s="259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9" t="s">
        <v>2138</v>
      </c>
      <c r="C20" s="2599"/>
      <c r="D20" s="2598"/>
      <c r="E20" s="2598"/>
      <c r="F20" s="2598"/>
      <c r="G20" s="2598"/>
      <c r="H20" s="2598"/>
      <c r="I20" s="2598"/>
      <c r="J20" s="2598"/>
      <c r="K20" s="259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8" t="s">
        <v>2127</v>
      </c>
      <c r="C23" s="2598"/>
      <c r="D23" s="2598"/>
      <c r="E23" s="2598"/>
      <c r="F23" s="2598"/>
      <c r="G23" s="2598"/>
      <c r="H23" s="2598"/>
      <c r="I23" s="2598"/>
      <c r="J23" s="2598"/>
      <c r="K23" s="259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8" t="s">
        <v>2137</v>
      </c>
      <c r="C26" s="2598"/>
      <c r="D26" s="2598"/>
      <c r="E26" s="2598"/>
      <c r="F26" s="2598"/>
      <c r="G26" s="2598"/>
      <c r="H26" s="2598"/>
      <c r="I26" s="2598"/>
      <c r="J26" s="2598"/>
      <c r="K26" s="259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0" t="s">
        <v>2134</v>
      </c>
      <c r="C29" s="2600"/>
      <c r="D29" s="2598"/>
      <c r="E29" s="2598"/>
      <c r="F29" s="2598"/>
      <c r="G29" s="2598"/>
      <c r="H29" s="2598"/>
      <c r="I29" s="2598"/>
      <c r="J29" s="2598"/>
      <c r="K29" s="259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7" t="s">
        <v>2128</v>
      </c>
      <c r="C32" s="2597"/>
      <c r="D32" s="2598"/>
      <c r="E32" s="2598"/>
      <c r="F32" s="2598"/>
      <c r="G32" s="2598"/>
      <c r="H32" s="2598"/>
      <c r="I32" s="2598"/>
      <c r="J32" s="2598"/>
      <c r="K32" s="259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0" t="str">
        <f>'Single Audit Cover'!A7</f>
        <v xml:space="preserve">  Clinton CUSD 15</v>
      </c>
      <c r="C1" s="2570"/>
      <c r="D1" s="2570"/>
      <c r="E1" s="2570"/>
      <c r="F1" s="2570"/>
      <c r="G1" s="2570"/>
      <c r="H1" s="2570"/>
      <c r="I1" s="2570"/>
      <c r="J1" s="2570"/>
      <c r="K1" s="2570"/>
      <c r="L1" s="1144"/>
      <c r="M1" s="1144"/>
    </row>
    <row r="2" spans="1:13" ht="12" customHeight="1" x14ac:dyDescent="0.2">
      <c r="B2" s="2572">
        <f>'Single Audit Cover'!E7</f>
        <v>17020015026</v>
      </c>
      <c r="C2" s="2572"/>
      <c r="D2" s="2572"/>
      <c r="E2" s="2572"/>
      <c r="F2" s="2572"/>
      <c r="G2" s="2572"/>
      <c r="H2" s="2572"/>
      <c r="I2" s="2572"/>
      <c r="J2" s="2572"/>
      <c r="K2" s="2572"/>
      <c r="L2" s="1145"/>
      <c r="M2" s="1146"/>
    </row>
    <row r="3" spans="1:13" ht="10.35" customHeight="1" x14ac:dyDescent="0.2">
      <c r="B3" s="2593" t="s">
        <v>1273</v>
      </c>
      <c r="C3" s="2593"/>
      <c r="D3" s="2593"/>
      <c r="E3" s="2593"/>
      <c r="F3" s="2593"/>
      <c r="G3" s="2593"/>
      <c r="H3" s="2593"/>
      <c r="I3" s="2593"/>
      <c r="J3" s="2593"/>
      <c r="K3" s="2593"/>
      <c r="L3" s="2019"/>
      <c r="M3" s="2019"/>
    </row>
    <row r="4" spans="1:13" ht="14.25" customHeight="1" x14ac:dyDescent="0.2">
      <c r="B4" s="2594" t="str">
        <f>'Single Audit Cover'!A4</f>
        <v>Year Ending June 30, 2020</v>
      </c>
      <c r="C4" s="2594"/>
      <c r="D4" s="2594"/>
      <c r="E4" s="2594"/>
      <c r="F4" s="2594"/>
      <c r="G4" s="2594"/>
      <c r="H4" s="2594"/>
      <c r="I4" s="2594"/>
      <c r="J4" s="2594"/>
      <c r="K4" s="2594"/>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4" t="s">
        <v>1284</v>
      </c>
      <c r="C7" s="2594"/>
      <c r="D7" s="2595"/>
      <c r="E7" s="2595"/>
      <c r="F7" s="2595"/>
      <c r="G7" s="2595"/>
      <c r="H7" s="2595"/>
      <c r="I7" s="2595"/>
      <c r="J7" s="2595"/>
      <c r="K7" s="259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3" t="str">
        <f>'AFR20'!$E$2&amp;"-"</f>
        <v>2020-</v>
      </c>
      <c r="D10" s="1155">
        <v>3</v>
      </c>
      <c r="E10" s="300"/>
      <c r="F10" s="1156" t="s">
        <v>1283</v>
      </c>
      <c r="G10" s="1157"/>
      <c r="H10" s="1158" t="s">
        <v>1282</v>
      </c>
      <c r="I10" s="1157" t="s">
        <v>2015</v>
      </c>
      <c r="J10" s="1159" t="s">
        <v>1281</v>
      </c>
      <c r="K10" s="300"/>
      <c r="L10" s="1151"/>
    </row>
    <row r="11" spans="1:13" ht="13.5" customHeight="1" x14ac:dyDescent="0.2">
      <c r="B11" s="300"/>
      <c r="C11" s="300"/>
      <c r="D11" s="300"/>
      <c r="E11" s="300"/>
      <c r="F11" s="300"/>
      <c r="G11" s="1153"/>
      <c r="H11" s="300"/>
      <c r="I11" s="1160" t="s">
        <v>1280</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2" t="s">
        <v>2129</v>
      </c>
      <c r="C14" s="2592"/>
      <c r="D14" s="2592"/>
      <c r="E14" s="2592"/>
      <c r="F14" s="2592"/>
      <c r="G14" s="2592"/>
      <c r="H14" s="2592"/>
      <c r="I14" s="2592"/>
      <c r="J14" s="2592"/>
      <c r="K14" s="259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2" t="s">
        <v>2130</v>
      </c>
      <c r="C17" s="2592"/>
      <c r="D17" s="2592"/>
      <c r="E17" s="2592"/>
      <c r="F17" s="2592"/>
      <c r="G17" s="2592"/>
      <c r="H17" s="2592"/>
      <c r="I17" s="2592"/>
      <c r="J17" s="2592"/>
      <c r="K17" s="259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6" t="s">
        <v>2135</v>
      </c>
      <c r="C20" s="2596"/>
      <c r="D20" s="2592"/>
      <c r="E20" s="2592"/>
      <c r="F20" s="2592"/>
      <c r="G20" s="2592"/>
      <c r="H20" s="2592"/>
      <c r="I20" s="2592"/>
      <c r="J20" s="2592"/>
      <c r="K20" s="2592"/>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2" t="s">
        <v>2131</v>
      </c>
      <c r="C23" s="2592"/>
      <c r="D23" s="2592"/>
      <c r="E23" s="2592"/>
      <c r="F23" s="2592"/>
      <c r="G23" s="2592"/>
      <c r="H23" s="2592"/>
      <c r="I23" s="2592"/>
      <c r="J23" s="2592"/>
      <c r="K23" s="2592"/>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2" t="s">
        <v>2136</v>
      </c>
      <c r="C26" s="2592"/>
      <c r="D26" s="2592"/>
      <c r="E26" s="2592"/>
      <c r="F26" s="2592"/>
      <c r="G26" s="2592"/>
      <c r="H26" s="2592"/>
      <c r="I26" s="2592"/>
      <c r="J26" s="2592"/>
      <c r="K26" s="2592"/>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1" t="s">
        <v>2132</v>
      </c>
      <c r="C29" s="2591"/>
      <c r="D29" s="2592"/>
      <c r="E29" s="2592"/>
      <c r="F29" s="2592"/>
      <c r="G29" s="2592"/>
      <c r="H29" s="2592"/>
      <c r="I29" s="2592"/>
      <c r="J29" s="2592"/>
      <c r="K29" s="259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1" t="s">
        <v>2133</v>
      </c>
      <c r="C32" s="2591"/>
      <c r="D32" s="2592"/>
      <c r="E32" s="2592"/>
      <c r="F32" s="2592"/>
      <c r="G32" s="2592"/>
      <c r="H32" s="2592"/>
      <c r="I32" s="2592"/>
      <c r="J32" s="2592"/>
      <c r="K32" s="259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1" t="str">
        <f>'Single Audit Cover'!A7</f>
        <v xml:space="preserve">  Clinton CUSD 15</v>
      </c>
      <c r="C1" s="2601"/>
      <c r="D1" s="2601"/>
      <c r="E1" s="2601"/>
      <c r="F1" s="2601"/>
      <c r="G1" s="2601"/>
      <c r="H1" s="2601"/>
      <c r="I1" s="2601"/>
      <c r="J1" s="2601"/>
      <c r="K1" s="2601"/>
      <c r="L1" s="1221"/>
    </row>
    <row r="2" spans="1:12" ht="12.75" customHeight="1" x14ac:dyDescent="0.2">
      <c r="B2" s="2602">
        <f>'Single Audit Cover'!E7</f>
        <v>17020015026</v>
      </c>
      <c r="C2" s="2602"/>
      <c r="D2" s="2602"/>
      <c r="E2" s="2602"/>
      <c r="F2" s="2602"/>
      <c r="G2" s="2602"/>
      <c r="H2" s="2602"/>
      <c r="I2" s="2602"/>
      <c r="J2" s="2602"/>
      <c r="K2" s="2602"/>
      <c r="L2" s="1222"/>
    </row>
    <row r="3" spans="1:12" ht="12.75" customHeight="1" x14ac:dyDescent="0.2">
      <c r="B3" s="2593" t="s">
        <v>1273</v>
      </c>
      <c r="C3" s="2593"/>
      <c r="D3" s="2593"/>
      <c r="E3" s="2593"/>
      <c r="F3" s="2593"/>
      <c r="G3" s="2593"/>
      <c r="H3" s="2593"/>
      <c r="I3" s="2593"/>
      <c r="J3" s="2593"/>
      <c r="K3" s="2593"/>
      <c r="L3" s="1147"/>
    </row>
    <row r="4" spans="1:12" ht="12.75" customHeight="1" x14ac:dyDescent="0.2">
      <c r="B4" s="2593" t="str">
        <f>'Single Audit Cover'!A4</f>
        <v>Year Ending June 30, 2020</v>
      </c>
      <c r="C4" s="2593"/>
      <c r="D4" s="2593"/>
      <c r="E4" s="2593"/>
      <c r="F4" s="2593"/>
      <c r="G4" s="2593"/>
      <c r="H4" s="2593"/>
      <c r="I4" s="2593"/>
      <c r="J4" s="2593"/>
      <c r="K4" s="2593"/>
      <c r="L4" s="1147"/>
    </row>
    <row r="5" spans="1:12" ht="5.25" customHeight="1" x14ac:dyDescent="0.2">
      <c r="B5" s="1036" t="s">
        <v>1158</v>
      </c>
      <c r="C5" s="1036"/>
      <c r="L5" s="300"/>
    </row>
    <row r="6" spans="1:12" ht="30.75" customHeight="1" x14ac:dyDescent="0.2">
      <c r="A6" s="300"/>
      <c r="B6" s="2603" t="s">
        <v>1296</v>
      </c>
      <c r="C6" s="2603"/>
      <c r="D6" s="2603"/>
      <c r="E6" s="2603"/>
      <c r="F6" s="2603"/>
      <c r="G6" s="2603"/>
      <c r="H6" s="2603"/>
      <c r="I6" s="2603"/>
      <c r="J6" s="2603"/>
      <c r="K6" s="2603"/>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3"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77"/>
      <c r="G12" s="2577"/>
      <c r="H12" s="2577"/>
      <c r="I12" s="2577"/>
      <c r="J12" s="2577"/>
      <c r="K12" s="257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4"/>
      <c r="E14" s="2604"/>
      <c r="F14" s="2604"/>
      <c r="H14" s="1230" t="s">
        <v>1291</v>
      </c>
      <c r="I14" s="2605"/>
      <c r="J14" s="2605"/>
      <c r="K14" s="260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5"/>
      <c r="E16" s="2605"/>
      <c r="F16" s="2605"/>
      <c r="G16" s="2605"/>
      <c r="H16" s="2605"/>
      <c r="I16" s="2605"/>
      <c r="J16" s="2605"/>
      <c r="K16" s="2605"/>
      <c r="L16" s="300"/>
    </row>
    <row r="17" spans="2:12" ht="13.5" customHeight="1" x14ac:dyDescent="0.2">
      <c r="B17" s="1156" t="s">
        <v>1289</v>
      </c>
      <c r="C17" s="1156"/>
      <c r="D17" s="2606"/>
      <c r="E17" s="2606"/>
      <c r="F17" s="2606"/>
      <c r="G17" s="2606"/>
      <c r="H17" s="2606"/>
      <c r="I17" s="2606"/>
      <c r="J17" s="2606"/>
      <c r="K17" s="260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2"/>
      <c r="C20" s="2592"/>
      <c r="D20" s="2592"/>
      <c r="E20" s="2592"/>
      <c r="F20" s="2592"/>
      <c r="G20" s="2592"/>
      <c r="H20" s="2592"/>
      <c r="I20" s="2592"/>
      <c r="J20" s="2592"/>
      <c r="K20" s="259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592"/>
      <c r="C23" s="2592"/>
      <c r="D23" s="2592"/>
      <c r="E23" s="2592"/>
      <c r="F23" s="2592"/>
      <c r="G23" s="2592"/>
      <c r="H23" s="2592"/>
      <c r="I23" s="2592"/>
      <c r="J23" s="2592"/>
      <c r="K23" s="259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592"/>
      <c r="C26" s="2592"/>
      <c r="D26" s="2592"/>
      <c r="E26" s="2592"/>
      <c r="F26" s="2592"/>
      <c r="G26" s="2592"/>
      <c r="H26" s="2592"/>
      <c r="I26" s="2592"/>
      <c r="J26" s="2592"/>
      <c r="K26" s="259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592"/>
      <c r="C29" s="2592"/>
      <c r="D29" s="2592"/>
      <c r="E29" s="2592"/>
      <c r="F29" s="2592"/>
      <c r="G29" s="2592"/>
      <c r="H29" s="2592"/>
      <c r="I29" s="2592"/>
      <c r="J29" s="2592"/>
      <c r="K29" s="259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2"/>
      <c r="C32" s="2592"/>
      <c r="D32" s="2592"/>
      <c r="E32" s="2592"/>
      <c r="F32" s="2592"/>
      <c r="G32" s="2592"/>
      <c r="H32" s="2592"/>
      <c r="I32" s="2592"/>
      <c r="J32" s="2592"/>
      <c r="K32" s="259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2"/>
      <c r="C35" s="2592"/>
      <c r="D35" s="2592"/>
      <c r="E35" s="2592"/>
      <c r="F35" s="2592"/>
      <c r="G35" s="2592"/>
      <c r="H35" s="2592"/>
      <c r="I35" s="2592"/>
      <c r="J35" s="2592"/>
      <c r="K35" s="259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2"/>
      <c r="C38" s="2592"/>
      <c r="D38" s="2592"/>
      <c r="E38" s="2592"/>
      <c r="F38" s="2592"/>
      <c r="G38" s="2592"/>
      <c r="H38" s="2592"/>
      <c r="I38" s="2592"/>
      <c r="J38" s="2592"/>
      <c r="K38" s="259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592"/>
      <c r="C41" s="2592"/>
      <c r="D41" s="2592"/>
      <c r="E41" s="2592"/>
      <c r="F41" s="2592"/>
      <c r="G41" s="2592"/>
      <c r="H41" s="2592"/>
      <c r="I41" s="2592"/>
      <c r="J41" s="2592"/>
      <c r="K41" s="259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0" t="str">
        <f>'Single Audit Cover'!A7</f>
        <v xml:space="preserve">  Clinton CUSD 15</v>
      </c>
      <c r="C1" s="2570"/>
      <c r="D1" s="2570"/>
      <c r="E1" s="1240"/>
    </row>
    <row r="2" spans="2:5" s="1058" customFormat="1" ht="12.75" customHeight="1" x14ac:dyDescent="0.2">
      <c r="B2" s="2572">
        <f>'Single Audit Cover'!E7</f>
        <v>17020015026</v>
      </c>
      <c r="C2" s="2572"/>
      <c r="D2" s="2572"/>
      <c r="E2" s="1241"/>
    </row>
    <row r="3" spans="2:5" ht="12.75" customHeight="1" x14ac:dyDescent="0.2">
      <c r="B3" s="2593" t="s">
        <v>1740</v>
      </c>
      <c r="C3" s="2593"/>
      <c r="D3" s="2593"/>
      <c r="E3" s="1050"/>
    </row>
    <row r="4" spans="2:5" s="1058" customFormat="1" ht="12.75" customHeight="1" x14ac:dyDescent="0.2">
      <c r="B4" s="2607" t="str">
        <f>'Single Audit Cover'!A4</f>
        <v>Year Ending June 30, 2020</v>
      </c>
      <c r="C4" s="2607"/>
      <c r="D4" s="2607"/>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N34" sqref="N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3" t="s">
        <v>383</v>
      </c>
      <c r="B1" s="2173"/>
      <c r="C1" s="2173"/>
      <c r="D1" s="2173"/>
      <c r="E1" s="2173"/>
      <c r="F1" s="2173"/>
      <c r="G1" s="2173"/>
      <c r="H1" s="2173"/>
      <c r="I1" s="2173"/>
      <c r="J1" s="2173"/>
      <c r="K1" s="2173"/>
      <c r="L1" s="2173"/>
      <c r="M1" s="217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475606526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1.84E-2</v>
      </c>
      <c r="E10" s="333" t="s">
        <v>997</v>
      </c>
      <c r="F10" s="332">
        <v>5.0000000000000001E-3</v>
      </c>
      <c r="G10" s="333" t="s">
        <v>997</v>
      </c>
      <c r="H10" s="332">
        <v>2E-3</v>
      </c>
      <c r="I10" s="333" t="s">
        <v>998</v>
      </c>
      <c r="J10" s="1424">
        <f>ROUND(D10+F10+H10,5)</f>
        <v>2.5399999999999999E-2</v>
      </c>
      <c r="K10" s="217"/>
      <c r="L10" s="332">
        <v>5.0000000000000001E-4</v>
      </c>
      <c r="M10" s="217"/>
    </row>
    <row r="11" spans="1:14" ht="7.5" customHeight="1" x14ac:dyDescent="0.2">
      <c r="B11" s="217"/>
      <c r="C11" s="217"/>
      <c r="D11" s="2183" t="str">
        <f>IF(SUM(J10)&lt;=0.0999999,"","Enter the Tax Rates by moving the decimal two places to the left.")</f>
        <v/>
      </c>
      <c r="E11" s="2184"/>
      <c r="F11" s="2184"/>
      <c r="G11" s="2184"/>
      <c r="H11" s="2184"/>
      <c r="I11" s="2184"/>
      <c r="J11" s="218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19911367</v>
      </c>
      <c r="E16" s="1547"/>
      <c r="F16" s="1546">
        <f>SUM('Acct Summary 7-8'!C17,'Acct Summary 7-8'!D17,'Acct Summary 7-8'!F17)</f>
        <v>18862054</v>
      </c>
      <c r="G16" s="1547"/>
      <c r="H16" s="1546">
        <f>SUM(D16-F16)</f>
        <v>1049313</v>
      </c>
      <c r="I16" s="1548"/>
      <c r="J16" s="1546">
        <f>SUM('Acct Summary 7-8'!C81,'Acct Summary 7-8'!D81,'Acct Summary 7-8'!F81,'Acct Summary 7-8'!I81)</f>
        <v>24922602</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5">
        <f>IF(B31="X",(J7*0.069),IF(B32="X",(J7*0.138),"Enter x in a.or b."))</f>
        <v>65633700.588000007</v>
      </c>
      <c r="I31" s="345"/>
      <c r="J31" s="217"/>
      <c r="K31" s="217"/>
      <c r="L31" s="217"/>
      <c r="M31" s="217"/>
    </row>
    <row r="32" spans="1:13" ht="13.35" customHeight="1" x14ac:dyDescent="0.2">
      <c r="B32" s="346" t="s">
        <v>2015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15289078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4"/>
      <c r="C54" s="2175"/>
      <c r="D54" s="2175"/>
      <c r="E54" s="2175"/>
      <c r="F54" s="2175"/>
      <c r="G54" s="2175"/>
      <c r="H54" s="2175"/>
      <c r="I54" s="2175"/>
      <c r="J54" s="2175"/>
      <c r="K54" s="2175"/>
      <c r="L54" s="2176"/>
      <c r="M54" s="357"/>
    </row>
    <row r="55" spans="1:13" ht="12.75" customHeight="1" x14ac:dyDescent="0.2">
      <c r="B55" s="2177"/>
      <c r="C55" s="2178"/>
      <c r="D55" s="2178"/>
      <c r="E55" s="2178"/>
      <c r="F55" s="2178"/>
      <c r="G55" s="2178"/>
      <c r="H55" s="2178"/>
      <c r="I55" s="2178"/>
      <c r="J55" s="2178"/>
      <c r="K55" s="2178"/>
      <c r="L55" s="2179"/>
      <c r="M55" s="357"/>
    </row>
    <row r="56" spans="1:13" ht="12.75" customHeight="1" x14ac:dyDescent="0.2">
      <c r="B56" s="2177"/>
      <c r="C56" s="2178"/>
      <c r="D56" s="2178"/>
      <c r="E56" s="2178"/>
      <c r="F56" s="2178"/>
      <c r="G56" s="2178"/>
      <c r="H56" s="2178"/>
      <c r="I56" s="2178"/>
      <c r="J56" s="2178"/>
      <c r="K56" s="2178"/>
      <c r="L56" s="2179"/>
      <c r="M56" s="217"/>
    </row>
    <row r="57" spans="1:13" ht="12.75" customHeight="1" x14ac:dyDescent="0.2">
      <c r="B57" s="2177"/>
      <c r="C57" s="2178"/>
      <c r="D57" s="2178"/>
      <c r="E57" s="2178"/>
      <c r="F57" s="2178"/>
      <c r="G57" s="2178"/>
      <c r="H57" s="2178"/>
      <c r="I57" s="2178"/>
      <c r="J57" s="2178"/>
      <c r="K57" s="2178"/>
      <c r="L57" s="2179"/>
      <c r="M57" s="217"/>
    </row>
    <row r="58" spans="1:13" x14ac:dyDescent="0.2">
      <c r="B58" s="2180"/>
      <c r="C58" s="2181"/>
      <c r="D58" s="2181"/>
      <c r="E58" s="2181"/>
      <c r="F58" s="2181"/>
      <c r="G58" s="2181"/>
      <c r="H58" s="2181"/>
      <c r="I58" s="2181"/>
      <c r="J58" s="2181"/>
      <c r="K58" s="2181"/>
      <c r="L58" s="218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5"/>
      <c r="D61" s="218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N34" sqref="N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8"/>
      <c r="B1" s="2189"/>
      <c r="C1" s="2189"/>
      <c r="D1" s="361"/>
      <c r="E1" s="361"/>
      <c r="F1" s="361"/>
      <c r="G1" s="361"/>
      <c r="H1" s="361"/>
      <c r="I1" s="361"/>
      <c r="J1" s="361"/>
      <c r="K1" s="361"/>
      <c r="L1" s="361"/>
      <c r="M1" s="361"/>
      <c r="N1" s="361"/>
      <c r="O1" s="2188"/>
      <c r="P1" s="2189"/>
      <c r="Q1" s="2189"/>
    </row>
    <row r="2" spans="1:18" ht="15" x14ac:dyDescent="0.2">
      <c r="A2" s="2192" t="s">
        <v>552</v>
      </c>
      <c r="B2" s="2192"/>
      <c r="C2" s="2192"/>
      <c r="D2" s="2192"/>
      <c r="E2" s="2192"/>
      <c r="F2" s="2192"/>
      <c r="G2" s="2192"/>
      <c r="H2" s="2192"/>
      <c r="I2" s="2192"/>
      <c r="J2" s="2192"/>
      <c r="K2" s="2192"/>
      <c r="L2" s="2192"/>
      <c r="M2" s="2192"/>
      <c r="N2" s="2192"/>
      <c r="O2" s="2192"/>
      <c r="P2" s="2192"/>
      <c r="Q2" s="2192"/>
      <c r="R2" s="2192"/>
    </row>
    <row r="3" spans="1:18" ht="12.75" x14ac:dyDescent="0.2">
      <c r="A3" s="2193" t="s">
        <v>1393</v>
      </c>
      <c r="B3" s="2193"/>
      <c r="C3" s="2193"/>
      <c r="D3" s="2193"/>
      <c r="E3" s="2193"/>
      <c r="F3" s="2193"/>
      <c r="G3" s="2193"/>
      <c r="H3" s="2193"/>
      <c r="I3" s="2193"/>
      <c r="J3" s="2193"/>
      <c r="K3" s="2193"/>
      <c r="L3" s="2193"/>
      <c r="M3" s="2193"/>
      <c r="N3" s="2193"/>
      <c r="O3" s="2193"/>
      <c r="P3" s="2193"/>
      <c r="Q3" s="2193"/>
      <c r="R3" s="2193"/>
    </row>
    <row r="4" spans="1:18" x14ac:dyDescent="0.2">
      <c r="A4" s="2194" t="s">
        <v>1534</v>
      </c>
      <c r="B4" s="2194"/>
      <c r="C4" s="2194"/>
      <c r="D4" s="2194"/>
      <c r="E4" s="2194"/>
      <c r="F4" s="2194"/>
      <c r="G4" s="2194"/>
      <c r="H4" s="2194"/>
      <c r="I4" s="2194"/>
      <c r="J4" s="2194"/>
      <c r="K4" s="2194"/>
      <c r="L4" s="2194"/>
      <c r="M4" s="2194"/>
      <c r="N4" s="2194"/>
      <c r="O4" s="2194"/>
      <c r="P4" s="2194"/>
      <c r="Q4" s="2194"/>
      <c r="R4" s="219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Clinton CUSD 15</v>
      </c>
      <c r="E7" s="368"/>
      <c r="G7" s="247"/>
      <c r="H7" s="364"/>
      <c r="I7" s="364"/>
      <c r="J7" s="364"/>
      <c r="K7" s="364"/>
      <c r="L7" s="307"/>
      <c r="M7" s="307"/>
      <c r="N7" s="307"/>
      <c r="O7" s="307"/>
      <c r="P7" s="307"/>
    </row>
    <row r="8" spans="1:18" ht="12.75" x14ac:dyDescent="0.2">
      <c r="A8" s="307"/>
      <c r="B8" s="307"/>
      <c r="C8" s="366" t="s">
        <v>1114</v>
      </c>
      <c r="D8" s="369">
        <f>COVER!A13</f>
        <v>17020015026</v>
      </c>
      <c r="E8" s="370"/>
      <c r="G8" s="307"/>
      <c r="H8" s="307"/>
      <c r="I8" s="307"/>
      <c r="J8" s="307"/>
      <c r="K8" s="307"/>
      <c r="L8" s="307"/>
      <c r="M8" s="307"/>
      <c r="N8" s="307"/>
      <c r="O8" s="307"/>
      <c r="P8" s="307"/>
    </row>
    <row r="9" spans="1:18" ht="12.75" x14ac:dyDescent="0.2">
      <c r="A9" s="307"/>
      <c r="B9" s="307"/>
      <c r="C9" s="366" t="s">
        <v>707</v>
      </c>
      <c r="D9" s="371" t="str">
        <f>COVER!A15</f>
        <v>DEWITT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24922602</v>
      </c>
      <c r="I12" s="380"/>
      <c r="J12" s="380"/>
      <c r="K12" s="1559">
        <f>TRUNC((H12/H13*100000),5)/100000</f>
        <v>1.2627703189999999</v>
      </c>
      <c r="L12" s="381"/>
      <c r="M12" s="337" t="s">
        <v>1133</v>
      </c>
      <c r="N12" s="337"/>
      <c r="O12" s="1562">
        <v>0.35</v>
      </c>
      <c r="P12" s="213"/>
      <c r="Q12" s="213"/>
    </row>
    <row r="13" spans="1:18" s="382" customFormat="1" ht="12.75" x14ac:dyDescent="0.2">
      <c r="A13" s="213"/>
      <c r="B13" s="377"/>
      <c r="C13" s="2190" t="s">
        <v>1312</v>
      </c>
      <c r="D13" s="2191"/>
      <c r="E13" s="213"/>
      <c r="F13" s="383" t="s">
        <v>787</v>
      </c>
      <c r="G13" s="378"/>
      <c r="H13" s="1551">
        <f>SUM('Acct Summary 7-8'!C8+'Acct Summary 7-8'!D8+'Acct Summary 7-8'!F8+'Acct Summary 7-8'!I8)+H14</f>
        <v>19736449</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-174918</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441</v>
      </c>
      <c r="G17" s="378"/>
      <c r="H17" s="1551">
        <f>SUM('Acct Summary 7-8'!C17+'Acct Summary 7-8'!D17+'Acct Summary 7-8'!F17)</f>
        <v>18862054</v>
      </c>
      <c r="I17" s="380"/>
      <c r="J17" s="389"/>
      <c r="K17" s="1559">
        <f>TRUNC((H17/H18*100000),5)/100000</f>
        <v>0.9556964375</v>
      </c>
      <c r="L17" s="381"/>
      <c r="M17" s="390" t="s">
        <v>1160</v>
      </c>
      <c r="O17" s="1565" t="str">
        <f>IF(AND(O16="2", J20 &gt; 2),"1",IF(AND(O16 = "1", J20 &gt; 2),"2",IF(AND(O16="1", J20 &gt;1),"1","0")))</f>
        <v>0</v>
      </c>
      <c r="P17" s="213"/>
    </row>
    <row r="18" spans="1:18" s="382" customFormat="1" ht="11.25" x14ac:dyDescent="0.2">
      <c r="A18" s="213"/>
      <c r="B18" s="377"/>
      <c r="C18" s="2190" t="s">
        <v>1305</v>
      </c>
      <c r="D18" s="2191"/>
      <c r="E18" s="213"/>
      <c r="F18" s="391" t="s">
        <v>788</v>
      </c>
      <c r="G18" s="378"/>
      <c r="H18" s="1551">
        <f>SUM('Acct Summary 7-8'!C8+'Acct Summary 7-8'!D8+'Acct Summary 7-8'!F8+'Acct Summary 7-8'!I8)+H19</f>
        <v>19736449</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-174918</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7" t="s">
        <v>1392</v>
      </c>
      <c r="D24" s="2187"/>
      <c r="E24" s="213"/>
      <c r="F24" s="213" t="s">
        <v>442</v>
      </c>
      <c r="G24" s="378"/>
      <c r="H24" s="1551">
        <f>SUM('Assets-Liab 5-6'!C4+'Assets-Liab 5-6'!D4+'Assets-Liab 5-6'!F4+'Assets-Liab 5-6'!I4+'Assets-Liab 5-6'!C5+'Assets-Liab 5-6'!D5+'Assets-Liab 5-6'!F5+'Assets-Liab 5-6'!I5)</f>
        <v>24929096</v>
      </c>
      <c r="I24" s="394"/>
      <c r="J24" s="394"/>
      <c r="K24" s="1555">
        <f>TRUNC(((H24/H25*100000)/100000),2)</f>
        <v>475.79</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52394.594440000001</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10268344.89634</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15289078</v>
      </c>
      <c r="I32" s="392"/>
      <c r="J32" s="392"/>
      <c r="K32" s="1555">
        <f>TRUNC(100-((((H32/H33*100))*100)/100),2)</f>
        <v>76.7</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65633700.588000007</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N34" sqref="N34"/>
      <selection pane="bottomLeft" activeCell="J33" sqref="J3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5"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6"/>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7" t="s">
        <v>966</v>
      </c>
      <c r="B3" s="2198"/>
      <c r="C3" s="1306"/>
      <c r="D3" s="1307"/>
      <c r="E3" s="1307"/>
      <c r="F3" s="1307"/>
      <c r="G3" s="1307"/>
      <c r="H3" s="1307"/>
      <c r="I3" s="1307"/>
      <c r="J3" s="1307"/>
      <c r="K3" s="1307"/>
      <c r="L3" s="1307"/>
      <c r="M3" s="1308"/>
      <c r="N3" s="1309"/>
    </row>
    <row r="4" spans="1:14" ht="13.5" customHeight="1" x14ac:dyDescent="0.2">
      <c r="A4" s="427" t="s">
        <v>1629</v>
      </c>
      <c r="B4" s="428"/>
      <c r="C4" s="1572">
        <v>742065</v>
      </c>
      <c r="D4" s="1572">
        <v>1208763</v>
      </c>
      <c r="E4" s="1572">
        <v>21809</v>
      </c>
      <c r="F4" s="1572">
        <v>898889</v>
      </c>
      <c r="G4" s="1572">
        <v>279035</v>
      </c>
      <c r="H4" s="1572">
        <v>908</v>
      </c>
      <c r="I4" s="1572">
        <v>63892</v>
      </c>
      <c r="J4" s="1572">
        <v>1309091</v>
      </c>
      <c r="K4" s="1572">
        <v>1431456</v>
      </c>
      <c r="L4" s="1573">
        <v>300093</v>
      </c>
      <c r="M4" s="1575"/>
      <c r="N4" s="1576"/>
    </row>
    <row r="5" spans="1:14" x14ac:dyDescent="0.2">
      <c r="A5" s="427" t="s">
        <v>984</v>
      </c>
      <c r="B5" s="429">
        <v>120</v>
      </c>
      <c r="C5" s="1572">
        <v>11080506</v>
      </c>
      <c r="D5" s="1572">
        <v>3949548</v>
      </c>
      <c r="E5" s="1572">
        <v>0</v>
      </c>
      <c r="F5" s="1572">
        <v>2776061</v>
      </c>
      <c r="G5" s="1572">
        <v>1013858</v>
      </c>
      <c r="H5" s="1572">
        <v>0</v>
      </c>
      <c r="I5" s="1572">
        <v>4209372</v>
      </c>
      <c r="J5" s="1572">
        <v>0</v>
      </c>
      <c r="K5" s="1572">
        <v>35074</v>
      </c>
      <c r="L5" s="1578">
        <v>60734</v>
      </c>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269</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416</v>
      </c>
      <c r="B12" s="429">
        <v>190</v>
      </c>
      <c r="C12" s="1572">
        <v>0</v>
      </c>
      <c r="D12" s="1572">
        <v>0</v>
      </c>
      <c r="E12" s="1572">
        <v>0</v>
      </c>
      <c r="F12" s="1572">
        <v>20</v>
      </c>
      <c r="G12" s="1572">
        <v>4897</v>
      </c>
      <c r="H12" s="1572">
        <v>0</v>
      </c>
      <c r="I12" s="1572">
        <v>0</v>
      </c>
      <c r="J12" s="1572">
        <v>6327</v>
      </c>
      <c r="K12" s="1572">
        <v>0</v>
      </c>
      <c r="L12" s="1573"/>
      <c r="M12" s="1576"/>
      <c r="N12" s="1576"/>
    </row>
    <row r="13" spans="1:14" ht="13.5" customHeight="1" thickBot="1" x14ac:dyDescent="0.25">
      <c r="A13" s="1426" t="s">
        <v>639</v>
      </c>
      <c r="B13" s="1407"/>
      <c r="C13" s="1587">
        <f>SUM(C4:C12)</f>
        <v>11822571</v>
      </c>
      <c r="D13" s="1587">
        <f t="shared" ref="D13:L13" si="0">SUM(D4:D12)</f>
        <v>5158311</v>
      </c>
      <c r="E13" s="1587">
        <f t="shared" si="0"/>
        <v>21809</v>
      </c>
      <c r="F13" s="1587">
        <f t="shared" si="0"/>
        <v>3674970</v>
      </c>
      <c r="G13" s="1587">
        <f t="shared" si="0"/>
        <v>1297790</v>
      </c>
      <c r="H13" s="1587">
        <f t="shared" si="0"/>
        <v>908</v>
      </c>
      <c r="I13" s="1587">
        <f t="shared" si="0"/>
        <v>4273264</v>
      </c>
      <c r="J13" s="1587">
        <f t="shared" si="0"/>
        <v>1315418</v>
      </c>
      <c r="K13" s="1587">
        <f t="shared" si="0"/>
        <v>1466530</v>
      </c>
      <c r="L13" s="1587">
        <f t="shared" si="0"/>
        <v>360827</v>
      </c>
      <c r="M13" s="1575"/>
      <c r="N13" s="1576"/>
    </row>
    <row r="14" spans="1:14" ht="18" customHeight="1" thickTop="1" x14ac:dyDescent="0.2">
      <c r="A14" s="2199" t="s">
        <v>146</v>
      </c>
      <c r="B14" s="2200"/>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536629</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55621662</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3302203</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7041987</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v>59085</v>
      </c>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21809</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15267269</v>
      </c>
    </row>
    <row r="23" spans="1:14" ht="13.5" customHeight="1" thickBot="1" x14ac:dyDescent="0.25">
      <c r="A23" s="1426" t="s">
        <v>638</v>
      </c>
      <c r="B23" s="1429"/>
      <c r="C23" s="1575"/>
      <c r="D23" s="1575"/>
      <c r="E23" s="1575"/>
      <c r="F23" s="1575"/>
      <c r="G23" s="1575"/>
      <c r="H23" s="1575"/>
      <c r="I23" s="1575"/>
      <c r="J23" s="1575"/>
      <c r="K23" s="1575"/>
      <c r="L23" s="1575"/>
      <c r="M23" s="1594">
        <f>SUM(M15:M22)</f>
        <v>66561566</v>
      </c>
      <c r="N23" s="1594">
        <f>SUM(N21:N22)</f>
        <v>15289078</v>
      </c>
    </row>
    <row r="24" spans="1:14" ht="18" customHeight="1" thickTop="1" x14ac:dyDescent="0.2">
      <c r="A24" s="2201" t="s">
        <v>594</v>
      </c>
      <c r="B24" s="2202"/>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6514</v>
      </c>
      <c r="D31" s="1574">
        <v>0</v>
      </c>
      <c r="E31" s="1574">
        <v>0</v>
      </c>
      <c r="F31" s="1574" t="s">
        <v>2079</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360827</v>
      </c>
      <c r="M33" s="1575"/>
      <c r="N33" s="1576"/>
    </row>
    <row r="34" spans="1:14" ht="13.5" customHeight="1" thickBot="1" x14ac:dyDescent="0.25">
      <c r="A34" s="1427" t="s">
        <v>649</v>
      </c>
      <c r="B34" s="1428"/>
      <c r="C34" s="1598">
        <f>SUM(C25:C33)</f>
        <v>6514</v>
      </c>
      <c r="D34" s="1598">
        <f t="shared" ref="D34:K34" si="1">SUM(D25:D33)</f>
        <v>0</v>
      </c>
      <c r="E34" s="1598">
        <f t="shared" si="1"/>
        <v>0</v>
      </c>
      <c r="F34" s="1598">
        <f t="shared" si="1"/>
        <v>0</v>
      </c>
      <c r="G34" s="1598">
        <f t="shared" si="1"/>
        <v>0</v>
      </c>
      <c r="H34" s="1598">
        <f t="shared" si="1"/>
        <v>0</v>
      </c>
      <c r="I34" s="1598">
        <f t="shared" si="1"/>
        <v>0</v>
      </c>
      <c r="J34" s="1598">
        <f t="shared" si="1"/>
        <v>0</v>
      </c>
      <c r="K34" s="1598">
        <f t="shared" si="1"/>
        <v>0</v>
      </c>
      <c r="L34" s="1599">
        <f>SUM(L33)</f>
        <v>360827</v>
      </c>
      <c r="M34" s="1575"/>
      <c r="N34" s="1585"/>
    </row>
    <row r="35" spans="1:14" ht="18" customHeight="1" thickTop="1" x14ac:dyDescent="0.2">
      <c r="A35" s="2203" t="s">
        <v>526</v>
      </c>
      <c r="B35" s="2204"/>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15289078</v>
      </c>
    </row>
    <row r="37" spans="1:14" ht="13.5" thickBot="1" x14ac:dyDescent="0.25">
      <c r="A37" s="1426" t="s">
        <v>648</v>
      </c>
      <c r="B37" s="1429"/>
      <c r="C37" s="1582"/>
      <c r="D37" s="1582"/>
      <c r="E37" s="1582"/>
      <c r="F37" s="1582"/>
      <c r="G37" s="1582"/>
      <c r="H37" s="1582"/>
      <c r="I37" s="1582"/>
      <c r="J37" s="1582"/>
      <c r="K37" s="1582"/>
      <c r="L37" s="1585"/>
      <c r="M37" s="1575"/>
      <c r="N37" s="1594">
        <f>SUM(N36:N36)</f>
        <v>15289078</v>
      </c>
    </row>
    <row r="38" spans="1:14" s="307" customFormat="1" ht="13.5" customHeight="1" thickTop="1" x14ac:dyDescent="0.2">
      <c r="A38" s="438" t="s">
        <v>417</v>
      </c>
      <c r="B38" s="432">
        <v>714</v>
      </c>
      <c r="C38" s="1573"/>
      <c r="D38" s="1573"/>
      <c r="E38" s="1573"/>
      <c r="F38" s="1573"/>
      <c r="G38" s="1573"/>
      <c r="H38" s="1573">
        <v>908</v>
      </c>
      <c r="I38" s="1573"/>
      <c r="J38" s="1574"/>
      <c r="K38" s="1573">
        <v>4415</v>
      </c>
      <c r="L38" s="1586"/>
      <c r="M38" s="1602"/>
      <c r="N38" s="1602"/>
    </row>
    <row r="39" spans="1:14" s="307" customFormat="1" ht="13.5" customHeight="1" x14ac:dyDescent="0.2">
      <c r="A39" s="438" t="s">
        <v>339</v>
      </c>
      <c r="B39" s="432">
        <v>730</v>
      </c>
      <c r="C39" s="1573">
        <v>11816057</v>
      </c>
      <c r="D39" s="1573">
        <v>5158311</v>
      </c>
      <c r="E39" s="1573">
        <v>21809</v>
      </c>
      <c r="F39" s="1573">
        <v>3674970</v>
      </c>
      <c r="G39" s="1573">
        <v>1297790</v>
      </c>
      <c r="H39" s="1573"/>
      <c r="I39" s="1573">
        <v>4273264</v>
      </c>
      <c r="J39" s="1574">
        <v>1315418</v>
      </c>
      <c r="K39" s="1573">
        <v>1462115</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66561566</v>
      </c>
      <c r="N40" s="1602"/>
    </row>
    <row r="41" spans="1:14" ht="13.5" customHeight="1" thickBot="1" x14ac:dyDescent="0.25">
      <c r="A41" s="1426" t="s">
        <v>650</v>
      </c>
      <c r="B41" s="1405"/>
      <c r="C41" s="1594">
        <f>(SUM(C34,C37,C38,C39))</f>
        <v>11822571</v>
      </c>
      <c r="D41" s="1594">
        <f t="shared" ref="D41:L41" si="2">SUM(D34,D37,D38:D39)</f>
        <v>5158311</v>
      </c>
      <c r="E41" s="1594">
        <f t="shared" si="2"/>
        <v>21809</v>
      </c>
      <c r="F41" s="1594">
        <f t="shared" si="2"/>
        <v>3674970</v>
      </c>
      <c r="G41" s="1594">
        <f t="shared" si="2"/>
        <v>1297790</v>
      </c>
      <c r="H41" s="1594">
        <f t="shared" si="2"/>
        <v>908</v>
      </c>
      <c r="I41" s="1594">
        <f t="shared" si="2"/>
        <v>4273264</v>
      </c>
      <c r="J41" s="1594">
        <f t="shared" si="2"/>
        <v>1315418</v>
      </c>
      <c r="K41" s="1594">
        <f t="shared" si="2"/>
        <v>1466530</v>
      </c>
      <c r="L41" s="1594">
        <f t="shared" si="2"/>
        <v>360827</v>
      </c>
      <c r="M41" s="1594">
        <f>SUM(M40)</f>
        <v>66561566</v>
      </c>
      <c r="N41" s="1594">
        <f>SUM(N37)</f>
        <v>15289078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N34" sqref="N34"/>
      <selection pane="bottomLeft" activeCell="N34" sqref="N3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3"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4"/>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5" t="s">
        <v>1164</v>
      </c>
      <c r="B3" s="2226"/>
      <c r="C3" s="1311"/>
      <c r="D3" s="1312"/>
      <c r="E3" s="1312"/>
      <c r="F3" s="1312"/>
      <c r="G3" s="1312"/>
      <c r="H3" s="1312"/>
      <c r="I3" s="1312"/>
      <c r="J3" s="1312"/>
      <c r="K3" s="1313"/>
      <c r="L3" s="446"/>
    </row>
    <row r="4" spans="1:13" ht="15.75" customHeight="1" x14ac:dyDescent="0.2">
      <c r="A4" s="1537" t="s">
        <v>1479</v>
      </c>
      <c r="B4" s="1538">
        <v>1000</v>
      </c>
      <c r="C4" s="1604">
        <f>'Revenues 9-14'!C109</f>
        <v>10875545</v>
      </c>
      <c r="D4" s="1604">
        <f>'Revenues 9-14'!D109</f>
        <v>2402617</v>
      </c>
      <c r="E4" s="1604">
        <f>'Revenues 9-14'!E109</f>
        <v>2174243</v>
      </c>
      <c r="F4" s="1604">
        <f>'Revenues 9-14'!F109</f>
        <v>977159</v>
      </c>
      <c r="G4" s="1604">
        <f>'Revenues 9-14'!G109</f>
        <v>677369</v>
      </c>
      <c r="H4" s="1604">
        <f>'Revenues 9-14'!H109</f>
        <v>0</v>
      </c>
      <c r="I4" s="1604">
        <f>'Revenues 9-14'!I109</f>
        <v>283326</v>
      </c>
      <c r="J4" s="1604">
        <f>'Revenues 9-14'!J109</f>
        <v>1257652</v>
      </c>
      <c r="K4" s="1604">
        <f>'Revenues 9-14'!K109</f>
        <v>235474</v>
      </c>
      <c r="L4" s="325"/>
    </row>
    <row r="5" spans="1:13" ht="15.75" customHeight="1" x14ac:dyDescent="0.2">
      <c r="A5" s="1314" t="s">
        <v>1480</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2955876</v>
      </c>
      <c r="D6" s="1605">
        <f>'Revenues 9-14'!D170</f>
        <v>0</v>
      </c>
      <c r="E6" s="1605">
        <f>'Revenues 9-14'!E170</f>
        <v>0</v>
      </c>
      <c r="F6" s="1605">
        <f>'Revenues 9-14'!F170</f>
        <v>612185</v>
      </c>
      <c r="G6" s="1605">
        <f>'Revenues 9-14'!G170</f>
        <v>0</v>
      </c>
      <c r="H6" s="1605">
        <f>'Revenues 9-14'!H170</f>
        <v>0</v>
      </c>
      <c r="I6" s="1605">
        <f>'Revenues 9-14'!I170</f>
        <v>0</v>
      </c>
      <c r="J6" s="1605">
        <f>'Revenues 9-14'!J170</f>
        <v>0</v>
      </c>
      <c r="K6" s="1605">
        <f>'Revenues 9-14'!K170</f>
        <v>50000</v>
      </c>
      <c r="L6" s="325"/>
      <c r="M6" s="448"/>
    </row>
    <row r="7" spans="1:13" ht="15.75" customHeight="1" x14ac:dyDescent="0.2">
      <c r="A7" s="1314" t="s">
        <v>1482</v>
      </c>
      <c r="B7" s="1316">
        <v>4000</v>
      </c>
      <c r="C7" s="1605">
        <f>'Revenues 9-14'!C267</f>
        <v>1804659</v>
      </c>
      <c r="D7" s="1605">
        <f>'Revenues 9-14'!D267</f>
        <v>0</v>
      </c>
      <c r="E7" s="1605">
        <f>'Revenues 9-14'!E267</f>
        <v>0</v>
      </c>
      <c r="F7" s="1605">
        <f>'Revenues 9-14'!F267</f>
        <v>0</v>
      </c>
      <c r="G7" s="1605">
        <f>'Revenues 9-14'!G267</f>
        <v>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15636080</v>
      </c>
      <c r="D8" s="1594">
        <f t="shared" ref="D8:K8" si="0">SUM(D4:D7)</f>
        <v>2402617</v>
      </c>
      <c r="E8" s="1594">
        <f t="shared" si="0"/>
        <v>2174243</v>
      </c>
      <c r="F8" s="1594">
        <f t="shared" si="0"/>
        <v>1589344</v>
      </c>
      <c r="G8" s="1594">
        <f t="shared" si="0"/>
        <v>677369</v>
      </c>
      <c r="H8" s="1594">
        <f t="shared" si="0"/>
        <v>0</v>
      </c>
      <c r="I8" s="1594">
        <f t="shared" si="0"/>
        <v>283326</v>
      </c>
      <c r="J8" s="1594">
        <f t="shared" si="0"/>
        <v>1257652</v>
      </c>
      <c r="K8" s="1594">
        <f t="shared" si="0"/>
        <v>285474</v>
      </c>
      <c r="L8" s="325"/>
    </row>
    <row r="9" spans="1:13" ht="15.75" thickTop="1" x14ac:dyDescent="0.2">
      <c r="A9" s="449" t="s">
        <v>1631</v>
      </c>
      <c r="B9" s="450">
        <v>3998</v>
      </c>
      <c r="C9" s="1586">
        <v>7252472</v>
      </c>
      <c r="D9" s="1611"/>
      <c r="E9" s="1586"/>
      <c r="F9" s="1586"/>
      <c r="G9" s="1612"/>
      <c r="H9" s="1586"/>
      <c r="I9" s="1607" t="s">
        <v>1158</v>
      </c>
      <c r="J9" s="1583"/>
      <c r="K9" s="1586"/>
      <c r="L9" s="325"/>
    </row>
    <row r="10" spans="1:13" s="452" customFormat="1" ht="13.5" thickBot="1" x14ac:dyDescent="0.25">
      <c r="A10" s="1426" t="s">
        <v>1162</v>
      </c>
      <c r="B10" s="1407"/>
      <c r="C10" s="1594">
        <f>SUM(C8:C9)</f>
        <v>22888552</v>
      </c>
      <c r="D10" s="1594">
        <f t="shared" ref="D10:K10" si="1">SUM(D8:D9)</f>
        <v>2402617</v>
      </c>
      <c r="E10" s="1594">
        <f t="shared" si="1"/>
        <v>2174243</v>
      </c>
      <c r="F10" s="1594">
        <f t="shared" si="1"/>
        <v>1589344</v>
      </c>
      <c r="G10" s="1594">
        <f t="shared" si="1"/>
        <v>677369</v>
      </c>
      <c r="H10" s="1594">
        <f t="shared" si="1"/>
        <v>0</v>
      </c>
      <c r="I10" s="1594">
        <f t="shared" si="1"/>
        <v>283326</v>
      </c>
      <c r="J10" s="1594">
        <f t="shared" si="1"/>
        <v>1257652</v>
      </c>
      <c r="K10" s="1594">
        <f t="shared" si="1"/>
        <v>285474</v>
      </c>
      <c r="L10" s="451"/>
    </row>
    <row r="11" spans="1:13" s="452" customFormat="1" ht="16.7" customHeight="1" thickTop="1" x14ac:dyDescent="0.2">
      <c r="A11" s="2199" t="s">
        <v>1165</v>
      </c>
      <c r="B11" s="2200"/>
      <c r="C11" s="1600"/>
      <c r="D11" s="1601"/>
      <c r="E11" s="1601"/>
      <c r="F11" s="1601"/>
      <c r="G11" s="1601"/>
      <c r="H11" s="1601"/>
      <c r="I11" s="1601"/>
      <c r="J11" s="1601"/>
      <c r="K11" s="1613"/>
      <c r="L11" s="451"/>
    </row>
    <row r="12" spans="1:13" ht="15.75" customHeight="1" x14ac:dyDescent="0.2">
      <c r="A12" s="1314" t="s">
        <v>453</v>
      </c>
      <c r="B12" s="1316">
        <v>1000</v>
      </c>
      <c r="C12" s="1604">
        <f>'Expenditures 15-22'!K33</f>
        <v>11961063</v>
      </c>
      <c r="D12" s="1614" t="s">
        <v>1158</v>
      </c>
      <c r="E12" s="1575" t="s">
        <v>1158</v>
      </c>
      <c r="F12" s="1575" t="s">
        <v>1158</v>
      </c>
      <c r="G12" s="1604">
        <f>'Expenditures 15-22'!K229</f>
        <v>261824</v>
      </c>
      <c r="H12" s="1615"/>
      <c r="I12" s="1575" t="s">
        <v>1158</v>
      </c>
      <c r="J12" s="1575" t="s">
        <v>1158</v>
      </c>
      <c r="K12" s="1615" t="s">
        <v>1158</v>
      </c>
      <c r="L12" s="325"/>
    </row>
    <row r="13" spans="1:13" ht="15.75" customHeight="1" x14ac:dyDescent="0.2">
      <c r="A13" s="1314" t="s">
        <v>454</v>
      </c>
      <c r="B13" s="1316">
        <v>2000</v>
      </c>
      <c r="C13" s="1605">
        <f>'Expenditures 15-22'!K74</f>
        <v>3287643</v>
      </c>
      <c r="D13" s="1605">
        <f>'Expenditures 15-22'!K129</f>
        <v>1527630</v>
      </c>
      <c r="E13" s="1576" t="s">
        <v>1158</v>
      </c>
      <c r="F13" s="1605">
        <f>'Expenditures 15-22'!K184</f>
        <v>1410706</v>
      </c>
      <c r="G13" s="1605">
        <f>'Expenditures 15-22'!K279</f>
        <v>325127</v>
      </c>
      <c r="H13" s="1605">
        <f>'Expenditures 15-22'!K303</f>
        <v>0</v>
      </c>
      <c r="I13" s="1575" t="s">
        <v>1158</v>
      </c>
      <c r="J13" s="1605">
        <f>'Expenditures 15-22'!K330</f>
        <v>772961</v>
      </c>
      <c r="K13" s="1616">
        <f>'Expenditures 15-22'!K352</f>
        <v>152883</v>
      </c>
      <c r="L13" s="325"/>
    </row>
    <row r="14" spans="1:13" ht="15.75" customHeight="1" x14ac:dyDescent="0.2">
      <c r="A14" s="1314" t="s">
        <v>446</v>
      </c>
      <c r="B14" s="1316">
        <v>3000</v>
      </c>
      <c r="C14" s="1605">
        <f>'Expenditures 15-22'!K75</f>
        <v>1015</v>
      </c>
      <c r="D14" s="1605">
        <f>'Expenditures 15-22'!K130</f>
        <v>0</v>
      </c>
      <c r="E14" s="1614" t="s">
        <v>1158</v>
      </c>
      <c r="F14" s="1605">
        <f>'Expenditures 15-22'!K185</f>
        <v>0</v>
      </c>
      <c r="G14" s="1605">
        <f>'Expenditures 15-22'!K280</f>
        <v>0</v>
      </c>
      <c r="H14" s="1610"/>
      <c r="I14" s="1575" t="s">
        <v>1158</v>
      </c>
      <c r="J14" s="1575" t="s">
        <v>1158</v>
      </c>
      <c r="K14" s="1610" t="s">
        <v>1158</v>
      </c>
      <c r="L14" s="325"/>
    </row>
    <row r="15" spans="1:13" ht="15.75" customHeight="1" x14ac:dyDescent="0.2">
      <c r="A15" s="1314" t="s">
        <v>107</v>
      </c>
      <c r="B15" s="1316">
        <v>4000</v>
      </c>
      <c r="C15" s="1605">
        <f>'Expenditures 15-22'!K102</f>
        <v>664409</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2350216</v>
      </c>
      <c r="F16" s="1605">
        <f>'Expenditures 15-22'!K208</f>
        <v>9588</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15914130</v>
      </c>
      <c r="D17" s="1594">
        <f t="shared" si="2"/>
        <v>1527630</v>
      </c>
      <c r="E17" s="1594">
        <f t="shared" si="2"/>
        <v>2350216</v>
      </c>
      <c r="F17" s="1594">
        <f t="shared" si="2"/>
        <v>1420294</v>
      </c>
      <c r="G17" s="1594">
        <f t="shared" si="2"/>
        <v>586951</v>
      </c>
      <c r="H17" s="1594">
        <f t="shared" si="2"/>
        <v>0</v>
      </c>
      <c r="I17" s="1575"/>
      <c r="J17" s="1594">
        <f>SUM(J12:J16)</f>
        <v>772961</v>
      </c>
      <c r="K17" s="1594">
        <f>SUM(K12:K16)</f>
        <v>152883</v>
      </c>
      <c r="L17" s="325"/>
    </row>
    <row r="18" spans="1:12" ht="15" customHeight="1" thickTop="1" x14ac:dyDescent="0.2">
      <c r="A18" s="1430" t="s">
        <v>1632</v>
      </c>
      <c r="B18" s="1431">
        <v>4180</v>
      </c>
      <c r="C18" s="1604">
        <f t="shared" ref="C18:H18" si="3">C9</f>
        <v>7252472</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23166602</v>
      </c>
      <c r="D19" s="1594">
        <f t="shared" si="4"/>
        <v>1527630</v>
      </c>
      <c r="E19" s="1594">
        <f t="shared" si="4"/>
        <v>2350216</v>
      </c>
      <c r="F19" s="1594">
        <f t="shared" si="4"/>
        <v>1420294</v>
      </c>
      <c r="G19" s="1594">
        <f t="shared" si="4"/>
        <v>586951</v>
      </c>
      <c r="H19" s="1594">
        <f t="shared" si="4"/>
        <v>0</v>
      </c>
      <c r="I19" s="1575"/>
      <c r="J19" s="1594">
        <f>SUM(J17:J18)</f>
        <v>772961</v>
      </c>
      <c r="K19" s="1594">
        <f>SUM(K17:K18)</f>
        <v>152883</v>
      </c>
      <c r="L19" s="325"/>
    </row>
    <row r="20" spans="1:12" ht="16.5" thickTop="1" thickBot="1" x14ac:dyDescent="0.25">
      <c r="A20" s="2215" t="s">
        <v>1633</v>
      </c>
      <c r="B20" s="2216"/>
      <c r="C20" s="1620">
        <f>C8-C17</f>
        <v>-278050</v>
      </c>
      <c r="D20" s="1620">
        <f t="shared" ref="D20:K20" si="5">D8-D17</f>
        <v>874987</v>
      </c>
      <c r="E20" s="1620">
        <f t="shared" si="5"/>
        <v>-175973</v>
      </c>
      <c r="F20" s="1620">
        <f t="shared" si="5"/>
        <v>169050</v>
      </c>
      <c r="G20" s="1620">
        <f t="shared" si="5"/>
        <v>90418</v>
      </c>
      <c r="H20" s="1620">
        <f t="shared" si="5"/>
        <v>0</v>
      </c>
      <c r="I20" s="1620">
        <f t="shared" si="5"/>
        <v>283326</v>
      </c>
      <c r="J20" s="1620">
        <f t="shared" si="5"/>
        <v>484691</v>
      </c>
      <c r="K20" s="1620">
        <f t="shared" si="5"/>
        <v>132591</v>
      </c>
      <c r="L20" s="325"/>
    </row>
    <row r="21" spans="1:12" ht="16.7" customHeight="1" thickTop="1" x14ac:dyDescent="0.2">
      <c r="A21" s="2227" t="s">
        <v>591</v>
      </c>
      <c r="B21" s="2228"/>
      <c r="C21" s="1600"/>
      <c r="D21" s="1601"/>
      <c r="E21" s="1601"/>
      <c r="F21" s="1601"/>
      <c r="G21" s="1601"/>
      <c r="H21" s="1601"/>
      <c r="I21" s="1601"/>
      <c r="J21" s="1601"/>
      <c r="K21" s="1613"/>
      <c r="L21" s="453"/>
    </row>
    <row r="22" spans="1:12" ht="15.75" customHeight="1" collapsed="1" x14ac:dyDescent="0.2">
      <c r="A22" s="2223" t="s">
        <v>592</v>
      </c>
      <c r="B22" s="2224"/>
      <c r="C22" s="1582"/>
      <c r="D22" s="1582"/>
      <c r="E22" s="1582"/>
      <c r="F22" s="1582"/>
      <c r="G22" s="1582"/>
      <c r="H22" s="1582"/>
      <c r="I22" s="1582"/>
      <c r="J22" s="1582"/>
      <c r="K22" s="1582"/>
      <c r="L22" s="325"/>
    </row>
    <row r="23" spans="1:12" s="433" customFormat="1" ht="15.75" customHeight="1" x14ac:dyDescent="0.2">
      <c r="A23" s="2219" t="s">
        <v>290</v>
      </c>
      <c r="B23" s="2220"/>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1000000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21" t="s">
        <v>973</v>
      </c>
      <c r="B32" s="2222"/>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3000000</v>
      </c>
      <c r="J33" s="1574">
        <v>0</v>
      </c>
      <c r="K33" s="1574">
        <v>0</v>
      </c>
      <c r="L33" s="453"/>
    </row>
    <row r="34" spans="1:12" s="433" customFormat="1" x14ac:dyDescent="0.2">
      <c r="A34" s="1260" t="s">
        <v>993</v>
      </c>
      <c r="B34" s="454">
        <v>7220</v>
      </c>
      <c r="C34" s="1574">
        <v>0</v>
      </c>
      <c r="D34" s="1574">
        <v>0</v>
      </c>
      <c r="E34" s="1574">
        <v>0</v>
      </c>
      <c r="F34" s="1574">
        <v>0</v>
      </c>
      <c r="G34" s="1582"/>
      <c r="H34" s="1574">
        <v>0</v>
      </c>
      <c r="I34" s="1574">
        <v>25573</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171852</v>
      </c>
      <c r="F37" s="1580"/>
      <c r="G37" s="1580"/>
      <c r="H37" s="1580"/>
      <c r="I37" s="1582"/>
      <c r="J37" s="1580"/>
      <c r="K37" s="1580"/>
      <c r="L37" s="453"/>
    </row>
    <row r="38" spans="1:12" s="433" customFormat="1" x14ac:dyDescent="0.2">
      <c r="A38" s="1260" t="s">
        <v>439</v>
      </c>
      <c r="B38" s="454">
        <v>7500</v>
      </c>
      <c r="C38" s="1582"/>
      <c r="D38" s="1582"/>
      <c r="E38" s="1605">
        <f>SUM(C58:D61,H58:H61)</f>
        <v>3066</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9" t="s">
        <v>371</v>
      </c>
      <c r="B44" s="2230"/>
      <c r="C44" s="1622">
        <f>SUM(C24:C43)</f>
        <v>1000000</v>
      </c>
      <c r="D44" s="1622">
        <f t="shared" ref="D44:K44" si="6">SUM(D24:D43)</f>
        <v>0</v>
      </c>
      <c r="E44" s="1622">
        <f t="shared" si="6"/>
        <v>174918</v>
      </c>
      <c r="F44" s="1622">
        <f t="shared" si="6"/>
        <v>0</v>
      </c>
      <c r="G44" s="1622">
        <f t="shared" si="6"/>
        <v>0</v>
      </c>
      <c r="H44" s="1622">
        <f t="shared" si="6"/>
        <v>0</v>
      </c>
      <c r="I44" s="1622">
        <f t="shared" si="6"/>
        <v>3025573</v>
      </c>
      <c r="J44" s="1622">
        <f t="shared" si="6"/>
        <v>0</v>
      </c>
      <c r="K44" s="1622">
        <f t="shared" si="6"/>
        <v>0</v>
      </c>
      <c r="L44" s="453"/>
    </row>
    <row r="45" spans="1:12" ht="15.75" customHeight="1" thickTop="1" x14ac:dyDescent="0.2">
      <c r="A45" s="2223" t="s">
        <v>108</v>
      </c>
      <c r="B45" s="2224"/>
      <c r="C45" s="1623"/>
      <c r="D45" s="1623"/>
      <c r="E45" s="1623"/>
      <c r="F45" s="1623"/>
      <c r="G45" s="1623"/>
      <c r="H45" s="1623"/>
      <c r="I45" s="1623"/>
      <c r="J45" s="1623"/>
      <c r="K45" s="1623"/>
      <c r="L45" s="325"/>
    </row>
    <row r="46" spans="1:12" s="433" customFormat="1" ht="15.75" customHeight="1" x14ac:dyDescent="0.2">
      <c r="A46" s="2231" t="s">
        <v>109</v>
      </c>
      <c r="B46" s="2232"/>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1000000</v>
      </c>
      <c r="J47" s="1582"/>
      <c r="K47" s="1582"/>
      <c r="L47" s="456"/>
    </row>
    <row r="48" spans="1:12" s="433" customFormat="1" ht="15" x14ac:dyDescent="0.2">
      <c r="A48" s="1261" t="s">
        <v>1638</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171852</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3066</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0</v>
      </c>
      <c r="F75" s="1574">
        <v>0</v>
      </c>
      <c r="G75" s="1574">
        <v>0</v>
      </c>
      <c r="H75" s="1574">
        <v>0</v>
      </c>
      <c r="I75" s="1574">
        <v>25425</v>
      </c>
      <c r="J75" s="1574">
        <v>0</v>
      </c>
      <c r="K75" s="1574">
        <v>0</v>
      </c>
      <c r="L75" s="453"/>
    </row>
    <row r="76" spans="1:12" s="433" customFormat="1" ht="13.5" thickBot="1" x14ac:dyDescent="0.25">
      <c r="A76" s="2205" t="s">
        <v>437</v>
      </c>
      <c r="B76" s="2206"/>
      <c r="C76" s="1622">
        <f t="shared" ref="C76:K76" si="7">SUM(C47:C75)</f>
        <v>174918</v>
      </c>
      <c r="D76" s="1622">
        <f t="shared" si="7"/>
        <v>0</v>
      </c>
      <c r="E76" s="1622">
        <f t="shared" si="7"/>
        <v>0</v>
      </c>
      <c r="F76" s="1622">
        <f t="shared" si="7"/>
        <v>0</v>
      </c>
      <c r="G76" s="1622">
        <f t="shared" si="7"/>
        <v>0</v>
      </c>
      <c r="H76" s="1622">
        <f t="shared" si="7"/>
        <v>0</v>
      </c>
      <c r="I76" s="1622">
        <f t="shared" si="7"/>
        <v>1025425</v>
      </c>
      <c r="J76" s="1622">
        <f t="shared" si="7"/>
        <v>0</v>
      </c>
      <c r="K76" s="1622">
        <f t="shared" si="7"/>
        <v>0</v>
      </c>
      <c r="L76" s="453"/>
    </row>
    <row r="77" spans="1:12" ht="14.25" thickTop="1" thickBot="1" x14ac:dyDescent="0.25">
      <c r="A77" s="2207" t="s">
        <v>1166</v>
      </c>
      <c r="B77" s="2208"/>
      <c r="C77" s="1622">
        <f t="shared" ref="C77:K77" si="8">C44-C76</f>
        <v>825082</v>
      </c>
      <c r="D77" s="1622">
        <f t="shared" si="8"/>
        <v>0</v>
      </c>
      <c r="E77" s="1622">
        <f t="shared" si="8"/>
        <v>174918</v>
      </c>
      <c r="F77" s="1622">
        <f t="shared" si="8"/>
        <v>0</v>
      </c>
      <c r="G77" s="1622">
        <f t="shared" si="8"/>
        <v>0</v>
      </c>
      <c r="H77" s="1622">
        <f t="shared" si="8"/>
        <v>0</v>
      </c>
      <c r="I77" s="1622">
        <f t="shared" si="8"/>
        <v>2000148</v>
      </c>
      <c r="J77" s="1622">
        <f t="shared" si="8"/>
        <v>0</v>
      </c>
      <c r="K77" s="1622">
        <f t="shared" si="8"/>
        <v>0</v>
      </c>
      <c r="L77" s="325"/>
    </row>
    <row r="78" spans="1:12" ht="21.75" customHeight="1" thickTop="1" thickBot="1" x14ac:dyDescent="0.25">
      <c r="A78" s="2211" t="s">
        <v>593</v>
      </c>
      <c r="B78" s="2212"/>
      <c r="C78" s="1627">
        <f t="shared" ref="C78:K78" si="9">C20+C77</f>
        <v>547032</v>
      </c>
      <c r="D78" s="1627">
        <f t="shared" si="9"/>
        <v>874987</v>
      </c>
      <c r="E78" s="1627">
        <f t="shared" si="9"/>
        <v>-1055</v>
      </c>
      <c r="F78" s="1627">
        <f t="shared" si="9"/>
        <v>169050</v>
      </c>
      <c r="G78" s="1627">
        <f t="shared" si="9"/>
        <v>90418</v>
      </c>
      <c r="H78" s="1627">
        <f t="shared" si="9"/>
        <v>0</v>
      </c>
      <c r="I78" s="1627">
        <f t="shared" si="9"/>
        <v>2283474</v>
      </c>
      <c r="J78" s="1627">
        <f t="shared" si="9"/>
        <v>484691</v>
      </c>
      <c r="K78" s="1627">
        <f t="shared" si="9"/>
        <v>132591</v>
      </c>
      <c r="L78" s="457"/>
    </row>
    <row r="79" spans="1:12" ht="13.5" thickTop="1" x14ac:dyDescent="0.2">
      <c r="A79" s="1829" t="str">
        <f>"Fund Balances - July 1, "&amp;'AFR20'!E2-1</f>
        <v>Fund Balances - July 1, 2019</v>
      </c>
      <c r="B79" s="458"/>
      <c r="C79" s="1583">
        <v>11269025</v>
      </c>
      <c r="D79" s="1628">
        <v>4283324</v>
      </c>
      <c r="E79" s="1628">
        <v>22864</v>
      </c>
      <c r="F79" s="1628">
        <v>3505920</v>
      </c>
      <c r="G79" s="1628">
        <v>1207372</v>
      </c>
      <c r="H79" s="1628">
        <v>908</v>
      </c>
      <c r="I79" s="1628">
        <v>1989790</v>
      </c>
      <c r="J79" s="1628">
        <v>830727</v>
      </c>
      <c r="K79" s="1628">
        <v>1333939</v>
      </c>
      <c r="L79" s="325"/>
    </row>
    <row r="80" spans="1:12" x14ac:dyDescent="0.2">
      <c r="A80" s="2217" t="s">
        <v>1769</v>
      </c>
      <c r="B80" s="2218"/>
      <c r="C80" s="1574"/>
      <c r="D80" s="1574"/>
      <c r="E80" s="1574"/>
      <c r="F80" s="1574"/>
      <c r="G80" s="1574"/>
      <c r="H80" s="1574"/>
      <c r="I80" s="1574"/>
      <c r="J80" s="1574"/>
      <c r="K80" s="1574"/>
      <c r="L80" s="325"/>
    </row>
    <row r="81" spans="1:12" ht="13.5" thickBot="1" x14ac:dyDescent="0.25">
      <c r="A81" s="2209" t="str">
        <f>"Fund Balances - June 30, "&amp;'AFR20'!E2</f>
        <v>Fund Balances - June 30, 2020</v>
      </c>
      <c r="B81" s="2210"/>
      <c r="C81" s="1594">
        <f>(SUM(C78:C80))</f>
        <v>11816057</v>
      </c>
      <c r="D81" s="1594">
        <f>SUM(D78:D80)</f>
        <v>5158311</v>
      </c>
      <c r="E81" s="1594">
        <f t="shared" ref="E81:K81" si="10">SUM(E78:E80)</f>
        <v>21809</v>
      </c>
      <c r="F81" s="1594">
        <f t="shared" si="10"/>
        <v>3674970</v>
      </c>
      <c r="G81" s="1594">
        <f t="shared" si="10"/>
        <v>1297790</v>
      </c>
      <c r="H81" s="1594">
        <f t="shared" si="10"/>
        <v>908</v>
      </c>
      <c r="I81" s="1594">
        <f t="shared" si="10"/>
        <v>4273264</v>
      </c>
      <c r="J81" s="1594">
        <f t="shared" si="10"/>
        <v>1315418</v>
      </c>
      <c r="K81" s="1594">
        <f t="shared" si="10"/>
        <v>1466530</v>
      </c>
      <c r="L81" s="325"/>
    </row>
    <row r="82" spans="1:12" ht="0.75" customHeight="1" thickTop="1" thickBot="1" x14ac:dyDescent="0.25">
      <c r="A82" s="459" t="s">
        <v>340</v>
      </c>
      <c r="B82" s="460"/>
      <c r="C82" s="461">
        <f>(C81-C79)</f>
        <v>547032</v>
      </c>
      <c r="D82" s="461">
        <f t="shared" ref="D82:K82" si="11">(D81-D79)</f>
        <v>874987</v>
      </c>
      <c r="E82" s="461">
        <f t="shared" si="11"/>
        <v>-1055</v>
      </c>
      <c r="F82" s="461">
        <f t="shared" si="11"/>
        <v>169050</v>
      </c>
      <c r="G82" s="461">
        <f t="shared" si="11"/>
        <v>90418</v>
      </c>
      <c r="H82" s="461">
        <f t="shared" si="11"/>
        <v>0</v>
      </c>
      <c r="I82" s="461">
        <f t="shared" si="11"/>
        <v>2283474</v>
      </c>
      <c r="J82" s="461">
        <f t="shared" si="11"/>
        <v>484691</v>
      </c>
      <c r="K82" s="461">
        <f t="shared" si="11"/>
        <v>132591</v>
      </c>
    </row>
    <row r="83" spans="1:12" ht="14.25" hidden="1" thickTop="1" thickBot="1" x14ac:dyDescent="0.25">
      <c r="A83" s="462" t="s">
        <v>341</v>
      </c>
      <c r="B83" s="428"/>
      <c r="C83" s="463">
        <f>C82/C81</f>
        <v>4.6295646678075439E-2</v>
      </c>
      <c r="D83" s="463">
        <f t="shared" ref="D83:K83" si="12">D82/D81</f>
        <v>0.16962664717191345</v>
      </c>
      <c r="E83" s="463">
        <f t="shared" si="12"/>
        <v>-4.83745242789674E-2</v>
      </c>
      <c r="F83" s="463">
        <f t="shared" si="12"/>
        <v>4.6000375513269499E-2</v>
      </c>
      <c r="G83" s="463">
        <f t="shared" si="12"/>
        <v>6.967074796384623E-2</v>
      </c>
      <c r="H83" s="463">
        <f t="shared" si="12"/>
        <v>0</v>
      </c>
      <c r="I83" s="463">
        <f t="shared" si="12"/>
        <v>0.53436296002306438</v>
      </c>
      <c r="J83" s="463">
        <f t="shared" si="12"/>
        <v>0.36846918622065383</v>
      </c>
      <c r="K83" s="463">
        <f t="shared" si="12"/>
        <v>9.0411379242156656E-2</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28" activePane="bottomLeft" state="frozen"/>
      <selection activeCell="N34" sqref="N3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3" t="s">
        <v>1776</v>
      </c>
      <c r="B1" s="416"/>
      <c r="C1" s="417" t="s">
        <v>422</v>
      </c>
      <c r="D1" s="417" t="s">
        <v>423</v>
      </c>
      <c r="E1" s="417" t="s">
        <v>424</v>
      </c>
      <c r="F1" s="417" t="s">
        <v>425</v>
      </c>
      <c r="G1" s="417" t="s">
        <v>426</v>
      </c>
      <c r="H1" s="417" t="s">
        <v>427</v>
      </c>
      <c r="I1" s="417" t="s">
        <v>428</v>
      </c>
      <c r="J1" s="417" t="s">
        <v>429</v>
      </c>
      <c r="K1" s="417" t="s">
        <v>750</v>
      </c>
    </row>
    <row r="2" spans="1:12" ht="36" x14ac:dyDescent="0.2">
      <c r="A2" s="2214"/>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8596760</v>
      </c>
      <c r="D5" s="1586">
        <v>2335840</v>
      </c>
      <c r="E5" s="1586">
        <v>2173980</v>
      </c>
      <c r="F5" s="1586">
        <v>934256</v>
      </c>
      <c r="G5" s="1586">
        <v>331166</v>
      </c>
      <c r="H5" s="1586">
        <v>0</v>
      </c>
      <c r="I5" s="1586">
        <v>233497</v>
      </c>
      <c r="J5" s="1586">
        <v>1256931</v>
      </c>
      <c r="K5" s="1586">
        <v>233619</v>
      </c>
    </row>
    <row r="6" spans="1:12" ht="15" x14ac:dyDescent="0.2">
      <c r="A6" s="427" t="s">
        <v>1640</v>
      </c>
      <c r="B6" s="429">
        <v>1130</v>
      </c>
      <c r="C6" s="1586">
        <v>233619</v>
      </c>
      <c r="D6" s="1586">
        <v>0</v>
      </c>
      <c r="E6" s="1580"/>
      <c r="F6" s="1580"/>
      <c r="G6" s="1575"/>
      <c r="H6" s="1575"/>
      <c r="I6" s="1575"/>
      <c r="J6" s="1575"/>
      <c r="K6" s="1575"/>
    </row>
    <row r="7" spans="1:12" x14ac:dyDescent="0.2">
      <c r="A7" s="427" t="s">
        <v>110</v>
      </c>
      <c r="B7" s="471">
        <v>1140</v>
      </c>
      <c r="C7" s="1586">
        <v>186766</v>
      </c>
      <c r="D7" s="1586">
        <v>0</v>
      </c>
      <c r="E7" s="1575"/>
      <c r="F7" s="1586">
        <v>0</v>
      </c>
      <c r="G7" s="1586">
        <v>0</v>
      </c>
      <c r="H7" s="1586">
        <v>0</v>
      </c>
      <c r="I7" s="1575"/>
      <c r="J7" s="1575"/>
      <c r="K7" s="1575"/>
    </row>
    <row r="8" spans="1:12" x14ac:dyDescent="0.2">
      <c r="A8" s="427" t="s">
        <v>410</v>
      </c>
      <c r="B8" s="429">
        <v>1150</v>
      </c>
      <c r="C8" s="1580"/>
      <c r="D8" s="1580"/>
      <c r="E8" s="1582"/>
      <c r="F8" s="1582"/>
      <c r="G8" s="1586">
        <v>282091</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9017145</v>
      </c>
      <c r="D12" s="1629">
        <f t="shared" si="0"/>
        <v>2335840</v>
      </c>
      <c r="E12" s="1629">
        <f t="shared" si="0"/>
        <v>2173980</v>
      </c>
      <c r="F12" s="1629">
        <f t="shared" si="0"/>
        <v>934256</v>
      </c>
      <c r="G12" s="1629">
        <f t="shared" si="0"/>
        <v>613257</v>
      </c>
      <c r="H12" s="1629">
        <f t="shared" si="0"/>
        <v>0</v>
      </c>
      <c r="I12" s="1629">
        <f t="shared" si="0"/>
        <v>233497</v>
      </c>
      <c r="J12" s="1629">
        <f t="shared" si="0"/>
        <v>1256931</v>
      </c>
      <c r="K12" s="1594">
        <f t="shared" si="0"/>
        <v>233619</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0</v>
      </c>
      <c r="D14" s="1586">
        <v>0</v>
      </c>
      <c r="E14" s="1586">
        <v>0</v>
      </c>
      <c r="F14" s="1586">
        <v>0</v>
      </c>
      <c r="G14" s="1586">
        <v>0</v>
      </c>
      <c r="H14" s="1586">
        <v>0</v>
      </c>
      <c r="I14" s="1586">
        <v>0</v>
      </c>
      <c r="J14" s="1586">
        <v>0</v>
      </c>
      <c r="K14" s="1586">
        <v>0</v>
      </c>
    </row>
    <row r="15" spans="1:12" ht="12.75" customHeight="1" x14ac:dyDescent="0.2">
      <c r="A15" s="427" t="s">
        <v>95</v>
      </c>
      <c r="B15" s="429">
        <v>1220</v>
      </c>
      <c r="C15" s="1586">
        <v>0</v>
      </c>
      <c r="D15" s="1586">
        <v>0</v>
      </c>
      <c r="E15" s="1586">
        <v>0</v>
      </c>
      <c r="F15" s="1586">
        <v>0</v>
      </c>
      <c r="G15" s="1586">
        <v>0</v>
      </c>
      <c r="H15" s="1586">
        <v>0</v>
      </c>
      <c r="I15" s="1586">
        <v>0</v>
      </c>
      <c r="J15" s="1586">
        <v>0</v>
      </c>
      <c r="K15" s="1586">
        <v>0</v>
      </c>
    </row>
    <row r="16" spans="1:12" ht="15" customHeight="1" x14ac:dyDescent="0.2">
      <c r="A16" s="427" t="s">
        <v>1641</v>
      </c>
      <c r="B16" s="471">
        <v>1230</v>
      </c>
      <c r="C16" s="1586">
        <v>1139386</v>
      </c>
      <c r="D16" s="1586">
        <v>0</v>
      </c>
      <c r="E16" s="1586">
        <v>0</v>
      </c>
      <c r="F16" s="1586">
        <v>0</v>
      </c>
      <c r="G16" s="1586">
        <v>50000</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1139386</v>
      </c>
      <c r="D18" s="1631">
        <f t="shared" ref="D18:K18" si="1">SUM(D14:D17)</f>
        <v>0</v>
      </c>
      <c r="E18" s="1631">
        <f t="shared" si="1"/>
        <v>0</v>
      </c>
      <c r="F18" s="1631">
        <f t="shared" si="1"/>
        <v>0</v>
      </c>
      <c r="G18" s="1631">
        <f t="shared" si="1"/>
        <v>50000</v>
      </c>
      <c r="H18" s="1631">
        <f t="shared" si="1"/>
        <v>0</v>
      </c>
      <c r="I18" s="1631">
        <f t="shared" si="1"/>
        <v>0</v>
      </c>
      <c r="J18" s="1631">
        <f t="shared" si="1"/>
        <v>0</v>
      </c>
      <c r="K18" s="1632">
        <f t="shared" si="1"/>
        <v>0</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19219</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19219</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161566</v>
      </c>
      <c r="D65" s="1586">
        <v>50517</v>
      </c>
      <c r="E65" s="1586">
        <v>263</v>
      </c>
      <c r="F65" s="1586">
        <v>41989</v>
      </c>
      <c r="G65" s="1586">
        <v>14112</v>
      </c>
      <c r="H65" s="1586">
        <v>0</v>
      </c>
      <c r="I65" s="1586">
        <v>49829</v>
      </c>
      <c r="J65" s="1586">
        <v>721</v>
      </c>
      <c r="K65" s="1586">
        <v>1855</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161566</v>
      </c>
      <c r="D67" s="1594">
        <f t="shared" ref="D67:K67" si="2">SUM(D65:D66)</f>
        <v>50517</v>
      </c>
      <c r="E67" s="1594">
        <f t="shared" si="2"/>
        <v>263</v>
      </c>
      <c r="F67" s="1594">
        <f t="shared" si="2"/>
        <v>41989</v>
      </c>
      <c r="G67" s="1594">
        <f t="shared" si="2"/>
        <v>14112</v>
      </c>
      <c r="H67" s="1594">
        <f t="shared" si="2"/>
        <v>0</v>
      </c>
      <c r="I67" s="1594">
        <f t="shared" si="2"/>
        <v>49829</v>
      </c>
      <c r="J67" s="1594">
        <f t="shared" si="2"/>
        <v>721</v>
      </c>
      <c r="K67" s="1594">
        <f t="shared" si="2"/>
        <v>1855</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133502</v>
      </c>
      <c r="D69" s="1575"/>
      <c r="E69" s="1575"/>
      <c r="F69" s="1575"/>
      <c r="G69" s="1575"/>
      <c r="H69" s="1575"/>
      <c r="I69" s="1575"/>
      <c r="J69" s="1575"/>
      <c r="K69" s="1575"/>
    </row>
    <row r="70" spans="1:11" ht="12.75" customHeight="1" x14ac:dyDescent="0.2">
      <c r="A70" s="427" t="s">
        <v>989</v>
      </c>
      <c r="B70" s="429">
        <v>1612</v>
      </c>
      <c r="C70" s="1586">
        <v>28335</v>
      </c>
      <c r="D70" s="1575"/>
      <c r="E70" s="1575"/>
      <c r="F70" s="1575"/>
      <c r="G70" s="1575"/>
      <c r="H70" s="1575"/>
      <c r="I70" s="1575"/>
      <c r="J70" s="1575"/>
      <c r="K70" s="1575"/>
    </row>
    <row r="71" spans="1:11" ht="12.75" customHeight="1" x14ac:dyDescent="0.2">
      <c r="A71" s="427" t="s">
        <v>271</v>
      </c>
      <c r="B71" s="429">
        <v>1613</v>
      </c>
      <c r="C71" s="1586">
        <v>95046</v>
      </c>
      <c r="D71" s="1575"/>
      <c r="E71" s="1575"/>
      <c r="F71" s="1575"/>
      <c r="G71" s="1575"/>
      <c r="H71" s="1575"/>
      <c r="I71" s="1575"/>
      <c r="J71" s="1575"/>
      <c r="K71" s="1575"/>
    </row>
    <row r="72" spans="1:11" ht="12.75" customHeight="1" x14ac:dyDescent="0.2">
      <c r="A72" s="427" t="s">
        <v>24</v>
      </c>
      <c r="B72" s="429">
        <v>1614</v>
      </c>
      <c r="C72" s="1586">
        <v>8776</v>
      </c>
      <c r="D72" s="1575"/>
      <c r="E72" s="1575"/>
      <c r="F72" s="1575"/>
      <c r="G72" s="1575"/>
      <c r="H72" s="1575"/>
      <c r="I72" s="1575"/>
      <c r="J72" s="1575"/>
      <c r="K72" s="1575"/>
    </row>
    <row r="73" spans="1:11" ht="12.75" customHeight="1" x14ac:dyDescent="0.2">
      <c r="A73" s="427" t="s">
        <v>990</v>
      </c>
      <c r="B73" s="429">
        <v>1620</v>
      </c>
      <c r="C73" s="1586">
        <v>30</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544</v>
      </c>
      <c r="B75" s="1407"/>
      <c r="C75" s="1594">
        <f>SUM(C69:C74)</f>
        <v>265689</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14105</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40432</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0</v>
      </c>
      <c r="D81" s="1586">
        <v>0</v>
      </c>
      <c r="E81" s="1575"/>
      <c r="F81" s="1575"/>
      <c r="G81" s="1575"/>
      <c r="H81" s="1575"/>
      <c r="I81" s="1575"/>
      <c r="J81" s="1575"/>
      <c r="K81" s="1575"/>
    </row>
    <row r="82" spans="1:11" ht="12.75" customHeight="1" thickBot="1" x14ac:dyDescent="0.25">
      <c r="A82" s="1406" t="s">
        <v>239</v>
      </c>
      <c r="B82" s="1407"/>
      <c r="C82" s="1629">
        <f>SUM(C77:C81)</f>
        <v>54537</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59656</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59656</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16260</v>
      </c>
      <c r="E95" s="1615"/>
      <c r="F95" s="1615"/>
      <c r="G95" s="1615"/>
      <c r="H95" s="1615"/>
      <c r="I95" s="1615"/>
      <c r="J95" s="1615"/>
      <c r="K95" s="1615"/>
    </row>
    <row r="96" spans="1:11" ht="12.75" customHeight="1" x14ac:dyDescent="0.2">
      <c r="A96" s="427" t="s">
        <v>388</v>
      </c>
      <c r="B96" s="429">
        <v>1920</v>
      </c>
      <c r="C96" s="1586">
        <v>308</v>
      </c>
      <c r="D96" s="1586">
        <v>0</v>
      </c>
      <c r="E96" s="1586">
        <v>0</v>
      </c>
      <c r="F96" s="1586">
        <v>0</v>
      </c>
      <c r="G96" s="1586">
        <v>0</v>
      </c>
      <c r="H96" s="1586">
        <v>0</v>
      </c>
      <c r="I96" s="1586">
        <v>0</v>
      </c>
      <c r="J96" s="1586">
        <v>0</v>
      </c>
      <c r="K96" s="1586">
        <v>0</v>
      </c>
    </row>
    <row r="97" spans="1:12" ht="12.75" customHeight="1" x14ac:dyDescent="0.2">
      <c r="A97" s="1265" t="s">
        <v>242</v>
      </c>
      <c r="B97" s="477">
        <v>1930</v>
      </c>
      <c r="C97" s="1586" t="s">
        <v>1158</v>
      </c>
      <c r="D97" s="1586">
        <v>0</v>
      </c>
      <c r="E97" s="1586">
        <v>0</v>
      </c>
      <c r="F97" s="1586">
        <v>0</v>
      </c>
      <c r="G97" s="1586">
        <v>0</v>
      </c>
      <c r="H97" s="1586">
        <v>0</v>
      </c>
      <c r="I97" s="1586">
        <v>0</v>
      </c>
      <c r="J97" s="1586">
        <v>0</v>
      </c>
      <c r="K97" s="1586">
        <v>0</v>
      </c>
    </row>
    <row r="98" spans="1:12" ht="12.75" customHeight="1" x14ac:dyDescent="0.2">
      <c r="A98" s="427" t="s">
        <v>188</v>
      </c>
      <c r="B98" s="429">
        <v>1940</v>
      </c>
      <c r="C98" s="1586">
        <v>90000</v>
      </c>
      <c r="D98" s="1586">
        <v>0</v>
      </c>
      <c r="E98" s="1610"/>
      <c r="F98" s="1586">
        <v>0</v>
      </c>
      <c r="G98" s="1610"/>
      <c r="H98" s="1610"/>
      <c r="I98" s="1608"/>
      <c r="J98" s="1610"/>
      <c r="K98" s="1610"/>
    </row>
    <row r="99" spans="1:12" ht="12.75" customHeight="1" x14ac:dyDescent="0.2">
      <c r="A99" s="427" t="s">
        <v>815</v>
      </c>
      <c r="B99" s="429">
        <v>1950</v>
      </c>
      <c r="C99" s="1586">
        <v>41183</v>
      </c>
      <c r="D99" s="1586">
        <v>0</v>
      </c>
      <c r="E99" s="1586">
        <v>0</v>
      </c>
      <c r="F99" s="1586">
        <v>0</v>
      </c>
      <c r="G99" s="1586">
        <v>0</v>
      </c>
      <c r="H99" s="1586">
        <v>0</v>
      </c>
      <c r="I99" s="1575"/>
      <c r="J99" s="1586">
        <v>0</v>
      </c>
      <c r="K99" s="1586">
        <v>0</v>
      </c>
    </row>
    <row r="100" spans="1:12" ht="12.75" customHeight="1" x14ac:dyDescent="0.2">
      <c r="A100" s="427" t="s">
        <v>243</v>
      </c>
      <c r="B100" s="429">
        <v>1960</v>
      </c>
      <c r="C100" s="1586">
        <v>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9320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0</v>
      </c>
      <c r="F103" s="1575"/>
      <c r="G103" s="1575"/>
      <c r="H103" s="1586">
        <v>0</v>
      </c>
      <c r="I103" s="1575"/>
      <c r="J103" s="1608"/>
      <c r="K103" s="1608"/>
    </row>
    <row r="104" spans="1:12" ht="12.75" customHeight="1" x14ac:dyDescent="0.2">
      <c r="A104" s="427" t="s">
        <v>824</v>
      </c>
      <c r="B104" s="429">
        <v>1991</v>
      </c>
      <c r="C104" s="1586">
        <v>0</v>
      </c>
      <c r="D104" s="1586">
        <v>0</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13784</v>
      </c>
      <c r="D106" s="1586">
        <v>0</v>
      </c>
      <c r="E106" s="1586">
        <v>0</v>
      </c>
      <c r="F106" s="1586">
        <v>0</v>
      </c>
      <c r="G106" s="1586">
        <v>0</v>
      </c>
      <c r="H106" s="1586">
        <v>0</v>
      </c>
      <c r="I106" s="1615"/>
      <c r="J106" s="1586">
        <v>0</v>
      </c>
      <c r="K106" s="1586">
        <v>0</v>
      </c>
    </row>
    <row r="107" spans="1:12" ht="12.75" customHeight="1" x14ac:dyDescent="0.2">
      <c r="A107" s="427" t="s">
        <v>78</v>
      </c>
      <c r="B107" s="429">
        <v>1999</v>
      </c>
      <c r="C107" s="1586">
        <v>3752</v>
      </c>
      <c r="D107" s="1586">
        <v>0</v>
      </c>
      <c r="E107" s="1586">
        <v>0</v>
      </c>
      <c r="F107" s="1586">
        <v>914</v>
      </c>
      <c r="G107" s="1586">
        <v>0</v>
      </c>
      <c r="H107" s="1586">
        <v>0</v>
      </c>
      <c r="I107" s="1586">
        <v>0</v>
      </c>
      <c r="J107" s="1586">
        <v>0</v>
      </c>
      <c r="K107" s="1586">
        <v>0</v>
      </c>
    </row>
    <row r="108" spans="1:12" ht="12.75" customHeight="1" thickBot="1" x14ac:dyDescent="0.25">
      <c r="A108" s="1406" t="s">
        <v>484</v>
      </c>
      <c r="B108" s="1408"/>
      <c r="C108" s="1629">
        <f>SUM(C95:C107)</f>
        <v>158347</v>
      </c>
      <c r="D108" s="1629">
        <f t="shared" ref="D108:K108" si="3">SUM(D95:D107)</f>
        <v>16260</v>
      </c>
      <c r="E108" s="1629">
        <f t="shared" si="3"/>
        <v>0</v>
      </c>
      <c r="F108" s="1629">
        <f t="shared" si="3"/>
        <v>914</v>
      </c>
      <c r="G108" s="1629">
        <f t="shared" si="3"/>
        <v>0</v>
      </c>
      <c r="H108" s="1629">
        <f t="shared" si="3"/>
        <v>0</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10875545</v>
      </c>
      <c r="D109" s="1636">
        <f t="shared" si="4"/>
        <v>2402617</v>
      </c>
      <c r="E109" s="1636">
        <f t="shared" si="4"/>
        <v>2174243</v>
      </c>
      <c r="F109" s="1636">
        <f t="shared" si="4"/>
        <v>977159</v>
      </c>
      <c r="G109" s="1636">
        <f t="shared" si="4"/>
        <v>677369</v>
      </c>
      <c r="H109" s="1636">
        <f t="shared" si="4"/>
        <v>0</v>
      </c>
      <c r="I109" s="1636">
        <f t="shared" si="4"/>
        <v>283326</v>
      </c>
      <c r="J109" s="1636">
        <f t="shared" si="4"/>
        <v>1257652</v>
      </c>
      <c r="K109" s="1627">
        <f t="shared" si="4"/>
        <v>235474</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2150372</v>
      </c>
      <c r="D117" s="1586">
        <v>0</v>
      </c>
      <c r="E117" s="1586">
        <v>0</v>
      </c>
      <c r="F117" s="1586">
        <v>0</v>
      </c>
      <c r="G117" s="1586">
        <v>0</v>
      </c>
      <c r="H117" s="1586">
        <v>0</v>
      </c>
      <c r="I117" s="1575"/>
      <c r="J117" s="1586">
        <v>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2150372</v>
      </c>
      <c r="D122" s="1629">
        <f t="shared" si="5"/>
        <v>0</v>
      </c>
      <c r="E122" s="1629">
        <f t="shared" si="5"/>
        <v>0</v>
      </c>
      <c r="F122" s="1629">
        <f t="shared" si="5"/>
        <v>0</v>
      </c>
      <c r="G122" s="1629">
        <f t="shared" si="5"/>
        <v>0</v>
      </c>
      <c r="H122" s="1629">
        <f t="shared" si="5"/>
        <v>0</v>
      </c>
      <c r="I122" s="1575"/>
      <c r="J122" s="1629">
        <f>SUM(J117:J121)</f>
        <v>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367373</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47364</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414737</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0</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9633</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9633</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5735</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17245</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442622</v>
      </c>
      <c r="G152" s="1586">
        <v>0</v>
      </c>
      <c r="H152" s="1575"/>
      <c r="I152" s="1575"/>
      <c r="J152" s="1575"/>
      <c r="K152" s="1575"/>
    </row>
    <row r="153" spans="1:11" ht="12.75" customHeight="1" x14ac:dyDescent="0.2">
      <c r="A153" s="427" t="s">
        <v>1047</v>
      </c>
      <c r="B153" s="478">
        <v>3510</v>
      </c>
      <c r="C153" s="1586">
        <v>0</v>
      </c>
      <c r="D153" s="1586">
        <v>0</v>
      </c>
      <c r="E153" s="1635"/>
      <c r="F153" s="1586">
        <v>169563</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612185</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324510</v>
      </c>
      <c r="D159" s="1586">
        <v>0</v>
      </c>
      <c r="E159" s="1635"/>
      <c r="F159" s="1586">
        <v>0</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0</v>
      </c>
      <c r="E167" s="1615"/>
      <c r="F167" s="1615"/>
      <c r="G167" s="1575"/>
      <c r="H167" s="1586">
        <v>0</v>
      </c>
      <c r="I167" s="1575"/>
      <c r="J167" s="1575"/>
      <c r="K167" s="1586">
        <v>50000</v>
      </c>
    </row>
    <row r="168" spans="1:11" ht="14.25" thickTop="1" thickBot="1" x14ac:dyDescent="0.25">
      <c r="A168" s="1270" t="s">
        <v>70</v>
      </c>
      <c r="B168" s="484">
        <v>3999</v>
      </c>
      <c r="C168" s="1586">
        <v>33644</v>
      </c>
      <c r="D168" s="1586">
        <v>0</v>
      </c>
      <c r="E168" s="1586">
        <v>0</v>
      </c>
      <c r="F168" s="1586" t="s">
        <v>1158</v>
      </c>
      <c r="G168" s="1586">
        <v>0</v>
      </c>
      <c r="H168" s="1586">
        <v>0</v>
      </c>
      <c r="I168" s="1586">
        <v>0</v>
      </c>
      <c r="J168" s="1586">
        <v>0</v>
      </c>
      <c r="K168" s="1586">
        <v>0</v>
      </c>
    </row>
    <row r="169" spans="1:11" ht="12.75" customHeight="1" thickTop="1" thickBot="1" x14ac:dyDescent="0.25">
      <c r="A169" s="2233" t="s">
        <v>395</v>
      </c>
      <c r="B169" s="2234"/>
      <c r="C169" s="1648">
        <f t="shared" ref="C169:K169" si="6">SUM(C132,C141,C145,C146:C150,C155,C156:C167,C168)</f>
        <v>805504</v>
      </c>
      <c r="D169" s="1648">
        <f t="shared" si="6"/>
        <v>0</v>
      </c>
      <c r="E169" s="1648">
        <f t="shared" si="6"/>
        <v>0</v>
      </c>
      <c r="F169" s="1648">
        <f t="shared" si="6"/>
        <v>612185</v>
      </c>
      <c r="G169" s="1648">
        <f t="shared" si="6"/>
        <v>0</v>
      </c>
      <c r="H169" s="1648">
        <f t="shared" si="6"/>
        <v>0</v>
      </c>
      <c r="I169" s="1648">
        <f t="shared" si="6"/>
        <v>0</v>
      </c>
      <c r="J169" s="1648">
        <f t="shared" si="6"/>
        <v>0</v>
      </c>
      <c r="K169" s="1622">
        <f t="shared" si="6"/>
        <v>50000</v>
      </c>
    </row>
    <row r="170" spans="1:11" ht="12.75" customHeight="1" thickTop="1" thickBot="1" x14ac:dyDescent="0.25">
      <c r="A170" s="1406" t="s">
        <v>396</v>
      </c>
      <c r="B170" s="1410" t="s">
        <v>571</v>
      </c>
      <c r="C170" s="1636">
        <f t="shared" ref="C170:K170" si="7">SUM(C122,C169)</f>
        <v>2955876</v>
      </c>
      <c r="D170" s="1636">
        <f t="shared" si="7"/>
        <v>0</v>
      </c>
      <c r="E170" s="1636">
        <f t="shared" si="7"/>
        <v>0</v>
      </c>
      <c r="F170" s="1636">
        <f t="shared" si="7"/>
        <v>612185</v>
      </c>
      <c r="G170" s="1636">
        <f t="shared" si="7"/>
        <v>0</v>
      </c>
      <c r="H170" s="1636">
        <f t="shared" si="7"/>
        <v>0</v>
      </c>
      <c r="I170" s="1636">
        <f t="shared" si="7"/>
        <v>0</v>
      </c>
      <c r="J170" s="1636">
        <f t="shared" si="7"/>
        <v>0</v>
      </c>
      <c r="K170" s="1627">
        <f t="shared" si="7"/>
        <v>50000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5" t="s">
        <v>1472</v>
      </c>
      <c r="B172" s="2236"/>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9" t="s">
        <v>1643</v>
      </c>
      <c r="B175" s="2240"/>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3" t="s">
        <v>1642</v>
      </c>
      <c r="B176" s="2244"/>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0</v>
      </c>
      <c r="D180" s="1586">
        <v>0</v>
      </c>
      <c r="E180" s="1575"/>
      <c r="F180" s="1586">
        <v>0</v>
      </c>
      <c r="G180" s="1586">
        <v>0</v>
      </c>
      <c r="H180" s="1586">
        <v>0</v>
      </c>
      <c r="I180" s="1575"/>
      <c r="J180" s="1575"/>
      <c r="K180" s="1586">
        <v>0</v>
      </c>
    </row>
    <row r="181" spans="1:11" ht="13.5" thickBot="1" x14ac:dyDescent="0.25">
      <c r="A181" s="2241" t="s">
        <v>779</v>
      </c>
      <c r="B181" s="2242"/>
      <c r="C181" s="1629">
        <f>SUM(C177:C180)</f>
        <v>0</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7" t="s">
        <v>1777</v>
      </c>
      <c r="B182" s="2238"/>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0</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267738</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98144</v>
      </c>
      <c r="D193" s="1575"/>
      <c r="E193" s="1635"/>
      <c r="F193" s="1575"/>
      <c r="G193" s="1586">
        <v>0</v>
      </c>
      <c r="H193" s="1575"/>
      <c r="I193" s="1575"/>
      <c r="J193" s="1575"/>
      <c r="K193" s="1575"/>
    </row>
    <row r="194" spans="1:11" ht="12.75" customHeight="1" x14ac:dyDescent="0.2">
      <c r="A194" s="427" t="s">
        <v>1431</v>
      </c>
      <c r="B194" s="429">
        <v>4225</v>
      </c>
      <c r="C194" s="1586">
        <v>68924</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434806</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529845</v>
      </c>
      <c r="D200" s="1586">
        <v>0</v>
      </c>
      <c r="E200" s="1575"/>
      <c r="F200" s="1586">
        <v>0</v>
      </c>
      <c r="G200" s="1586">
        <v>0</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0</v>
      </c>
      <c r="D203" s="1586">
        <v>0</v>
      </c>
      <c r="E203" s="1575"/>
      <c r="F203" s="1586">
        <v>0</v>
      </c>
      <c r="G203" s="1586">
        <v>0</v>
      </c>
      <c r="H203" s="1575"/>
      <c r="I203" s="1575"/>
      <c r="J203" s="1575"/>
      <c r="K203" s="1575"/>
    </row>
    <row r="204" spans="1:11" ht="12.75" customHeight="1" thickBot="1" x14ac:dyDescent="0.25">
      <c r="A204" s="1406" t="s">
        <v>397</v>
      </c>
      <c r="B204" s="1407"/>
      <c r="C204" s="1629">
        <f>SUM(C200:C203)</f>
        <v>529845</v>
      </c>
      <c r="D204" s="1629">
        <f>SUM(D200:D203)</f>
        <v>0</v>
      </c>
      <c r="E204" s="1575"/>
      <c r="F204" s="1629">
        <f>SUM(F200:F203)</f>
        <v>0</v>
      </c>
      <c r="G204" s="1629">
        <f>SUM(G200:G203)</f>
        <v>0</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51856</v>
      </c>
      <c r="D206" s="1586">
        <v>0</v>
      </c>
      <c r="E206" s="1575"/>
      <c r="F206" s="1586">
        <v>0</v>
      </c>
      <c r="G206" s="1586">
        <v>0</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51856</v>
      </c>
      <c r="D209" s="1629">
        <f>SUM(D206:D208)</f>
        <v>0</v>
      </c>
      <c r="E209" s="1575" t="s">
        <v>1158</v>
      </c>
      <c r="F209" s="1629">
        <f>SUM(F206:F208)</f>
        <v>0</v>
      </c>
      <c r="G209" s="1629">
        <f>SUM(G206:G208)</f>
        <v>0</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39928</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563063</v>
      </c>
      <c r="D213" s="1586">
        <v>0</v>
      </c>
      <c r="E213" s="1575"/>
      <c r="F213" s="1586">
        <v>0</v>
      </c>
      <c r="G213" s="1586">
        <v>0</v>
      </c>
      <c r="H213" s="1575"/>
      <c r="I213" s="1575"/>
      <c r="J213" s="1575"/>
      <c r="K213" s="1575"/>
    </row>
    <row r="214" spans="1:11" ht="12.75" customHeight="1" x14ac:dyDescent="0.2">
      <c r="A214" s="427" t="s">
        <v>1044</v>
      </c>
      <c r="B214" s="429">
        <v>4625</v>
      </c>
      <c r="C214" s="1586">
        <v>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602991</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0</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t="s">
        <v>1158</v>
      </c>
      <c r="D253" s="1576"/>
      <c r="E253" s="1575"/>
      <c r="F253" s="1575"/>
      <c r="G253" s="1575"/>
      <c r="H253" s="1575"/>
      <c r="I253" s="1575"/>
      <c r="J253" s="1575"/>
      <c r="K253" s="1575"/>
    </row>
    <row r="254" spans="1:11" ht="12.75" customHeight="1" x14ac:dyDescent="0.2">
      <c r="A254" s="1273" t="s">
        <v>1443</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97711</v>
      </c>
      <c r="D259" s="1586">
        <v>0</v>
      </c>
      <c r="E259" s="1575"/>
      <c r="F259" s="1586">
        <v>0</v>
      </c>
      <c r="G259" s="1586">
        <v>0</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0</v>
      </c>
      <c r="D263" s="1586">
        <v>0</v>
      </c>
      <c r="E263" s="1575"/>
      <c r="F263" s="1586">
        <v>0</v>
      </c>
      <c r="G263" s="1586">
        <v>0</v>
      </c>
      <c r="H263" s="1575"/>
      <c r="I263" s="1575"/>
      <c r="J263" s="1575"/>
      <c r="K263" s="1575"/>
    </row>
    <row r="264" spans="1:11" ht="12.75" customHeight="1" x14ac:dyDescent="0.2">
      <c r="A264" s="427" t="s">
        <v>374</v>
      </c>
      <c r="B264" s="429">
        <v>4992</v>
      </c>
      <c r="C264" s="1586">
        <v>86712</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738</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1804659</v>
      </c>
      <c r="D266" s="1636">
        <f t="shared" si="10"/>
        <v>0</v>
      </c>
      <c r="E266" s="1636">
        <f t="shared" si="10"/>
        <v>0</v>
      </c>
      <c r="F266" s="1636">
        <f t="shared" si="10"/>
        <v>0</v>
      </c>
      <c r="G266" s="1636">
        <f t="shared" si="10"/>
        <v>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1804659</v>
      </c>
      <c r="D267" s="1636">
        <f>SUM(D175,D181,D266)</f>
        <v>0</v>
      </c>
      <c r="E267" s="1636">
        <f>SUM(E175,E266)</f>
        <v>0</v>
      </c>
      <c r="F267" s="1636">
        <f t="shared" ref="F267:K267" si="11">SUM(F175,F181,F266)</f>
        <v>0</v>
      </c>
      <c r="G267" s="1636">
        <f t="shared" si="11"/>
        <v>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15636080</v>
      </c>
      <c r="D268" s="1636">
        <f t="shared" si="12"/>
        <v>2402617</v>
      </c>
      <c r="E268" s="1636">
        <f t="shared" si="12"/>
        <v>2174243</v>
      </c>
      <c r="F268" s="1636">
        <f t="shared" si="12"/>
        <v>1589344</v>
      </c>
      <c r="G268" s="1636">
        <f t="shared" si="12"/>
        <v>677369</v>
      </c>
      <c r="H268" s="1636">
        <f t="shared" si="12"/>
        <v>0</v>
      </c>
      <c r="I268" s="1636">
        <f t="shared" si="12"/>
        <v>283326</v>
      </c>
      <c r="J268" s="1636">
        <f t="shared" si="12"/>
        <v>1257652</v>
      </c>
      <c r="K268" s="1627">
        <f t="shared" si="12"/>
        <v>285474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92" activePane="bottomLeft" state="frozen"/>
      <selection activeCell="N34" sqref="N34"/>
      <selection pane="bottomLeft" activeCell="N34" sqref="N3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3"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7"/>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3" t="s">
        <v>294</v>
      </c>
      <c r="B3" s="2254"/>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5481120</v>
      </c>
      <c r="D5" s="1573">
        <v>858587</v>
      </c>
      <c r="E5" s="1573">
        <v>120757</v>
      </c>
      <c r="F5" s="1573">
        <v>226031</v>
      </c>
      <c r="G5" s="1573">
        <v>273317</v>
      </c>
      <c r="H5" s="1573">
        <v>1571</v>
      </c>
      <c r="I5" s="1573">
        <v>0</v>
      </c>
      <c r="J5" s="1573">
        <v>0</v>
      </c>
      <c r="K5" s="1659">
        <f>SUM(C5:J5)</f>
        <v>6961383</v>
      </c>
      <c r="L5" s="1573">
        <v>7348968</v>
      </c>
    </row>
    <row r="6" spans="1:14" x14ac:dyDescent="0.2">
      <c r="A6" s="1274" t="s">
        <v>1413</v>
      </c>
      <c r="B6" s="503" t="s">
        <v>1411</v>
      </c>
      <c r="C6" s="1582"/>
      <c r="D6" s="1582"/>
      <c r="E6" s="1573" t="s">
        <v>1158</v>
      </c>
      <c r="F6" s="1582"/>
      <c r="G6" s="1582"/>
      <c r="H6" s="1582"/>
      <c r="I6" s="1582"/>
      <c r="J6" s="1582"/>
      <c r="K6" s="1659">
        <f>SUM(C6,E6)</f>
        <v>0</v>
      </c>
      <c r="L6" s="1573">
        <v>0</v>
      </c>
    </row>
    <row r="7" spans="1:14" x14ac:dyDescent="0.2">
      <c r="A7" s="1274" t="s">
        <v>162</v>
      </c>
      <c r="B7" s="503" t="s">
        <v>960</v>
      </c>
      <c r="C7" s="1573">
        <v>224519</v>
      </c>
      <c r="D7" s="1573">
        <v>40838</v>
      </c>
      <c r="E7" s="1573">
        <v>2568</v>
      </c>
      <c r="F7" s="1573">
        <v>28342</v>
      </c>
      <c r="G7" s="1573">
        <v>3884</v>
      </c>
      <c r="H7" s="1573">
        <v>0</v>
      </c>
      <c r="I7" s="1573">
        <v>0</v>
      </c>
      <c r="J7" s="1573">
        <v>0</v>
      </c>
      <c r="K7" s="1659">
        <f t="shared" ref="K7:K32" si="0">SUM(C7:J7)</f>
        <v>300151</v>
      </c>
      <c r="L7" s="1573">
        <v>257748</v>
      </c>
    </row>
    <row r="8" spans="1:14" x14ac:dyDescent="0.2">
      <c r="A8" s="1274" t="s">
        <v>163</v>
      </c>
      <c r="B8" s="503">
        <v>1200</v>
      </c>
      <c r="C8" s="1573">
        <v>2178400</v>
      </c>
      <c r="D8" s="1573">
        <v>521030</v>
      </c>
      <c r="E8" s="1573">
        <v>0</v>
      </c>
      <c r="F8" s="1573">
        <v>21246</v>
      </c>
      <c r="G8" s="1573">
        <v>795</v>
      </c>
      <c r="H8" s="1573">
        <v>0</v>
      </c>
      <c r="I8" s="1573">
        <v>0</v>
      </c>
      <c r="J8" s="1573">
        <v>0</v>
      </c>
      <c r="K8" s="1659">
        <f t="shared" si="0"/>
        <v>2721471</v>
      </c>
      <c r="L8" s="1573">
        <v>2707164</v>
      </c>
    </row>
    <row r="9" spans="1:14" x14ac:dyDescent="0.2">
      <c r="A9" s="1274" t="s">
        <v>715</v>
      </c>
      <c r="B9" s="503" t="s">
        <v>961</v>
      </c>
      <c r="C9" s="1573">
        <v>142035</v>
      </c>
      <c r="D9" s="1573">
        <v>30449</v>
      </c>
      <c r="E9" s="1573">
        <v>956</v>
      </c>
      <c r="F9" s="1573">
        <v>0</v>
      </c>
      <c r="G9" s="1573">
        <v>0</v>
      </c>
      <c r="H9" s="1573">
        <v>0</v>
      </c>
      <c r="I9" s="1573">
        <v>0</v>
      </c>
      <c r="J9" s="1573">
        <v>0</v>
      </c>
      <c r="K9" s="1659">
        <f t="shared" si="0"/>
        <v>173440</v>
      </c>
      <c r="L9" s="1573">
        <v>165499</v>
      </c>
    </row>
    <row r="10" spans="1:14" x14ac:dyDescent="0.2">
      <c r="A10" s="1274" t="s">
        <v>716</v>
      </c>
      <c r="B10" s="503">
        <v>1250</v>
      </c>
      <c r="C10" s="1573">
        <v>451055</v>
      </c>
      <c r="D10" s="1573">
        <v>124053</v>
      </c>
      <c r="E10" s="1573">
        <v>0</v>
      </c>
      <c r="F10" s="1573">
        <v>588</v>
      </c>
      <c r="G10" s="1573">
        <v>0</v>
      </c>
      <c r="H10" s="1573">
        <v>0</v>
      </c>
      <c r="I10" s="1573">
        <v>0</v>
      </c>
      <c r="J10" s="1573">
        <v>0</v>
      </c>
      <c r="K10" s="1659">
        <f t="shared" si="0"/>
        <v>575696</v>
      </c>
      <c r="L10" s="1573">
        <v>472304</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512</v>
      </c>
      <c r="F12" s="1573">
        <v>0</v>
      </c>
      <c r="G12" s="1573">
        <v>0</v>
      </c>
      <c r="H12" s="1573">
        <v>0</v>
      </c>
      <c r="I12" s="1573">
        <v>0</v>
      </c>
      <c r="J12" s="1573">
        <v>0</v>
      </c>
      <c r="K12" s="1659">
        <f t="shared" si="0"/>
        <v>512</v>
      </c>
      <c r="L12" s="1573">
        <v>0</v>
      </c>
    </row>
    <row r="13" spans="1:14" x14ac:dyDescent="0.2">
      <c r="A13" s="1274" t="s">
        <v>717</v>
      </c>
      <c r="B13" s="503">
        <v>1400</v>
      </c>
      <c r="C13" s="1573">
        <v>0</v>
      </c>
      <c r="D13" s="1573">
        <v>0</v>
      </c>
      <c r="E13" s="1573">
        <v>0</v>
      </c>
      <c r="F13" s="1573">
        <v>3811</v>
      </c>
      <c r="G13" s="1573">
        <v>0</v>
      </c>
      <c r="H13" s="1573">
        <v>0</v>
      </c>
      <c r="I13" s="1573">
        <v>0</v>
      </c>
      <c r="J13" s="1573">
        <v>0</v>
      </c>
      <c r="K13" s="1659">
        <f t="shared" si="0"/>
        <v>3811</v>
      </c>
      <c r="L13" s="1573">
        <v>3907</v>
      </c>
    </row>
    <row r="14" spans="1:14" x14ac:dyDescent="0.2">
      <c r="A14" s="1274" t="s">
        <v>956</v>
      </c>
      <c r="B14" s="503">
        <v>1500</v>
      </c>
      <c r="C14" s="1573">
        <v>270801</v>
      </c>
      <c r="D14" s="1573">
        <v>9013</v>
      </c>
      <c r="E14" s="1573">
        <v>48908</v>
      </c>
      <c r="F14" s="1573">
        <v>33127</v>
      </c>
      <c r="G14" s="1573">
        <v>9750</v>
      </c>
      <c r="H14" s="1573">
        <v>0</v>
      </c>
      <c r="I14" s="1573">
        <v>0</v>
      </c>
      <c r="J14" s="1573">
        <v>0</v>
      </c>
      <c r="K14" s="1659">
        <f t="shared" si="0"/>
        <v>371599</v>
      </c>
      <c r="L14" s="1573">
        <v>346522</v>
      </c>
    </row>
    <row r="15" spans="1:14" x14ac:dyDescent="0.2">
      <c r="A15" s="1274" t="s">
        <v>957</v>
      </c>
      <c r="B15" s="503">
        <v>1600</v>
      </c>
      <c r="C15" s="1573">
        <v>407</v>
      </c>
      <c r="D15" s="1573">
        <v>6</v>
      </c>
      <c r="E15" s="1573">
        <v>0</v>
      </c>
      <c r="F15" s="1573">
        <v>0</v>
      </c>
      <c r="G15" s="1573">
        <v>0</v>
      </c>
      <c r="H15" s="1573">
        <v>0</v>
      </c>
      <c r="I15" s="1573">
        <v>0</v>
      </c>
      <c r="J15" s="1573">
        <v>0</v>
      </c>
      <c r="K15" s="1659">
        <f t="shared" si="0"/>
        <v>413</v>
      </c>
      <c r="L15" s="1573">
        <v>0</v>
      </c>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96575</v>
      </c>
      <c r="D17" s="1573">
        <v>10473</v>
      </c>
      <c r="E17" s="1573">
        <v>369</v>
      </c>
      <c r="F17" s="1573">
        <v>0</v>
      </c>
      <c r="G17" s="1573">
        <v>0</v>
      </c>
      <c r="H17" s="1573">
        <v>0</v>
      </c>
      <c r="I17" s="1573">
        <v>0</v>
      </c>
      <c r="J17" s="1573">
        <v>0</v>
      </c>
      <c r="K17" s="1659">
        <f t="shared" si="0"/>
        <v>107417</v>
      </c>
      <c r="L17" s="1573">
        <v>95907</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115648</v>
      </c>
      <c r="D19" s="1573">
        <v>17467</v>
      </c>
      <c r="E19" s="1573">
        <v>0</v>
      </c>
      <c r="F19" s="1573">
        <v>162</v>
      </c>
      <c r="G19" s="1573">
        <v>0</v>
      </c>
      <c r="H19" s="1573">
        <v>0</v>
      </c>
      <c r="I19" s="1573">
        <v>0</v>
      </c>
      <c r="J19" s="1573">
        <v>0</v>
      </c>
      <c r="K19" s="1659">
        <f t="shared" si="0"/>
        <v>133277</v>
      </c>
      <c r="L19" s="1573">
        <v>131033</v>
      </c>
    </row>
    <row r="20" spans="1:12" x14ac:dyDescent="0.2">
      <c r="A20" s="1275" t="s">
        <v>732</v>
      </c>
      <c r="B20" s="494" t="s">
        <v>719</v>
      </c>
      <c r="C20" s="1582"/>
      <c r="D20" s="1582"/>
      <c r="E20" s="1582"/>
      <c r="F20" s="1582"/>
      <c r="G20" s="1582"/>
      <c r="H20" s="1573">
        <v>0</v>
      </c>
      <c r="I20" s="1660"/>
      <c r="J20" s="1580"/>
      <c r="K20" s="1659">
        <f t="shared" si="0"/>
        <v>0</v>
      </c>
      <c r="L20" s="1577">
        <v>0</v>
      </c>
    </row>
    <row r="21" spans="1:12" x14ac:dyDescent="0.2">
      <c r="A21" s="1275" t="s">
        <v>733</v>
      </c>
      <c r="B21" s="494" t="s">
        <v>720</v>
      </c>
      <c r="C21" s="1582"/>
      <c r="D21" s="1582"/>
      <c r="E21" s="1582"/>
      <c r="F21" s="1582"/>
      <c r="G21" s="1582"/>
      <c r="H21" s="1573">
        <v>0</v>
      </c>
      <c r="I21" s="1660"/>
      <c r="J21" s="1582"/>
      <c r="K21" s="1659">
        <f t="shared" si="0"/>
        <v>0</v>
      </c>
      <c r="L21" s="1577">
        <v>0</v>
      </c>
    </row>
    <row r="22" spans="1:12" x14ac:dyDescent="0.2">
      <c r="A22" s="1275" t="s">
        <v>734</v>
      </c>
      <c r="B22" s="494" t="s">
        <v>721</v>
      </c>
      <c r="C22" s="1582"/>
      <c r="D22" s="1582"/>
      <c r="E22" s="1582"/>
      <c r="F22" s="1582"/>
      <c r="G22" s="1582"/>
      <c r="H22" s="1573">
        <v>611893</v>
      </c>
      <c r="I22" s="1660"/>
      <c r="J22" s="1582"/>
      <c r="K22" s="1659">
        <f t="shared" si="0"/>
        <v>611893</v>
      </c>
      <c r="L22" s="1577">
        <v>606012</v>
      </c>
    </row>
    <row r="23" spans="1:12" x14ac:dyDescent="0.2">
      <c r="A23" s="1275" t="s">
        <v>735</v>
      </c>
      <c r="B23" s="494" t="s">
        <v>722</v>
      </c>
      <c r="C23" s="1582"/>
      <c r="D23" s="1582"/>
      <c r="E23" s="1582"/>
      <c r="F23" s="1582"/>
      <c r="G23" s="1582"/>
      <c r="H23" s="1573">
        <v>0</v>
      </c>
      <c r="I23" s="1660"/>
      <c r="J23" s="1582"/>
      <c r="K23" s="1659">
        <f t="shared" si="0"/>
        <v>0</v>
      </c>
      <c r="L23" s="1577">
        <v>0</v>
      </c>
    </row>
    <row r="24" spans="1:12" ht="12.75" customHeight="1" x14ac:dyDescent="0.2">
      <c r="A24" s="1275" t="s">
        <v>736</v>
      </c>
      <c r="B24" s="494" t="s">
        <v>723</v>
      </c>
      <c r="C24" s="1582"/>
      <c r="D24" s="1582"/>
      <c r="E24" s="1582"/>
      <c r="F24" s="1582"/>
      <c r="G24" s="1582"/>
      <c r="H24" s="1573">
        <v>0</v>
      </c>
      <c r="I24" s="1660"/>
      <c r="J24" s="1582"/>
      <c r="K24" s="1659">
        <f t="shared" si="0"/>
        <v>0</v>
      </c>
      <c r="L24" s="1577">
        <v>0</v>
      </c>
    </row>
    <row r="25" spans="1:12" ht="12.75" customHeight="1" x14ac:dyDescent="0.2">
      <c r="A25" s="1275" t="s">
        <v>796</v>
      </c>
      <c r="B25" s="494" t="s">
        <v>724</v>
      </c>
      <c r="C25" s="1582"/>
      <c r="D25" s="1582"/>
      <c r="E25" s="1582"/>
      <c r="F25" s="1582"/>
      <c r="G25" s="1582"/>
      <c r="H25" s="1573">
        <v>0</v>
      </c>
      <c r="I25" s="1660"/>
      <c r="J25" s="1582"/>
      <c r="K25" s="1659">
        <f t="shared" si="0"/>
        <v>0</v>
      </c>
      <c r="L25" s="1577">
        <v>0</v>
      </c>
    </row>
    <row r="26" spans="1:12" x14ac:dyDescent="0.2">
      <c r="A26" s="1275" t="s">
        <v>618</v>
      </c>
      <c r="B26" s="494" t="s">
        <v>725</v>
      </c>
      <c r="C26" s="1582"/>
      <c r="D26" s="1582"/>
      <c r="E26" s="1582"/>
      <c r="F26" s="1582"/>
      <c r="G26" s="1582"/>
      <c r="H26" s="1573">
        <v>0</v>
      </c>
      <c r="I26" s="1660"/>
      <c r="J26" s="1582"/>
      <c r="K26" s="1659">
        <f t="shared" si="0"/>
        <v>0</v>
      </c>
      <c r="L26" s="1577">
        <v>0</v>
      </c>
    </row>
    <row r="27" spans="1:12" x14ac:dyDescent="0.2">
      <c r="A27" s="1275" t="s">
        <v>619</v>
      </c>
      <c r="B27" s="494" t="s">
        <v>726</v>
      </c>
      <c r="C27" s="1582"/>
      <c r="D27" s="1582"/>
      <c r="E27" s="1582"/>
      <c r="F27" s="1582"/>
      <c r="G27" s="1582"/>
      <c r="H27" s="1573">
        <v>0</v>
      </c>
      <c r="I27" s="1660"/>
      <c r="J27" s="1582"/>
      <c r="K27" s="1659">
        <f t="shared" si="0"/>
        <v>0</v>
      </c>
      <c r="L27" s="1577">
        <v>0</v>
      </c>
    </row>
    <row r="28" spans="1:12" x14ac:dyDescent="0.2">
      <c r="A28" s="1275" t="s">
        <v>149</v>
      </c>
      <c r="B28" s="494" t="s">
        <v>727</v>
      </c>
      <c r="C28" s="1582"/>
      <c r="D28" s="1582"/>
      <c r="E28" s="1582"/>
      <c r="F28" s="1582"/>
      <c r="G28" s="1582"/>
      <c r="H28" s="1573">
        <v>0</v>
      </c>
      <c r="I28" s="1660"/>
      <c r="J28" s="1582"/>
      <c r="K28" s="1659">
        <f t="shared" si="0"/>
        <v>0</v>
      </c>
      <c r="L28" s="1577">
        <v>0</v>
      </c>
    </row>
    <row r="29" spans="1:12" x14ac:dyDescent="0.2">
      <c r="A29" s="1275" t="s">
        <v>150</v>
      </c>
      <c r="B29" s="494" t="s">
        <v>728</v>
      </c>
      <c r="C29" s="1582"/>
      <c r="D29" s="1582"/>
      <c r="E29" s="1582"/>
      <c r="F29" s="1582"/>
      <c r="G29" s="1582"/>
      <c r="H29" s="1573" t="s">
        <v>1158</v>
      </c>
      <c r="I29" s="1660"/>
      <c r="J29" s="1582"/>
      <c r="K29" s="1659">
        <f t="shared" si="0"/>
        <v>0</v>
      </c>
      <c r="L29" s="1577">
        <v>0</v>
      </c>
    </row>
    <row r="30" spans="1:12" x14ac:dyDescent="0.2">
      <c r="A30" s="1275" t="s">
        <v>151</v>
      </c>
      <c r="B30" s="494" t="s">
        <v>729</v>
      </c>
      <c r="C30" s="1582"/>
      <c r="D30" s="1582"/>
      <c r="E30" s="1582"/>
      <c r="F30" s="1582"/>
      <c r="G30" s="1582"/>
      <c r="H30" s="1573">
        <v>0</v>
      </c>
      <c r="I30" s="1660"/>
      <c r="J30" s="1582"/>
      <c r="K30" s="1659">
        <f t="shared" si="0"/>
        <v>0</v>
      </c>
      <c r="L30" s="1577">
        <v>0</v>
      </c>
    </row>
    <row r="31" spans="1:12" x14ac:dyDescent="0.2">
      <c r="A31" s="1275" t="s">
        <v>152</v>
      </c>
      <c r="B31" s="494" t="s">
        <v>730</v>
      </c>
      <c r="C31" s="1582"/>
      <c r="D31" s="1582"/>
      <c r="E31" s="1582"/>
      <c r="F31" s="1582"/>
      <c r="G31" s="1582"/>
      <c r="H31" s="1573">
        <v>0</v>
      </c>
      <c r="I31" s="1660"/>
      <c r="J31" s="1582"/>
      <c r="K31" s="1659">
        <f t="shared" si="0"/>
        <v>0</v>
      </c>
      <c r="L31" s="1577">
        <v>0</v>
      </c>
    </row>
    <row r="32" spans="1:12" x14ac:dyDescent="0.2">
      <c r="A32" s="1276" t="s">
        <v>1118</v>
      </c>
      <c r="B32" s="503" t="s">
        <v>731</v>
      </c>
      <c r="C32" s="1582"/>
      <c r="D32" s="1582"/>
      <c r="E32" s="1582"/>
      <c r="F32" s="1582"/>
      <c r="G32" s="1582"/>
      <c r="H32" s="1573">
        <v>0</v>
      </c>
      <c r="I32" s="1660"/>
      <c r="J32" s="1585"/>
      <c r="K32" s="1659">
        <f t="shared" si="0"/>
        <v>0</v>
      </c>
      <c r="L32" s="1577">
        <v>0</v>
      </c>
    </row>
    <row r="33" spans="1:14" ht="12.75" customHeight="1" thickBot="1" x14ac:dyDescent="0.25">
      <c r="A33" s="1380" t="s">
        <v>1646</v>
      </c>
      <c r="B33" s="1381" t="s">
        <v>566</v>
      </c>
      <c r="C33" s="1661">
        <f>SUM(C5:C32)</f>
        <v>8960560</v>
      </c>
      <c r="D33" s="1661">
        <f t="shared" ref="D33:L33" si="1">SUM(D5:D32)</f>
        <v>1611916</v>
      </c>
      <c r="E33" s="1661">
        <f t="shared" si="1"/>
        <v>174070</v>
      </c>
      <c r="F33" s="1661">
        <f t="shared" si="1"/>
        <v>313307</v>
      </c>
      <c r="G33" s="1661">
        <f t="shared" si="1"/>
        <v>287746</v>
      </c>
      <c r="H33" s="1661">
        <f t="shared" si="1"/>
        <v>613464</v>
      </c>
      <c r="I33" s="1661">
        <f t="shared" si="1"/>
        <v>0</v>
      </c>
      <c r="J33" s="1661">
        <f t="shared" si="1"/>
        <v>0</v>
      </c>
      <c r="K33" s="1661">
        <f t="shared" si="1"/>
        <v>11961063</v>
      </c>
      <c r="L33" s="1661">
        <f t="shared" si="1"/>
        <v>12135064</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0</v>
      </c>
      <c r="D36" s="1573">
        <v>0</v>
      </c>
      <c r="E36" s="1573">
        <v>0</v>
      </c>
      <c r="F36" s="1573">
        <v>0</v>
      </c>
      <c r="G36" s="1573">
        <v>0</v>
      </c>
      <c r="H36" s="1573">
        <v>0</v>
      </c>
      <c r="I36" s="1573">
        <v>0</v>
      </c>
      <c r="J36" s="1573">
        <v>0</v>
      </c>
      <c r="K36" s="1659">
        <f t="shared" ref="K36:K41" si="2">SUM(C36:J36)</f>
        <v>0</v>
      </c>
      <c r="L36" s="1573">
        <v>0</v>
      </c>
    </row>
    <row r="37" spans="1:14" x14ac:dyDescent="0.2">
      <c r="A37" s="1274" t="s">
        <v>1080</v>
      </c>
      <c r="B37" s="503">
        <v>2120</v>
      </c>
      <c r="C37" s="1573">
        <v>222214</v>
      </c>
      <c r="D37" s="1573">
        <v>48041</v>
      </c>
      <c r="E37" s="1573">
        <v>0</v>
      </c>
      <c r="F37" s="1573">
        <v>585</v>
      </c>
      <c r="G37" s="1573">
        <v>0</v>
      </c>
      <c r="H37" s="1573">
        <v>0</v>
      </c>
      <c r="I37" s="1573">
        <v>0</v>
      </c>
      <c r="J37" s="1573">
        <v>0</v>
      </c>
      <c r="K37" s="1659">
        <f t="shared" si="2"/>
        <v>270840</v>
      </c>
      <c r="L37" s="1573">
        <v>294783</v>
      </c>
    </row>
    <row r="38" spans="1:14" x14ac:dyDescent="0.2">
      <c r="A38" s="1274" t="s">
        <v>196</v>
      </c>
      <c r="B38" s="503">
        <v>2130</v>
      </c>
      <c r="C38" s="1573">
        <v>67887</v>
      </c>
      <c r="D38" s="1573">
        <v>7583</v>
      </c>
      <c r="E38" s="1573">
        <v>1184</v>
      </c>
      <c r="F38" s="1573">
        <v>11405</v>
      </c>
      <c r="G38" s="1573">
        <v>10095</v>
      </c>
      <c r="H38" s="1573">
        <v>0</v>
      </c>
      <c r="I38" s="1573">
        <v>0</v>
      </c>
      <c r="J38" s="1573">
        <v>0</v>
      </c>
      <c r="K38" s="1659">
        <f t="shared" si="2"/>
        <v>98154</v>
      </c>
      <c r="L38" s="1573">
        <v>77562</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169507</v>
      </c>
      <c r="D40" s="1573">
        <v>19219</v>
      </c>
      <c r="E40" s="1573">
        <v>0</v>
      </c>
      <c r="F40" s="1573">
        <v>366</v>
      </c>
      <c r="G40" s="1573">
        <v>0</v>
      </c>
      <c r="H40" s="1573">
        <v>0</v>
      </c>
      <c r="I40" s="1573">
        <v>0</v>
      </c>
      <c r="J40" s="1573">
        <v>0</v>
      </c>
      <c r="K40" s="1659">
        <f t="shared" si="2"/>
        <v>189092</v>
      </c>
      <c r="L40" s="1573">
        <v>214029</v>
      </c>
    </row>
    <row r="41" spans="1:14" x14ac:dyDescent="0.2">
      <c r="A41" s="1274" t="s">
        <v>1647</v>
      </c>
      <c r="B41" s="503">
        <v>2190</v>
      </c>
      <c r="C41" s="1573">
        <v>0</v>
      </c>
      <c r="D41" s="1573">
        <v>0</v>
      </c>
      <c r="E41" s="1573">
        <v>0</v>
      </c>
      <c r="F41" s="1573">
        <v>3248</v>
      </c>
      <c r="G41" s="1573">
        <v>0</v>
      </c>
      <c r="H41" s="1573">
        <v>0</v>
      </c>
      <c r="I41" s="1573">
        <v>0</v>
      </c>
      <c r="J41" s="1573">
        <v>0</v>
      </c>
      <c r="K41" s="1659">
        <f t="shared" si="2"/>
        <v>3248</v>
      </c>
      <c r="L41" s="1573">
        <v>6588</v>
      </c>
    </row>
    <row r="42" spans="1:14" ht="12.75" customHeight="1" thickBot="1" x14ac:dyDescent="0.25">
      <c r="A42" s="1380" t="s">
        <v>556</v>
      </c>
      <c r="B42" s="1381" t="s">
        <v>710</v>
      </c>
      <c r="C42" s="1661">
        <f>SUM(C36:C41)</f>
        <v>459608</v>
      </c>
      <c r="D42" s="1661">
        <f t="shared" ref="D42:L42" si="3">SUM(D36:D41)</f>
        <v>74843</v>
      </c>
      <c r="E42" s="1661">
        <f t="shared" si="3"/>
        <v>1184</v>
      </c>
      <c r="F42" s="1661">
        <f t="shared" si="3"/>
        <v>15604</v>
      </c>
      <c r="G42" s="1661">
        <f t="shared" si="3"/>
        <v>10095</v>
      </c>
      <c r="H42" s="1661">
        <f t="shared" si="3"/>
        <v>0</v>
      </c>
      <c r="I42" s="1661">
        <f t="shared" si="3"/>
        <v>0</v>
      </c>
      <c r="J42" s="1661">
        <f t="shared" si="3"/>
        <v>0</v>
      </c>
      <c r="K42" s="1661">
        <f t="shared" si="3"/>
        <v>561334</v>
      </c>
      <c r="L42" s="1661">
        <f t="shared" si="3"/>
        <v>592962</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0</v>
      </c>
      <c r="D44" s="1573">
        <v>0</v>
      </c>
      <c r="E44" s="1573">
        <v>29096</v>
      </c>
      <c r="F44" s="1573">
        <v>601</v>
      </c>
      <c r="G44" s="1573">
        <v>0</v>
      </c>
      <c r="H44" s="1573">
        <v>0</v>
      </c>
      <c r="I44" s="1573">
        <v>0</v>
      </c>
      <c r="J44" s="1573">
        <v>0</v>
      </c>
      <c r="K44" s="1665">
        <f>SUM(C44:J44)</f>
        <v>29697</v>
      </c>
      <c r="L44" s="1586">
        <v>30294</v>
      </c>
    </row>
    <row r="45" spans="1:14" x14ac:dyDescent="0.2">
      <c r="A45" s="1274" t="s">
        <v>809</v>
      </c>
      <c r="B45" s="503">
        <v>2220</v>
      </c>
      <c r="C45" s="1573">
        <v>262333</v>
      </c>
      <c r="D45" s="1573">
        <v>47407</v>
      </c>
      <c r="E45" s="1573">
        <v>0</v>
      </c>
      <c r="F45" s="1573">
        <v>18815</v>
      </c>
      <c r="G45" s="1573">
        <v>0</v>
      </c>
      <c r="H45" s="1573">
        <v>0</v>
      </c>
      <c r="I45" s="1573">
        <v>0</v>
      </c>
      <c r="J45" s="1573">
        <v>0</v>
      </c>
      <c r="K45" s="1665">
        <f>SUM(C45:J45)</f>
        <v>328555</v>
      </c>
      <c r="L45" s="1573">
        <v>340835</v>
      </c>
    </row>
    <row r="46" spans="1:14" x14ac:dyDescent="0.2">
      <c r="A46" s="1274" t="s">
        <v>810</v>
      </c>
      <c r="B46" s="503">
        <v>2230</v>
      </c>
      <c r="C46" s="1573">
        <v>0</v>
      </c>
      <c r="D46" s="1573">
        <v>0</v>
      </c>
      <c r="E46" s="1573">
        <v>38640</v>
      </c>
      <c r="F46" s="1573">
        <v>0</v>
      </c>
      <c r="G46" s="1573">
        <v>0</v>
      </c>
      <c r="H46" s="1573">
        <v>0</v>
      </c>
      <c r="I46" s="1573">
        <v>0</v>
      </c>
      <c r="J46" s="1573">
        <v>0</v>
      </c>
      <c r="K46" s="1665">
        <f>SUM(C46:J46)</f>
        <v>38640</v>
      </c>
      <c r="L46" s="1573">
        <v>38624</v>
      </c>
    </row>
    <row r="47" spans="1:14" ht="12.75" customHeight="1" thickBot="1" x14ac:dyDescent="0.25">
      <c r="A47" s="1380" t="s">
        <v>557</v>
      </c>
      <c r="B47" s="1381" t="s">
        <v>32</v>
      </c>
      <c r="C47" s="1661">
        <f>SUM(C44:C46)</f>
        <v>262333</v>
      </c>
      <c r="D47" s="1661">
        <f t="shared" ref="D47:K47" si="4">SUM(D44:D46)</f>
        <v>47407</v>
      </c>
      <c r="E47" s="1661">
        <f t="shared" si="4"/>
        <v>67736</v>
      </c>
      <c r="F47" s="1661">
        <f t="shared" si="4"/>
        <v>19416</v>
      </c>
      <c r="G47" s="1661">
        <f t="shared" si="4"/>
        <v>0</v>
      </c>
      <c r="H47" s="1661">
        <f t="shared" si="4"/>
        <v>0</v>
      </c>
      <c r="I47" s="1661">
        <f t="shared" si="4"/>
        <v>0</v>
      </c>
      <c r="J47" s="1661">
        <f t="shared" si="4"/>
        <v>0</v>
      </c>
      <c r="K47" s="1661">
        <f t="shared" si="4"/>
        <v>396892</v>
      </c>
      <c r="L47" s="1661">
        <f>SUM(L44:L46)</f>
        <v>409753</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0</v>
      </c>
      <c r="D49" s="1573">
        <v>16967</v>
      </c>
      <c r="E49" s="1573">
        <v>36941</v>
      </c>
      <c r="F49" s="1573">
        <v>1366</v>
      </c>
      <c r="G49" s="1573">
        <v>0</v>
      </c>
      <c r="H49" s="1573">
        <v>29879</v>
      </c>
      <c r="I49" s="1573">
        <v>0</v>
      </c>
      <c r="J49" s="1573">
        <v>0</v>
      </c>
      <c r="K49" s="1665">
        <f>SUM(C49:J49)</f>
        <v>85153</v>
      </c>
      <c r="L49" s="1586">
        <v>83271</v>
      </c>
    </row>
    <row r="50" spans="1:14" x14ac:dyDescent="0.2">
      <c r="A50" s="1274" t="s">
        <v>812</v>
      </c>
      <c r="B50" s="503">
        <v>2320</v>
      </c>
      <c r="C50" s="1573">
        <v>164188</v>
      </c>
      <c r="D50" s="1573">
        <v>41191</v>
      </c>
      <c r="E50" s="1573">
        <v>5367</v>
      </c>
      <c r="F50" s="1573">
        <v>76</v>
      </c>
      <c r="G50" s="1573">
        <v>0</v>
      </c>
      <c r="H50" s="1573">
        <v>0</v>
      </c>
      <c r="I50" s="1573">
        <v>0</v>
      </c>
      <c r="J50" s="1573">
        <v>0</v>
      </c>
      <c r="K50" s="1665">
        <f>SUM(C50:J50)</f>
        <v>210822</v>
      </c>
      <c r="L50" s="1573">
        <v>200567</v>
      </c>
    </row>
    <row r="51" spans="1:14" x14ac:dyDescent="0.2">
      <c r="A51" s="1274" t="s">
        <v>42</v>
      </c>
      <c r="B51" s="503">
        <v>2330</v>
      </c>
      <c r="C51" s="1573">
        <v>5521</v>
      </c>
      <c r="D51" s="1573">
        <v>0</v>
      </c>
      <c r="E51" s="1573">
        <v>0</v>
      </c>
      <c r="F51" s="1573">
        <v>0</v>
      </c>
      <c r="G51" s="1573">
        <v>0</v>
      </c>
      <c r="H51" s="1573">
        <v>0</v>
      </c>
      <c r="I51" s="1573">
        <v>0</v>
      </c>
      <c r="J51" s="1573">
        <v>0</v>
      </c>
      <c r="K51" s="1665">
        <f>SUM(C51:J51)</f>
        <v>5521</v>
      </c>
      <c r="L51" s="1573">
        <v>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169709</v>
      </c>
      <c r="D53" s="1661">
        <f t="shared" ref="D53:L53" si="5">SUM(D49:D52)</f>
        <v>58158</v>
      </c>
      <c r="E53" s="1661">
        <f t="shared" si="5"/>
        <v>42308</v>
      </c>
      <c r="F53" s="1661">
        <f t="shared" si="5"/>
        <v>1442</v>
      </c>
      <c r="G53" s="1661">
        <f t="shared" si="5"/>
        <v>0</v>
      </c>
      <c r="H53" s="1661">
        <f t="shared" si="5"/>
        <v>29879</v>
      </c>
      <c r="I53" s="1661">
        <f t="shared" si="5"/>
        <v>0</v>
      </c>
      <c r="J53" s="1661">
        <f t="shared" si="5"/>
        <v>0</v>
      </c>
      <c r="K53" s="1661">
        <f t="shared" si="5"/>
        <v>301496</v>
      </c>
      <c r="L53" s="1661">
        <f t="shared" si="5"/>
        <v>283838</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689665</v>
      </c>
      <c r="D55" s="1573">
        <v>104304</v>
      </c>
      <c r="E55" s="1573">
        <v>0</v>
      </c>
      <c r="F55" s="1573">
        <v>0</v>
      </c>
      <c r="G55" s="1573">
        <v>0</v>
      </c>
      <c r="H55" s="1573">
        <v>0</v>
      </c>
      <c r="I55" s="1573">
        <v>0</v>
      </c>
      <c r="J55" s="1573">
        <v>0</v>
      </c>
      <c r="K55" s="1665">
        <f>SUM(C55:J55)</f>
        <v>793969</v>
      </c>
      <c r="L55" s="1586">
        <v>811061</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689665</v>
      </c>
      <c r="D57" s="1666">
        <f t="shared" ref="D57:K57" si="6">SUM(D55:D56)</f>
        <v>104304</v>
      </c>
      <c r="E57" s="1666">
        <f t="shared" si="6"/>
        <v>0</v>
      </c>
      <c r="F57" s="1666">
        <f t="shared" si="6"/>
        <v>0</v>
      </c>
      <c r="G57" s="1666">
        <f t="shared" si="6"/>
        <v>0</v>
      </c>
      <c r="H57" s="1666">
        <f t="shared" si="6"/>
        <v>0</v>
      </c>
      <c r="I57" s="1666">
        <f t="shared" si="6"/>
        <v>0</v>
      </c>
      <c r="J57" s="1666">
        <f t="shared" si="6"/>
        <v>0</v>
      </c>
      <c r="K57" s="1666">
        <f t="shared" si="6"/>
        <v>793969</v>
      </c>
      <c r="L57" s="1661">
        <f>SUM(L55:L56)</f>
        <v>811061</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79800</v>
      </c>
      <c r="D59" s="1573">
        <v>7296</v>
      </c>
      <c r="E59" s="1573">
        <v>0</v>
      </c>
      <c r="F59" s="1573">
        <v>0</v>
      </c>
      <c r="G59" s="1573">
        <v>0</v>
      </c>
      <c r="H59" s="1573">
        <v>0</v>
      </c>
      <c r="I59" s="1573">
        <v>0</v>
      </c>
      <c r="J59" s="1573">
        <v>0</v>
      </c>
      <c r="K59" s="1665">
        <f t="shared" ref="K59:K64" si="7">SUM(C59:J59)</f>
        <v>87096</v>
      </c>
      <c r="L59" s="1586">
        <v>82912</v>
      </c>
      <c r="M59" s="501"/>
      <c r="N59" s="501"/>
    </row>
    <row r="60" spans="1:14" s="321" customFormat="1" x14ac:dyDescent="0.2">
      <c r="A60" s="1274" t="s">
        <v>460</v>
      </c>
      <c r="B60" s="503">
        <v>2520</v>
      </c>
      <c r="C60" s="1573">
        <v>126165</v>
      </c>
      <c r="D60" s="1573">
        <v>21065</v>
      </c>
      <c r="E60" s="1573">
        <v>46571</v>
      </c>
      <c r="F60" s="1573">
        <v>3842</v>
      </c>
      <c r="G60" s="1573">
        <v>0</v>
      </c>
      <c r="H60" s="1573">
        <v>10305</v>
      </c>
      <c r="I60" s="1573">
        <v>0</v>
      </c>
      <c r="J60" s="1573">
        <v>0</v>
      </c>
      <c r="K60" s="1665">
        <f t="shared" si="7"/>
        <v>207948</v>
      </c>
      <c r="L60" s="1573">
        <v>199613</v>
      </c>
      <c r="M60" s="501"/>
      <c r="N60" s="501"/>
    </row>
    <row r="61" spans="1:14" s="321" customFormat="1" x14ac:dyDescent="0.2">
      <c r="A61" s="1274" t="s">
        <v>195</v>
      </c>
      <c r="B61" s="503">
        <v>2540</v>
      </c>
      <c r="C61" s="1573">
        <v>0</v>
      </c>
      <c r="D61" s="1573">
        <v>0</v>
      </c>
      <c r="E61" s="1573">
        <v>113816</v>
      </c>
      <c r="F61" s="1573">
        <v>0</v>
      </c>
      <c r="G61" s="1573">
        <v>0</v>
      </c>
      <c r="H61" s="1573">
        <v>0</v>
      </c>
      <c r="I61" s="1573">
        <v>0</v>
      </c>
      <c r="J61" s="1573">
        <v>0</v>
      </c>
      <c r="K61" s="1665">
        <f t="shared" si="7"/>
        <v>113816</v>
      </c>
      <c r="L61" s="1573">
        <v>113915</v>
      </c>
      <c r="M61" s="501"/>
      <c r="N61" s="501"/>
    </row>
    <row r="62" spans="1:14" s="321" customFormat="1" x14ac:dyDescent="0.2">
      <c r="A62" s="1274" t="s">
        <v>946</v>
      </c>
      <c r="B62" s="503">
        <v>2550</v>
      </c>
      <c r="C62" s="1573">
        <v>0</v>
      </c>
      <c r="D62" s="1573">
        <v>0</v>
      </c>
      <c r="E62" s="1573">
        <v>0</v>
      </c>
      <c r="F62" s="1573">
        <v>0</v>
      </c>
      <c r="G62" s="1573">
        <v>60231</v>
      </c>
      <c r="H62" s="1573">
        <v>0</v>
      </c>
      <c r="I62" s="1573">
        <v>0</v>
      </c>
      <c r="J62" s="1573">
        <v>0</v>
      </c>
      <c r="K62" s="1665">
        <f t="shared" si="7"/>
        <v>60231</v>
      </c>
      <c r="L62" s="1573">
        <v>60231</v>
      </c>
      <c r="M62" s="501"/>
      <c r="N62" s="501"/>
    </row>
    <row r="63" spans="1:14" s="501" customFormat="1" x14ac:dyDescent="0.2">
      <c r="A63" s="1274" t="s">
        <v>100</v>
      </c>
      <c r="B63" s="503">
        <v>2560</v>
      </c>
      <c r="C63" s="1573">
        <v>276277</v>
      </c>
      <c r="D63" s="1573">
        <v>59754</v>
      </c>
      <c r="E63" s="1573">
        <v>3305</v>
      </c>
      <c r="F63" s="1573">
        <v>395608</v>
      </c>
      <c r="G63" s="1573">
        <v>13601</v>
      </c>
      <c r="H63" s="1573">
        <v>0</v>
      </c>
      <c r="I63" s="1573">
        <v>0</v>
      </c>
      <c r="J63" s="1573">
        <v>0</v>
      </c>
      <c r="K63" s="1665">
        <f t="shared" si="7"/>
        <v>748545</v>
      </c>
      <c r="L63" s="1573">
        <v>740009</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482242</v>
      </c>
      <c r="D65" s="1661">
        <f t="shared" ref="D65:L65" si="8">SUM(D59:D64)</f>
        <v>88115</v>
      </c>
      <c r="E65" s="1661">
        <f t="shared" si="8"/>
        <v>163692</v>
      </c>
      <c r="F65" s="1661">
        <f t="shared" si="8"/>
        <v>399450</v>
      </c>
      <c r="G65" s="1661">
        <f t="shared" si="8"/>
        <v>73832</v>
      </c>
      <c r="H65" s="1661">
        <f t="shared" si="8"/>
        <v>10305</v>
      </c>
      <c r="I65" s="1661">
        <f t="shared" si="8"/>
        <v>0</v>
      </c>
      <c r="J65" s="1661">
        <f t="shared" si="8"/>
        <v>0</v>
      </c>
      <c r="K65" s="1661">
        <f t="shared" si="8"/>
        <v>1217636</v>
      </c>
      <c r="L65" s="1661">
        <f t="shared" si="8"/>
        <v>1196680</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12893</v>
      </c>
      <c r="F69" s="1573">
        <v>0</v>
      </c>
      <c r="G69" s="1573">
        <v>0</v>
      </c>
      <c r="H69" s="1573">
        <v>0</v>
      </c>
      <c r="I69" s="1573">
        <v>0</v>
      </c>
      <c r="J69" s="1573">
        <v>0</v>
      </c>
      <c r="K69" s="1665">
        <f>SUM(C69:J69)</f>
        <v>12893</v>
      </c>
      <c r="L69" s="1573">
        <v>20015</v>
      </c>
      <c r="M69" s="501"/>
      <c r="N69" s="501"/>
    </row>
    <row r="70" spans="1:14" s="321" customFormat="1" x14ac:dyDescent="0.2">
      <c r="A70" s="1274" t="s">
        <v>400</v>
      </c>
      <c r="B70" s="503">
        <v>2640</v>
      </c>
      <c r="C70" s="1573">
        <v>0</v>
      </c>
      <c r="D70" s="1573">
        <v>0</v>
      </c>
      <c r="E70" s="1573">
        <v>0</v>
      </c>
      <c r="F70" s="1573">
        <v>0</v>
      </c>
      <c r="G70" s="1573">
        <v>0</v>
      </c>
      <c r="H70" s="1573">
        <v>0</v>
      </c>
      <c r="I70" s="1573">
        <v>0</v>
      </c>
      <c r="J70" s="1573">
        <v>0</v>
      </c>
      <c r="K70" s="1665">
        <f>SUM(C70:J70)</f>
        <v>0</v>
      </c>
      <c r="L70" s="1573">
        <v>0</v>
      </c>
      <c r="M70" s="501"/>
      <c r="N70" s="501"/>
    </row>
    <row r="71" spans="1:14" s="321" customFormat="1" x14ac:dyDescent="0.2">
      <c r="A71" s="1274" t="s">
        <v>401</v>
      </c>
      <c r="B71" s="503">
        <v>2660</v>
      </c>
      <c r="C71" s="1573">
        <v>0</v>
      </c>
      <c r="D71" s="1573">
        <v>0</v>
      </c>
      <c r="E71" s="1573">
        <v>0</v>
      </c>
      <c r="F71" s="1573">
        <v>1835</v>
      </c>
      <c r="G71" s="1573">
        <v>0</v>
      </c>
      <c r="H71" s="1573">
        <v>0</v>
      </c>
      <c r="I71" s="1573">
        <v>0</v>
      </c>
      <c r="J71" s="1573">
        <v>0</v>
      </c>
      <c r="K71" s="1665">
        <f>SUM(C71:J71)</f>
        <v>1835</v>
      </c>
      <c r="L71" s="1573">
        <v>1834</v>
      </c>
      <c r="M71" s="501"/>
      <c r="N71" s="501"/>
    </row>
    <row r="72" spans="1:14" s="321" customFormat="1" ht="12.75" customHeight="1" thickBot="1" x14ac:dyDescent="0.25">
      <c r="A72" s="1380" t="s">
        <v>37</v>
      </c>
      <c r="B72" s="1383" t="s">
        <v>36</v>
      </c>
      <c r="C72" s="1661">
        <f>SUM(C67:C71)</f>
        <v>0</v>
      </c>
      <c r="D72" s="1661">
        <f t="shared" ref="D72:K72" si="9">SUM(D67:D71)</f>
        <v>0</v>
      </c>
      <c r="E72" s="1661">
        <f t="shared" si="9"/>
        <v>12893</v>
      </c>
      <c r="F72" s="1661">
        <f t="shared" si="9"/>
        <v>1835</v>
      </c>
      <c r="G72" s="1661">
        <f t="shared" si="9"/>
        <v>0</v>
      </c>
      <c r="H72" s="1661">
        <f t="shared" si="9"/>
        <v>0</v>
      </c>
      <c r="I72" s="1661">
        <f t="shared" si="9"/>
        <v>0</v>
      </c>
      <c r="J72" s="1661">
        <f t="shared" si="9"/>
        <v>0</v>
      </c>
      <c r="K72" s="1661">
        <f t="shared" si="9"/>
        <v>14728</v>
      </c>
      <c r="L72" s="1661">
        <f>SUM(L67:L71)</f>
        <v>21849</v>
      </c>
      <c r="M72" s="501"/>
      <c r="N72" s="501"/>
    </row>
    <row r="73" spans="1:14" s="321" customFormat="1" ht="14.25" thickTop="1" thickBot="1" x14ac:dyDescent="0.25">
      <c r="A73" s="1280" t="s">
        <v>972</v>
      </c>
      <c r="B73" s="515" t="s">
        <v>570</v>
      </c>
      <c r="C73" s="1573">
        <v>0</v>
      </c>
      <c r="D73" s="1573">
        <v>1588</v>
      </c>
      <c r="E73" s="1573">
        <v>0</v>
      </c>
      <c r="F73" s="1573">
        <v>0</v>
      </c>
      <c r="G73" s="1573">
        <v>0</v>
      </c>
      <c r="H73" s="1573">
        <v>0</v>
      </c>
      <c r="I73" s="1573">
        <v>0</v>
      </c>
      <c r="J73" s="1573">
        <v>0</v>
      </c>
      <c r="K73" s="1661">
        <f>SUM(C73:J73)</f>
        <v>1588</v>
      </c>
      <c r="L73" s="1645">
        <v>7317</v>
      </c>
      <c r="M73" s="501"/>
      <c r="N73" s="501"/>
    </row>
    <row r="74" spans="1:14" ht="12.75" customHeight="1" thickTop="1" thickBot="1" x14ac:dyDescent="0.25">
      <c r="A74" s="1380" t="s">
        <v>805</v>
      </c>
      <c r="B74" s="1384">
        <v>2000</v>
      </c>
      <c r="C74" s="1668">
        <f>SUM(C42,C47,C53,C57,C65,C72,C73)</f>
        <v>2063557</v>
      </c>
      <c r="D74" s="1668">
        <f t="shared" ref="D74:K74" si="10">SUM(D42,D47,D53,D57,D65,D72,D73)</f>
        <v>374415</v>
      </c>
      <c r="E74" s="1668">
        <f t="shared" si="10"/>
        <v>287813</v>
      </c>
      <c r="F74" s="1668">
        <f t="shared" si="10"/>
        <v>437747</v>
      </c>
      <c r="G74" s="1668">
        <f t="shared" si="10"/>
        <v>83927</v>
      </c>
      <c r="H74" s="1668">
        <f t="shared" si="10"/>
        <v>40184</v>
      </c>
      <c r="I74" s="1668">
        <f t="shared" si="10"/>
        <v>0</v>
      </c>
      <c r="J74" s="1668">
        <f t="shared" si="10"/>
        <v>0</v>
      </c>
      <c r="K74" s="1668">
        <f t="shared" si="10"/>
        <v>3287643</v>
      </c>
      <c r="L74" s="1668">
        <f>SUM(L42,L47,L53,L57,L65,L72,L73)</f>
        <v>3323460</v>
      </c>
    </row>
    <row r="75" spans="1:14" s="254" customFormat="1" ht="15.75" customHeight="1" thickTop="1" thickBot="1" x14ac:dyDescent="0.25">
      <c r="A75" s="1348" t="s">
        <v>47</v>
      </c>
      <c r="B75" s="1349" t="s">
        <v>571</v>
      </c>
      <c r="C75" s="1573">
        <v>0</v>
      </c>
      <c r="D75" s="1573">
        <v>0</v>
      </c>
      <c r="E75" s="1573">
        <v>386</v>
      </c>
      <c r="F75" s="1573">
        <v>629</v>
      </c>
      <c r="G75" s="1573">
        <v>0</v>
      </c>
      <c r="H75" s="1573">
        <v>0</v>
      </c>
      <c r="I75" s="1573">
        <v>0</v>
      </c>
      <c r="J75" s="1573">
        <v>0</v>
      </c>
      <c r="K75" s="1661">
        <f>SUM(C75:J75)</f>
        <v>1015</v>
      </c>
      <c r="L75" s="1645">
        <v>1013</v>
      </c>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0</v>
      </c>
      <c r="F78" s="1660"/>
      <c r="G78" s="1660"/>
      <c r="H78" s="1573">
        <v>0</v>
      </c>
      <c r="I78" s="1582"/>
      <c r="J78" s="1582"/>
      <c r="K78" s="1659">
        <f t="shared" ref="K78:K83" si="11">SUM(C78:J78)</f>
        <v>0</v>
      </c>
      <c r="L78" s="1586">
        <v>0</v>
      </c>
    </row>
    <row r="79" spans="1:14" x14ac:dyDescent="0.2">
      <c r="A79" s="1274" t="s">
        <v>301</v>
      </c>
      <c r="B79" s="503">
        <v>4120</v>
      </c>
      <c r="C79" s="1660"/>
      <c r="D79" s="1660"/>
      <c r="E79" s="1573">
        <v>547252</v>
      </c>
      <c r="F79" s="1660"/>
      <c r="G79" s="1660"/>
      <c r="H79" s="1573">
        <v>0</v>
      </c>
      <c r="I79" s="1582"/>
      <c r="J79" s="1582"/>
      <c r="K79" s="1659">
        <f t="shared" si="11"/>
        <v>547252</v>
      </c>
      <c r="L79" s="1573">
        <v>547252</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5377</v>
      </c>
      <c r="I83" s="1582"/>
      <c r="J83" s="1582"/>
      <c r="K83" s="1659">
        <f t="shared" si="11"/>
        <v>5377</v>
      </c>
      <c r="L83" s="1573">
        <v>14515</v>
      </c>
    </row>
    <row r="84" spans="1:12" ht="13.5" thickBot="1" x14ac:dyDescent="0.25">
      <c r="A84" s="1380" t="s">
        <v>1465</v>
      </c>
      <c r="B84" s="1385">
        <v>4100</v>
      </c>
      <c r="C84" s="1660"/>
      <c r="D84" s="1660"/>
      <c r="E84" s="1661">
        <f>SUM(E78:E83)</f>
        <v>547252</v>
      </c>
      <c r="F84" s="1660"/>
      <c r="G84" s="1660"/>
      <c r="H84" s="1661">
        <f>SUM(H78:H83)</f>
        <v>5377</v>
      </c>
      <c r="I84" s="1582"/>
      <c r="J84" s="1582"/>
      <c r="K84" s="1661">
        <f>SUM(K78:K83)</f>
        <v>552629</v>
      </c>
      <c r="L84" s="1661">
        <f>SUM(L78:L83)</f>
        <v>561767</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56129</v>
      </c>
      <c r="I86" s="1582"/>
      <c r="J86" s="1582"/>
      <c r="K86" s="1668">
        <f t="shared" ref="K86:K98" si="12">H86</f>
        <v>56129</v>
      </c>
      <c r="L86" s="1624">
        <v>9814</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49901</v>
      </c>
      <c r="I88" s="1582"/>
      <c r="J88" s="1582"/>
      <c r="K88" s="1668">
        <f t="shared" si="12"/>
        <v>49901</v>
      </c>
      <c r="L88" s="1624">
        <v>49901</v>
      </c>
    </row>
    <row r="89" spans="1:12" ht="12.75" customHeight="1" thickTop="1" thickBot="1" x14ac:dyDescent="0.25">
      <c r="A89" s="1283" t="s">
        <v>695</v>
      </c>
      <c r="B89" s="519">
        <v>4270</v>
      </c>
      <c r="C89" s="1660"/>
      <c r="D89" s="1660"/>
      <c r="E89" s="1670"/>
      <c r="F89" s="1660"/>
      <c r="G89" s="1660"/>
      <c r="H89" s="1573">
        <v>5750</v>
      </c>
      <c r="I89" s="1582"/>
      <c r="J89" s="1582"/>
      <c r="K89" s="1668">
        <f t="shared" si="12"/>
        <v>5750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111780</v>
      </c>
      <c r="I92" s="1582"/>
      <c r="J92" s="1582"/>
      <c r="K92" s="1668">
        <f t="shared" si="12"/>
        <v>111780</v>
      </c>
      <c r="L92" s="1661">
        <f>SUM(L85:L91)</f>
        <v>59715</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1466</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547252</v>
      </c>
      <c r="F102" s="1660"/>
      <c r="G102" s="1660"/>
      <c r="H102" s="1668">
        <f>SUM(H84,H92,H100,H101)</f>
        <v>117157</v>
      </c>
      <c r="I102" s="1582"/>
      <c r="J102" s="1582"/>
      <c r="K102" s="1668">
        <f>SUM(K84,K92,K100,K101)</f>
        <v>664409</v>
      </c>
      <c r="L102" s="1668">
        <f>SUM(L84,L92,L100,L101)</f>
        <v>621482</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11024117</v>
      </c>
      <c r="D114" s="1661">
        <f t="shared" ref="D114:K114" si="13">SUM(D33,D74,D75,D102,D112,D113)</f>
        <v>1986331</v>
      </c>
      <c r="E114" s="1661">
        <f t="shared" si="13"/>
        <v>1009521</v>
      </c>
      <c r="F114" s="1661">
        <f t="shared" si="13"/>
        <v>751683</v>
      </c>
      <c r="G114" s="1661">
        <f t="shared" si="13"/>
        <v>371673</v>
      </c>
      <c r="H114" s="1661">
        <f>SUM(H33,H74,H75,H102,H112,H113)</f>
        <v>770805</v>
      </c>
      <c r="I114" s="1661">
        <f t="shared" si="13"/>
        <v>0</v>
      </c>
      <c r="J114" s="1661">
        <f t="shared" si="13"/>
        <v>0</v>
      </c>
      <c r="K114" s="1661">
        <f t="shared" si="13"/>
        <v>15914130</v>
      </c>
      <c r="L114" s="1661">
        <f>SUM(L33,L74,L75,L102,L112,L113)</f>
        <v>16081019</v>
      </c>
    </row>
    <row r="115" spans="1:14" ht="13.5" thickTop="1" x14ac:dyDescent="0.2">
      <c r="A115" s="2245" t="s">
        <v>988</v>
      </c>
      <c r="B115" s="2246"/>
      <c r="C115" s="1662"/>
      <c r="D115" s="1662"/>
      <c r="E115" s="1662"/>
      <c r="F115" s="1662"/>
      <c r="G115" s="1662"/>
      <c r="H115" s="1662"/>
      <c r="I115" s="1662"/>
      <c r="J115" s="1662"/>
      <c r="K115" s="1675">
        <f>'Revenues 9-14'!C268-'Expenditures 15-22'!K114</f>
        <v>-278050</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50" t="s">
        <v>293</v>
      </c>
      <c r="B117" s="2251"/>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651074</v>
      </c>
      <c r="D124" s="1573">
        <v>146358</v>
      </c>
      <c r="E124" s="1573">
        <v>126025</v>
      </c>
      <c r="F124" s="1573">
        <v>579083</v>
      </c>
      <c r="G124" s="1573">
        <v>25090</v>
      </c>
      <c r="H124" s="1573">
        <v>0</v>
      </c>
      <c r="I124" s="1573">
        <v>0</v>
      </c>
      <c r="J124" s="1573">
        <v>0</v>
      </c>
      <c r="K124" s="1661">
        <f>SUM(C124:J124)</f>
        <v>1527630</v>
      </c>
      <c r="L124" s="1573">
        <v>1489758</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651074</v>
      </c>
      <c r="D127" s="1661">
        <f t="shared" ref="D127:L127" si="14">SUM(D122:D126)</f>
        <v>146358</v>
      </c>
      <c r="E127" s="1661">
        <f t="shared" si="14"/>
        <v>126025</v>
      </c>
      <c r="F127" s="1661">
        <f t="shared" si="14"/>
        <v>579083</v>
      </c>
      <c r="G127" s="1661">
        <f t="shared" si="14"/>
        <v>25090</v>
      </c>
      <c r="H127" s="1661">
        <f t="shared" si="14"/>
        <v>0</v>
      </c>
      <c r="I127" s="1661">
        <f t="shared" si="14"/>
        <v>0</v>
      </c>
      <c r="J127" s="1661">
        <f t="shared" si="14"/>
        <v>0</v>
      </c>
      <c r="K127" s="1661">
        <f t="shared" si="14"/>
        <v>1527630</v>
      </c>
      <c r="L127" s="1661">
        <f t="shared" si="14"/>
        <v>1489758</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651074</v>
      </c>
      <c r="D129" s="1668">
        <f t="shared" ref="D129:L129" si="15">SUM(D120,D127,D128)</f>
        <v>146358</v>
      </c>
      <c r="E129" s="1668">
        <f t="shared" si="15"/>
        <v>126025</v>
      </c>
      <c r="F129" s="1668">
        <f t="shared" si="15"/>
        <v>579083</v>
      </c>
      <c r="G129" s="1668">
        <f t="shared" si="15"/>
        <v>25090</v>
      </c>
      <c r="H129" s="1668">
        <f t="shared" si="15"/>
        <v>0</v>
      </c>
      <c r="I129" s="1668">
        <f t="shared" si="15"/>
        <v>0</v>
      </c>
      <c r="J129" s="1668">
        <f t="shared" si="15"/>
        <v>0</v>
      </c>
      <c r="K129" s="1668">
        <f t="shared" si="15"/>
        <v>1527630</v>
      </c>
      <c r="L129" s="1668">
        <f t="shared" si="15"/>
        <v>1489758</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62" t="s">
        <v>616</v>
      </c>
      <c r="B151" s="2242"/>
      <c r="C151" s="1661">
        <f>SUM(C129,C130,C139,C149,C150)</f>
        <v>651074</v>
      </c>
      <c r="D151" s="1661">
        <f t="shared" ref="D151:K151" si="16">SUM(D129,D130,D139,D149,D150)</f>
        <v>146358</v>
      </c>
      <c r="E151" s="1661">
        <f t="shared" si="16"/>
        <v>126025</v>
      </c>
      <c r="F151" s="1661">
        <f t="shared" si="16"/>
        <v>579083</v>
      </c>
      <c r="G151" s="1661">
        <f t="shared" si="16"/>
        <v>25090</v>
      </c>
      <c r="H151" s="1661">
        <f t="shared" si="16"/>
        <v>0</v>
      </c>
      <c r="I151" s="1661">
        <f t="shared" si="16"/>
        <v>0</v>
      </c>
      <c r="J151" s="1661">
        <f t="shared" si="16"/>
        <v>0</v>
      </c>
      <c r="K151" s="1661">
        <f t="shared" si="16"/>
        <v>1527630</v>
      </c>
      <c r="L151" s="1661">
        <f>SUM(L129,L130,L139,L149,L150)</f>
        <v>1489758</v>
      </c>
    </row>
    <row r="152" spans="1:14" ht="12.75" customHeight="1" thickTop="1" x14ac:dyDescent="0.2">
      <c r="A152" s="2265" t="s">
        <v>1167</v>
      </c>
      <c r="B152" s="2266"/>
      <c r="C152" s="1662"/>
      <c r="D152" s="1662"/>
      <c r="E152" s="1662"/>
      <c r="F152" s="1662"/>
      <c r="G152" s="1662"/>
      <c r="H152" s="1662"/>
      <c r="I152" s="1662"/>
      <c r="J152" s="1660"/>
      <c r="K152" s="1675">
        <f>'Revenues 9-14'!D268-'Expenditures 15-22'!K151</f>
        <v>874987</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50" t="s">
        <v>617</v>
      </c>
      <c r="B154" s="2252"/>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443031</v>
      </c>
      <c r="I169" s="1660"/>
      <c r="J169" s="1660"/>
      <c r="K169" s="1659">
        <f>SUM(C169:H169)</f>
        <v>443031</v>
      </c>
      <c r="L169" s="1681">
        <v>441736</v>
      </c>
    </row>
    <row r="170" spans="1:14" ht="33.75" customHeight="1" x14ac:dyDescent="0.2">
      <c r="A170" s="543" t="s">
        <v>1648</v>
      </c>
      <c r="B170" s="545" t="s">
        <v>31</v>
      </c>
      <c r="C170" s="1660"/>
      <c r="D170" s="1660"/>
      <c r="E170" s="1660"/>
      <c r="F170" s="1660"/>
      <c r="G170" s="1660"/>
      <c r="H170" s="1573">
        <v>1905852</v>
      </c>
      <c r="I170" s="1660"/>
      <c r="J170" s="1660"/>
      <c r="K170" s="1659">
        <f>SUM(C170:J170)</f>
        <v>1905852</v>
      </c>
      <c r="L170" s="1641">
        <v>1895040</v>
      </c>
    </row>
    <row r="171" spans="1:14" ht="15.75" customHeight="1" x14ac:dyDescent="0.2">
      <c r="A171" s="507" t="s">
        <v>760</v>
      </c>
      <c r="B171" s="546" t="s">
        <v>84</v>
      </c>
      <c r="C171" s="1660"/>
      <c r="D171" s="1660"/>
      <c r="E171" s="1573">
        <v>1333</v>
      </c>
      <c r="F171" s="1660"/>
      <c r="G171" s="1660"/>
      <c r="H171" s="1573">
        <v>0</v>
      </c>
      <c r="I171" s="1582"/>
      <c r="J171" s="1660"/>
      <c r="K171" s="1659">
        <f>SUM(C171:J171)</f>
        <v>1333</v>
      </c>
      <c r="L171" s="1641">
        <v>0</v>
      </c>
    </row>
    <row r="172" spans="1:14" ht="12.75" customHeight="1" thickBot="1" x14ac:dyDescent="0.25">
      <c r="A172" s="1380" t="s">
        <v>633</v>
      </c>
      <c r="B172" s="1381" t="s">
        <v>489</v>
      </c>
      <c r="C172" s="1660"/>
      <c r="D172" s="1660"/>
      <c r="E172" s="1668">
        <f>SUM(E168,E169,E170,E171)</f>
        <v>1333</v>
      </c>
      <c r="F172" s="1660"/>
      <c r="G172" s="1660"/>
      <c r="H172" s="1668">
        <f>SUM(H168,H169,H170,H171)</f>
        <v>2348883</v>
      </c>
      <c r="I172" s="1670"/>
      <c r="J172" s="1660"/>
      <c r="K172" s="1668">
        <f>SUM(K168,K169,K170,K171)</f>
        <v>2350216</v>
      </c>
      <c r="L172" s="1668">
        <f>SUM(L168,L169,L170,L171)</f>
        <v>2336776</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1333</v>
      </c>
      <c r="F174" s="1660"/>
      <c r="G174" s="1660"/>
      <c r="H174" s="1668">
        <f>SUM(H160,H172,H173)</f>
        <v>2348883</v>
      </c>
      <c r="I174" s="1670"/>
      <c r="J174" s="1660"/>
      <c r="K174" s="1668">
        <f>SUM(K160,K172,K173)</f>
        <v>2350216</v>
      </c>
      <c r="L174" s="1668">
        <f>SUM(L160,L172,L173)</f>
        <v>2336776</v>
      </c>
    </row>
    <row r="175" spans="1:14" ht="13.5" thickTop="1" x14ac:dyDescent="0.2">
      <c r="A175" s="2245" t="s">
        <v>988</v>
      </c>
      <c r="B175" s="2246"/>
      <c r="C175" s="1660"/>
      <c r="D175" s="1660"/>
      <c r="E175" s="1660"/>
      <c r="F175" s="1660"/>
      <c r="G175" s="1660"/>
      <c r="H175" s="1662"/>
      <c r="I175" s="1660"/>
      <c r="J175" s="1660"/>
      <c r="K175" s="1675">
        <f>'Revenues 9-14'!E268-'Expenditures 15-22'!K174</f>
        <v>-175973</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698199</v>
      </c>
      <c r="D182" s="1573">
        <v>96982</v>
      </c>
      <c r="E182" s="1573">
        <v>13326</v>
      </c>
      <c r="F182" s="1573">
        <v>120355</v>
      </c>
      <c r="G182" s="1573">
        <v>479814</v>
      </c>
      <c r="H182" s="1573">
        <v>2030</v>
      </c>
      <c r="I182" s="1573">
        <v>0</v>
      </c>
      <c r="J182" s="1573">
        <v>0</v>
      </c>
      <c r="K182" s="1659">
        <f>SUM(C182:J182)</f>
        <v>1410706</v>
      </c>
      <c r="L182" s="1573">
        <v>1390820</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698199</v>
      </c>
      <c r="D184" s="1668">
        <f t="shared" ref="D184:J184" si="17">SUM(D180,D182,D183)</f>
        <v>96982</v>
      </c>
      <c r="E184" s="1668">
        <f t="shared" si="17"/>
        <v>13326</v>
      </c>
      <c r="F184" s="1668">
        <f t="shared" si="17"/>
        <v>120355</v>
      </c>
      <c r="G184" s="1668">
        <f t="shared" si="17"/>
        <v>479814</v>
      </c>
      <c r="H184" s="1668">
        <f t="shared" si="17"/>
        <v>2030</v>
      </c>
      <c r="I184" s="1668">
        <f t="shared" si="17"/>
        <v>0</v>
      </c>
      <c r="J184" s="1668">
        <f t="shared" si="17"/>
        <v>0</v>
      </c>
      <c r="K184" s="1668">
        <f>SUM(K180,K182,K183)</f>
        <v>1410706</v>
      </c>
      <c r="L184" s="1668">
        <f>SUM(L180, L182:L183)</f>
        <v>1390820</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v>0</v>
      </c>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1946</v>
      </c>
      <c r="I205" s="1660"/>
      <c r="J205" s="1660"/>
      <c r="K205" s="1682">
        <f>SUM(H205)</f>
        <v>1946</v>
      </c>
      <c r="L205" s="1628">
        <v>0</v>
      </c>
    </row>
    <row r="206" spans="1:14" ht="30" customHeight="1" x14ac:dyDescent="0.2">
      <c r="A206" s="555" t="s">
        <v>1649</v>
      </c>
      <c r="B206" s="546" t="s">
        <v>31</v>
      </c>
      <c r="C206" s="1660"/>
      <c r="D206" s="1660"/>
      <c r="E206" s="1660"/>
      <c r="F206" s="1660"/>
      <c r="G206" s="1660"/>
      <c r="H206" s="1573">
        <v>7642</v>
      </c>
      <c r="I206" s="1660"/>
      <c r="J206" s="1660"/>
      <c r="K206" s="1659">
        <f>SUM(H206)</f>
        <v>7642</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9588</v>
      </c>
      <c r="I208" s="1660"/>
      <c r="J208" s="1660"/>
      <c r="K208" s="1668">
        <f>SUM(K204,K205,K206,K207)</f>
        <v>9588</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698199</v>
      </c>
      <c r="D210" s="1661">
        <f>SUM(D184,D185)</f>
        <v>96982</v>
      </c>
      <c r="E210" s="1661">
        <f>SUM(E184,E185,E196)</f>
        <v>13326</v>
      </c>
      <c r="F210" s="1661">
        <f>SUM(F184,F185)</f>
        <v>120355</v>
      </c>
      <c r="G210" s="1661">
        <f>SUM(G184,G185)</f>
        <v>479814</v>
      </c>
      <c r="H210" s="1661">
        <f>SUM(H184,H185,H196,H208,H209)</f>
        <v>11618</v>
      </c>
      <c r="I210" s="1661">
        <f>SUM(I184,I185)</f>
        <v>0</v>
      </c>
      <c r="J210" s="1661">
        <f>SUM(J184,J185)</f>
        <v>0</v>
      </c>
      <c r="K210" s="1659">
        <f>SUM(K184,K185,K196,K208,K209)</f>
        <v>1420294</v>
      </c>
      <c r="L210" s="1661">
        <f>SUM(L184,L185,L196,L208,L209)</f>
        <v>1390820</v>
      </c>
    </row>
    <row r="211" spans="1:14" ht="13.5" thickTop="1" x14ac:dyDescent="0.2">
      <c r="A211" s="2245" t="s">
        <v>988</v>
      </c>
      <c r="B211" s="2246"/>
      <c r="C211" s="1662"/>
      <c r="D211" s="1662"/>
      <c r="E211" s="1662"/>
      <c r="F211" s="1662"/>
      <c r="G211" s="1662"/>
      <c r="H211" s="1662"/>
      <c r="I211" s="1660"/>
      <c r="J211" s="1660"/>
      <c r="K211" s="1675">
        <f>'Revenues 9-14'!F268-'Expenditures 15-22'!K210</f>
        <v>169050</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7" t="s">
        <v>958</v>
      </c>
      <c r="B213" s="2268"/>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92193</v>
      </c>
      <c r="E215" s="1660"/>
      <c r="F215" s="1660"/>
      <c r="G215" s="1660"/>
      <c r="H215" s="1660"/>
      <c r="I215" s="1660"/>
      <c r="J215" s="1660"/>
      <c r="K215" s="1659">
        <f>D215</f>
        <v>92193</v>
      </c>
      <c r="L215" s="1573">
        <v>100740</v>
      </c>
    </row>
    <row r="216" spans="1:14" x14ac:dyDescent="0.2">
      <c r="A216" s="1274" t="s">
        <v>162</v>
      </c>
      <c r="B216" s="503" t="s">
        <v>960</v>
      </c>
      <c r="C216" s="1660"/>
      <c r="D216" s="1573">
        <v>14453</v>
      </c>
      <c r="E216" s="1660"/>
      <c r="F216" s="1660"/>
      <c r="G216" s="1660"/>
      <c r="H216" s="1660"/>
      <c r="I216" s="1660"/>
      <c r="J216" s="1660"/>
      <c r="K216" s="1659">
        <f t="shared" ref="K216:K228" si="19">D216</f>
        <v>14453</v>
      </c>
      <c r="L216" s="1573">
        <v>14451</v>
      </c>
    </row>
    <row r="217" spans="1:14" x14ac:dyDescent="0.2">
      <c r="A217" s="1274" t="s">
        <v>163</v>
      </c>
      <c r="B217" s="503">
        <v>1200</v>
      </c>
      <c r="C217" s="1660"/>
      <c r="D217" s="1573">
        <v>121371</v>
      </c>
      <c r="E217" s="1660"/>
      <c r="F217" s="1660"/>
      <c r="G217" s="1660"/>
      <c r="H217" s="1660"/>
      <c r="I217" s="1660"/>
      <c r="J217" s="1660"/>
      <c r="K217" s="1659">
        <f t="shared" si="19"/>
        <v>121371</v>
      </c>
      <c r="L217" s="1573">
        <v>120215</v>
      </c>
    </row>
    <row r="218" spans="1:14" x14ac:dyDescent="0.2">
      <c r="A218" s="1274" t="s">
        <v>276</v>
      </c>
      <c r="B218" s="503" t="s">
        <v>961</v>
      </c>
      <c r="C218" s="1660"/>
      <c r="D218" s="1573">
        <v>5716</v>
      </c>
      <c r="E218" s="1660"/>
      <c r="F218" s="1660"/>
      <c r="G218" s="1660"/>
      <c r="H218" s="1660"/>
      <c r="I218" s="1660"/>
      <c r="J218" s="1660"/>
      <c r="K218" s="1659">
        <f t="shared" si="19"/>
        <v>5716</v>
      </c>
      <c r="L218" s="1573">
        <v>5652</v>
      </c>
    </row>
    <row r="219" spans="1:14" x14ac:dyDescent="0.2">
      <c r="A219" s="1274" t="s">
        <v>277</v>
      </c>
      <c r="B219" s="503">
        <v>1250</v>
      </c>
      <c r="C219" s="1660"/>
      <c r="D219" s="1573">
        <v>12217</v>
      </c>
      <c r="E219" s="1660"/>
      <c r="F219" s="1660"/>
      <c r="G219" s="1660"/>
      <c r="H219" s="1660"/>
      <c r="I219" s="1660"/>
      <c r="J219" s="1660"/>
      <c r="K219" s="1659">
        <f t="shared" si="19"/>
        <v>12217</v>
      </c>
      <c r="L219" s="1573">
        <v>12766</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0</v>
      </c>
      <c r="E222" s="1660"/>
      <c r="F222" s="1660"/>
      <c r="G222" s="1660"/>
      <c r="H222" s="1660"/>
      <c r="I222" s="1660"/>
      <c r="J222" s="1660"/>
      <c r="K222" s="1659">
        <f t="shared" si="19"/>
        <v>0</v>
      </c>
      <c r="L222" s="1573">
        <v>0</v>
      </c>
    </row>
    <row r="223" spans="1:14" x14ac:dyDescent="0.2">
      <c r="A223" s="1274" t="s">
        <v>956</v>
      </c>
      <c r="B223" s="503">
        <v>1500</v>
      </c>
      <c r="C223" s="1660"/>
      <c r="D223" s="1573">
        <v>13018</v>
      </c>
      <c r="E223" s="1660"/>
      <c r="F223" s="1660"/>
      <c r="G223" s="1660"/>
      <c r="H223" s="1660"/>
      <c r="I223" s="1660"/>
      <c r="J223" s="1660"/>
      <c r="K223" s="1659">
        <f t="shared" si="19"/>
        <v>13018</v>
      </c>
      <c r="L223" s="1573">
        <v>13183</v>
      </c>
    </row>
    <row r="224" spans="1:14" x14ac:dyDescent="0.2">
      <c r="A224" s="1274" t="s">
        <v>957</v>
      </c>
      <c r="B224" s="503">
        <v>1600</v>
      </c>
      <c r="C224" s="1660"/>
      <c r="D224" s="1573">
        <v>6</v>
      </c>
      <c r="E224" s="1660"/>
      <c r="F224" s="1660"/>
      <c r="G224" s="1660"/>
      <c r="H224" s="1660"/>
      <c r="I224" s="1660"/>
      <c r="J224" s="1660"/>
      <c r="K224" s="1659">
        <f t="shared" si="19"/>
        <v>6</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1256</v>
      </c>
      <c r="E226" s="1660"/>
      <c r="F226" s="1660"/>
      <c r="G226" s="1660"/>
      <c r="H226" s="1660"/>
      <c r="I226" s="1660"/>
      <c r="J226" s="1660"/>
      <c r="K226" s="1659">
        <f t="shared" si="19"/>
        <v>1256</v>
      </c>
      <c r="L226" s="1573">
        <v>1389</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1594</v>
      </c>
      <c r="E228" s="1660"/>
      <c r="F228" s="1660"/>
      <c r="G228" s="1660"/>
      <c r="H228" s="1660"/>
      <c r="I228" s="1660"/>
      <c r="J228" s="1660"/>
      <c r="K228" s="1659">
        <f t="shared" si="19"/>
        <v>1594</v>
      </c>
      <c r="L228" s="1573">
        <v>1787</v>
      </c>
    </row>
    <row r="229" spans="1:12" ht="12.75" customHeight="1" thickBot="1" x14ac:dyDescent="0.25">
      <c r="A229" s="1380" t="s">
        <v>709</v>
      </c>
      <c r="B229" s="1383" t="s">
        <v>566</v>
      </c>
      <c r="C229" s="1660"/>
      <c r="D229" s="1661">
        <f>SUM(D215:D228)</f>
        <v>261824</v>
      </c>
      <c r="E229" s="1660"/>
      <c r="F229" s="1660"/>
      <c r="G229" s="1660"/>
      <c r="H229" s="1660"/>
      <c r="I229" s="1660"/>
      <c r="J229" s="1660"/>
      <c r="K229" s="1661">
        <f>SUM(K215:K228)</f>
        <v>261824</v>
      </c>
      <c r="L229" s="1661">
        <f>SUM(L215:L228)</f>
        <v>270183</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0</v>
      </c>
      <c r="E232" s="1660"/>
      <c r="F232" s="1660"/>
      <c r="G232" s="1660"/>
      <c r="H232" s="1660"/>
      <c r="I232" s="1660"/>
      <c r="J232" s="1660"/>
      <c r="K232" s="1659">
        <f t="shared" ref="K232:K237" si="20">D232</f>
        <v>0</v>
      </c>
      <c r="L232" s="1573">
        <v>0</v>
      </c>
    </row>
    <row r="233" spans="1:12" x14ac:dyDescent="0.2">
      <c r="A233" s="1274" t="s">
        <v>1080</v>
      </c>
      <c r="B233" s="503">
        <v>2120</v>
      </c>
      <c r="C233" s="1660"/>
      <c r="D233" s="1573">
        <v>5463</v>
      </c>
      <c r="E233" s="1660"/>
      <c r="F233" s="1660"/>
      <c r="G233" s="1660"/>
      <c r="H233" s="1660"/>
      <c r="I233" s="1660"/>
      <c r="J233" s="1660"/>
      <c r="K233" s="1659">
        <f t="shared" si="20"/>
        <v>5463</v>
      </c>
      <c r="L233" s="1573">
        <v>5619</v>
      </c>
    </row>
    <row r="234" spans="1:12" x14ac:dyDescent="0.2">
      <c r="A234" s="1274" t="s">
        <v>196</v>
      </c>
      <c r="B234" s="503">
        <v>2130</v>
      </c>
      <c r="C234" s="1660"/>
      <c r="D234" s="1573">
        <v>7779</v>
      </c>
      <c r="E234" s="1660"/>
      <c r="F234" s="1660"/>
      <c r="G234" s="1660"/>
      <c r="H234" s="1660"/>
      <c r="I234" s="1660"/>
      <c r="J234" s="1660"/>
      <c r="K234" s="1659">
        <f t="shared" si="20"/>
        <v>7779</v>
      </c>
      <c r="L234" s="1573">
        <v>7447</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2447</v>
      </c>
      <c r="E236" s="1660"/>
      <c r="F236" s="1660"/>
      <c r="G236" s="1660"/>
      <c r="H236" s="1660"/>
      <c r="I236" s="1660"/>
      <c r="J236" s="1660"/>
      <c r="K236" s="1659">
        <f t="shared" si="20"/>
        <v>2447</v>
      </c>
      <c r="L236" s="1573">
        <v>2755</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710</v>
      </c>
      <c r="C238" s="1660"/>
      <c r="D238" s="1661">
        <f>SUM(D232:D237)</f>
        <v>15689</v>
      </c>
      <c r="E238" s="1660"/>
      <c r="F238" s="1660"/>
      <c r="G238" s="1660"/>
      <c r="H238" s="1660"/>
      <c r="I238" s="1660"/>
      <c r="J238" s="1660"/>
      <c r="K238" s="1661">
        <f>SUM(K232:K237)</f>
        <v>15689</v>
      </c>
      <c r="L238" s="1661">
        <f>SUM(L232:L237)</f>
        <v>15821</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0</v>
      </c>
      <c r="E240" s="1660"/>
      <c r="F240" s="1660"/>
      <c r="G240" s="1660"/>
      <c r="H240" s="1660"/>
      <c r="I240" s="1660"/>
      <c r="J240" s="1660"/>
      <c r="K240" s="1665">
        <f>D240</f>
        <v>0</v>
      </c>
      <c r="L240" s="1586">
        <v>0</v>
      </c>
    </row>
    <row r="241" spans="1:12" x14ac:dyDescent="0.2">
      <c r="A241" s="1274" t="s">
        <v>809</v>
      </c>
      <c r="B241" s="503">
        <v>2220</v>
      </c>
      <c r="C241" s="1660"/>
      <c r="D241" s="1573">
        <v>22727</v>
      </c>
      <c r="E241" s="1660"/>
      <c r="F241" s="1660"/>
      <c r="G241" s="1660"/>
      <c r="H241" s="1660"/>
      <c r="I241" s="1660"/>
      <c r="J241" s="1660"/>
      <c r="K241" s="1665">
        <f>D241</f>
        <v>22727</v>
      </c>
      <c r="L241" s="1573">
        <v>22757</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22727</v>
      </c>
      <c r="E243" s="1660"/>
      <c r="F243" s="1660"/>
      <c r="G243" s="1660"/>
      <c r="H243" s="1660"/>
      <c r="I243" s="1660"/>
      <c r="J243" s="1660"/>
      <c r="K243" s="1661">
        <f>SUM(K240:K242)</f>
        <v>22727</v>
      </c>
      <c r="L243" s="1661">
        <f>SUM(L240:L242)</f>
        <v>22757</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0</v>
      </c>
      <c r="E245" s="1660"/>
      <c r="F245" s="1660"/>
      <c r="G245" s="1660"/>
      <c r="H245" s="1660"/>
      <c r="I245" s="1660"/>
      <c r="J245" s="1660"/>
      <c r="K245" s="1665">
        <f>D245</f>
        <v>0</v>
      </c>
      <c r="L245" s="1586">
        <v>0</v>
      </c>
    </row>
    <row r="246" spans="1:12" x14ac:dyDescent="0.2">
      <c r="A246" s="1274" t="s">
        <v>812</v>
      </c>
      <c r="B246" s="503">
        <v>2320</v>
      </c>
      <c r="C246" s="1660"/>
      <c r="D246" s="1573">
        <v>5862</v>
      </c>
      <c r="E246" s="1660"/>
      <c r="F246" s="1660"/>
      <c r="G246" s="1660"/>
      <c r="H246" s="1660"/>
      <c r="I246" s="1660"/>
      <c r="J246" s="1660"/>
      <c r="K246" s="1665">
        <f t="shared" ref="K246:K256" si="21">D246</f>
        <v>5862</v>
      </c>
      <c r="L246" s="1573">
        <v>5608</v>
      </c>
    </row>
    <row r="247" spans="1:12" x14ac:dyDescent="0.2">
      <c r="A247" s="1274" t="s">
        <v>813</v>
      </c>
      <c r="B247" s="503">
        <v>2330</v>
      </c>
      <c r="C247" s="1660"/>
      <c r="D247" s="1573">
        <v>80</v>
      </c>
      <c r="E247" s="1660"/>
      <c r="F247" s="1660"/>
      <c r="G247" s="1660"/>
      <c r="H247" s="1660"/>
      <c r="I247" s="1660"/>
      <c r="J247" s="1660"/>
      <c r="K247" s="1665">
        <f t="shared" si="21"/>
        <v>80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30697</v>
      </c>
      <c r="E254" s="1660"/>
      <c r="F254" s="1660"/>
      <c r="G254" s="1660"/>
      <c r="H254" s="1660"/>
      <c r="I254" s="1660"/>
      <c r="J254" s="1660"/>
      <c r="K254" s="1665">
        <f t="shared" si="21"/>
        <v>30697</v>
      </c>
      <c r="L254" s="1573">
        <v>29971</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36639</v>
      </c>
      <c r="E257" s="1660"/>
      <c r="F257" s="1660"/>
      <c r="G257" s="1660"/>
      <c r="H257" s="1660"/>
      <c r="I257" s="1660"/>
      <c r="J257" s="1660"/>
      <c r="K257" s="1661">
        <f>SUM(K245:K256)</f>
        <v>36639</v>
      </c>
      <c r="L257" s="1661">
        <f>SUM(L245:L256)</f>
        <v>35579</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30467</v>
      </c>
      <c r="E259" s="1660"/>
      <c r="F259" s="1660"/>
      <c r="G259" s="1660"/>
      <c r="H259" s="1660"/>
      <c r="I259" s="1660"/>
      <c r="J259" s="1660"/>
      <c r="K259" s="1665">
        <f>D259</f>
        <v>30467</v>
      </c>
      <c r="L259" s="1586">
        <v>29708</v>
      </c>
    </row>
    <row r="260" spans="1:14" s="493" customFormat="1" x14ac:dyDescent="0.2">
      <c r="A260" s="1292" t="s">
        <v>1778</v>
      </c>
      <c r="B260" s="512">
        <v>2490</v>
      </c>
      <c r="C260" s="1660"/>
      <c r="D260" s="1573">
        <v>159</v>
      </c>
      <c r="E260" s="1660"/>
      <c r="F260" s="1660"/>
      <c r="G260" s="1660"/>
      <c r="H260" s="1660"/>
      <c r="I260" s="1660"/>
      <c r="J260" s="1660"/>
      <c r="K260" s="1665">
        <f>D260</f>
        <v>159</v>
      </c>
      <c r="L260" s="1573">
        <v>161</v>
      </c>
      <c r="M260" s="205"/>
      <c r="N260" s="205"/>
    </row>
    <row r="261" spans="1:14" ht="12.75" customHeight="1" thickBot="1" x14ac:dyDescent="0.25">
      <c r="A261" s="1394" t="s">
        <v>261</v>
      </c>
      <c r="B261" s="1399" t="s">
        <v>34</v>
      </c>
      <c r="C261" s="1660"/>
      <c r="D261" s="1661">
        <f>SUM(D259:D260)</f>
        <v>30626</v>
      </c>
      <c r="E261" s="1660"/>
      <c r="F261" s="1660"/>
      <c r="G261" s="1660"/>
      <c r="H261" s="1660"/>
      <c r="I261" s="1660"/>
      <c r="J261" s="1660"/>
      <c r="K261" s="1661">
        <f>SUM(K259:K260)</f>
        <v>30626</v>
      </c>
      <c r="L261" s="1661">
        <f>SUM(L259:L260)</f>
        <v>29869</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1324</v>
      </c>
      <c r="E263" s="1660"/>
      <c r="F263" s="1660"/>
      <c r="G263" s="1660"/>
      <c r="H263" s="1660"/>
      <c r="I263" s="1660"/>
      <c r="J263" s="1660"/>
      <c r="K263" s="1665">
        <f>D263</f>
        <v>1324</v>
      </c>
      <c r="L263" s="1586">
        <v>1268</v>
      </c>
    </row>
    <row r="264" spans="1:14" x14ac:dyDescent="0.2">
      <c r="A264" s="1274" t="s">
        <v>460</v>
      </c>
      <c r="B264" s="559">
        <v>2520</v>
      </c>
      <c r="C264" s="1660"/>
      <c r="D264" s="1573">
        <v>15899</v>
      </c>
      <c r="E264" s="1660"/>
      <c r="F264" s="1660"/>
      <c r="G264" s="1660"/>
      <c r="H264" s="1660"/>
      <c r="I264" s="1660"/>
      <c r="J264" s="1660"/>
      <c r="K264" s="1665">
        <f t="shared" ref="K264:K269" si="22">D264</f>
        <v>15899</v>
      </c>
      <c r="L264" s="1573">
        <v>15223</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82838</v>
      </c>
      <c r="E266" s="1660"/>
      <c r="F266" s="1660"/>
      <c r="G266" s="1660"/>
      <c r="H266" s="1660"/>
      <c r="I266" s="1660"/>
      <c r="J266" s="1660"/>
      <c r="K266" s="1665">
        <f t="shared" si="22"/>
        <v>82838</v>
      </c>
      <c r="L266" s="1573">
        <v>79248</v>
      </c>
    </row>
    <row r="267" spans="1:14" x14ac:dyDescent="0.2">
      <c r="A267" s="1274" t="s">
        <v>946</v>
      </c>
      <c r="B267" s="503">
        <v>2550</v>
      </c>
      <c r="C267" s="1660"/>
      <c r="D267" s="1573">
        <v>84344</v>
      </c>
      <c r="E267" s="1660"/>
      <c r="F267" s="1660"/>
      <c r="G267" s="1660"/>
      <c r="H267" s="1660"/>
      <c r="I267" s="1660"/>
      <c r="J267" s="1660"/>
      <c r="K267" s="1665">
        <f t="shared" si="22"/>
        <v>84344</v>
      </c>
      <c r="L267" s="1573">
        <v>82286</v>
      </c>
    </row>
    <row r="268" spans="1:14" x14ac:dyDescent="0.2">
      <c r="A268" s="1274" t="s">
        <v>100</v>
      </c>
      <c r="B268" s="503">
        <v>2560</v>
      </c>
      <c r="C268" s="1660"/>
      <c r="D268" s="1573">
        <v>35041</v>
      </c>
      <c r="E268" s="1660"/>
      <c r="F268" s="1660"/>
      <c r="G268" s="1660"/>
      <c r="H268" s="1660"/>
      <c r="I268" s="1660"/>
      <c r="J268" s="1660"/>
      <c r="K268" s="1665">
        <f t="shared" si="22"/>
        <v>35041</v>
      </c>
      <c r="L268" s="1573">
        <v>33814</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219446</v>
      </c>
      <c r="E270" s="1660"/>
      <c r="F270" s="1660"/>
      <c r="G270" s="1660"/>
      <c r="H270" s="1660"/>
      <c r="I270" s="1660"/>
      <c r="J270" s="1660"/>
      <c r="K270" s="1661">
        <f>SUM(K263:K269)</f>
        <v>219446</v>
      </c>
      <c r="L270" s="1661">
        <f>SUM(L263:L269)</f>
        <v>211839</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325127</v>
      </c>
      <c r="E279" s="1660"/>
      <c r="F279" s="1660"/>
      <c r="G279" s="1660"/>
      <c r="H279" s="1660"/>
      <c r="I279" s="1660"/>
      <c r="J279" s="1660"/>
      <c r="K279" s="1668">
        <f>SUM(K238,K243,K257,K261,K270,K277,K278)</f>
        <v>325127</v>
      </c>
      <c r="L279" s="1668">
        <f>SUM(L238,L243,L257,L261,L270,L277,L278)</f>
        <v>315865</v>
      </c>
    </row>
    <row r="280" spans="1:12" ht="15.75" customHeight="1" thickTop="1" thickBot="1" x14ac:dyDescent="0.25">
      <c r="A280" s="1362" t="s">
        <v>869</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3" t="s">
        <v>502</v>
      </c>
      <c r="B295" s="2264"/>
      <c r="C295" s="1660"/>
      <c r="D295" s="1661">
        <f>SUM(D229,D279,D280,D285)</f>
        <v>586951</v>
      </c>
      <c r="E295" s="1660"/>
      <c r="F295" s="1660"/>
      <c r="G295" s="1660"/>
      <c r="H295" s="1661">
        <f>H293</f>
        <v>0</v>
      </c>
      <c r="I295" s="1660"/>
      <c r="J295" s="1660"/>
      <c r="K295" s="1661">
        <f>SUM(K229,K279,K280,K285,K293,K294)</f>
        <v>586951</v>
      </c>
      <c r="L295" s="1661">
        <f>SUM(L229,L279,L280,L285,L293,L294)</f>
        <v>586048</v>
      </c>
    </row>
    <row r="296" spans="1:14" ht="13.5" thickTop="1" x14ac:dyDescent="0.2">
      <c r="A296" s="2245" t="s">
        <v>988</v>
      </c>
      <c r="B296" s="2246"/>
      <c r="C296" s="1660"/>
      <c r="D296" s="1662"/>
      <c r="E296" s="1660"/>
      <c r="F296" s="1660"/>
      <c r="G296" s="1660"/>
      <c r="H296" s="1693"/>
      <c r="I296" s="1660"/>
      <c r="J296" s="1660"/>
      <c r="K296" s="1675">
        <f>'Revenues 9-14'!G268-'Expenditures 15-22'!K295</f>
        <v>90418</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5" t="s">
        <v>142</v>
      </c>
      <c r="B298" s="2249"/>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0</v>
      </c>
      <c r="H301" s="1573">
        <v>0</v>
      </c>
      <c r="I301" s="1573">
        <v>0</v>
      </c>
      <c r="J301" s="1573">
        <v>0</v>
      </c>
      <c r="K301" s="1659">
        <f>SUM(C301:J301)</f>
        <v>0</v>
      </c>
      <c r="L301" s="1574">
        <v>0</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60" t="s">
        <v>275</v>
      </c>
      <c r="B312" s="2261"/>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539"/>
      <c r="N312" s="539"/>
    </row>
    <row r="313" spans="1:14" ht="13.5" thickTop="1" x14ac:dyDescent="0.2">
      <c r="A313" s="2256" t="s">
        <v>988</v>
      </c>
      <c r="B313" s="2257"/>
      <c r="C313" s="1664"/>
      <c r="D313" s="1664"/>
      <c r="E313" s="1664"/>
      <c r="F313" s="1664"/>
      <c r="G313" s="1664"/>
      <c r="H313" s="1664"/>
      <c r="I313" s="1664"/>
      <c r="J313" s="1664"/>
      <c r="K313" s="1682">
        <f>'Revenues 9-14'!H268-'Expenditures 15-22'!K312</f>
        <v>0</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9" t="s">
        <v>148</v>
      </c>
      <c r="B315" s="2270"/>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1" t="s">
        <v>891</v>
      </c>
      <c r="B317" s="2270"/>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53077</v>
      </c>
      <c r="F320" s="1573">
        <v>0</v>
      </c>
      <c r="G320" s="1573">
        <v>0</v>
      </c>
      <c r="H320" s="1573">
        <v>0</v>
      </c>
      <c r="I320" s="1573">
        <v>0</v>
      </c>
      <c r="J320" s="1573">
        <v>0</v>
      </c>
      <c r="K320" s="1659">
        <f t="shared" ref="K320:K327" si="24">SUM(C320:J320)</f>
        <v>53077</v>
      </c>
      <c r="L320" s="1574">
        <v>189560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282</v>
      </c>
      <c r="C322" s="1573">
        <v>0</v>
      </c>
      <c r="D322" s="1573">
        <v>0</v>
      </c>
      <c r="E322" s="1573">
        <v>12750</v>
      </c>
      <c r="F322" s="1573">
        <v>0</v>
      </c>
      <c r="G322" s="1573">
        <v>0</v>
      </c>
      <c r="H322" s="1573">
        <v>0</v>
      </c>
      <c r="I322" s="1573">
        <v>0</v>
      </c>
      <c r="J322" s="1573">
        <v>0</v>
      </c>
      <c r="K322" s="1659">
        <f t="shared" si="24"/>
        <v>12750</v>
      </c>
      <c r="L322" s="1574">
        <v>6750</v>
      </c>
      <c r="M322" s="539"/>
      <c r="N322" s="539"/>
    </row>
    <row r="323" spans="1:14" s="548" customFormat="1" x14ac:dyDescent="0.2">
      <c r="A323" s="1289" t="s">
        <v>696</v>
      </c>
      <c r="B323" s="567" t="s">
        <v>283</v>
      </c>
      <c r="C323" s="1573">
        <v>0</v>
      </c>
      <c r="D323" s="1573">
        <v>0</v>
      </c>
      <c r="E323" s="1573">
        <v>0</v>
      </c>
      <c r="F323" s="1573">
        <v>0</v>
      </c>
      <c r="G323" s="1573">
        <v>0</v>
      </c>
      <c r="H323" s="1573">
        <v>0</v>
      </c>
      <c r="I323" s="1573">
        <v>0</v>
      </c>
      <c r="J323" s="1573">
        <v>0</v>
      </c>
      <c r="K323" s="1659">
        <f t="shared" si="24"/>
        <v>0</v>
      </c>
      <c r="L323" s="1574">
        <v>0</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285</v>
      </c>
      <c r="C325" s="1573">
        <v>474816</v>
      </c>
      <c r="D325" s="1573">
        <v>67729</v>
      </c>
      <c r="E325" s="1573">
        <v>28106</v>
      </c>
      <c r="F325" s="1573">
        <v>0</v>
      </c>
      <c r="G325" s="1573">
        <v>0</v>
      </c>
      <c r="H325" s="1573">
        <v>0</v>
      </c>
      <c r="I325" s="1573">
        <v>0</v>
      </c>
      <c r="J325" s="1573">
        <v>0</v>
      </c>
      <c r="K325" s="1659">
        <f t="shared" si="24"/>
        <v>570651</v>
      </c>
      <c r="L325" s="1574">
        <v>582276</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0</v>
      </c>
      <c r="F327" s="1573">
        <v>0</v>
      </c>
      <c r="G327" s="1573">
        <v>0</v>
      </c>
      <c r="H327" s="1573">
        <v>0</v>
      </c>
      <c r="I327" s="1573">
        <v>0</v>
      </c>
      <c r="J327" s="1573">
        <v>0</v>
      </c>
      <c r="K327" s="1659">
        <f t="shared" si="24"/>
        <v>0</v>
      </c>
      <c r="L327" s="1574">
        <v>0</v>
      </c>
      <c r="M327" s="539"/>
      <c r="N327" s="539"/>
    </row>
    <row r="328" spans="1:14" s="548" customFormat="1" x14ac:dyDescent="0.2">
      <c r="A328" s="1290" t="s">
        <v>469</v>
      </c>
      <c r="B328" s="562" t="s">
        <v>1121</v>
      </c>
      <c r="C328" s="1573">
        <v>0</v>
      </c>
      <c r="D328" s="1573">
        <v>0</v>
      </c>
      <c r="E328" s="1573">
        <v>62555</v>
      </c>
      <c r="F328" s="1573">
        <v>0</v>
      </c>
      <c r="G328" s="1573">
        <v>0</v>
      </c>
      <c r="H328" s="1573">
        <v>0</v>
      </c>
      <c r="I328" s="1573">
        <v>0</v>
      </c>
      <c r="J328" s="1573">
        <v>0</v>
      </c>
      <c r="K328" s="1699">
        <f>SUM(C328:J328)</f>
        <v>62555</v>
      </c>
      <c r="L328" s="1579">
        <v>0</v>
      </c>
      <c r="M328" s="539"/>
      <c r="N328" s="539"/>
    </row>
    <row r="329" spans="1:14" s="548" customFormat="1" x14ac:dyDescent="0.2">
      <c r="A329" s="1290" t="s">
        <v>1122</v>
      </c>
      <c r="B329" s="562" t="s">
        <v>1123</v>
      </c>
      <c r="C329" s="1573">
        <v>0</v>
      </c>
      <c r="D329" s="1573">
        <v>0</v>
      </c>
      <c r="E329" s="1573">
        <v>73928</v>
      </c>
      <c r="F329" s="1573">
        <v>0</v>
      </c>
      <c r="G329" s="1573">
        <v>0</v>
      </c>
      <c r="H329" s="1573">
        <v>0</v>
      </c>
      <c r="I329" s="1573">
        <v>0</v>
      </c>
      <c r="J329" s="1573">
        <v>0</v>
      </c>
      <c r="K329" s="1699">
        <f>SUM(C329:J329)</f>
        <v>73928</v>
      </c>
      <c r="L329" s="1579">
        <v>0</v>
      </c>
      <c r="M329" s="539"/>
      <c r="N329" s="539"/>
    </row>
    <row r="330" spans="1:14" s="548" customFormat="1" ht="12.75" customHeight="1" thickBot="1" x14ac:dyDescent="0.25">
      <c r="A330" s="1401" t="s">
        <v>711</v>
      </c>
      <c r="B330" s="1381" t="s">
        <v>565</v>
      </c>
      <c r="C330" s="1661">
        <f>SUM(C319:C329)</f>
        <v>474816</v>
      </c>
      <c r="D330" s="1661">
        <f t="shared" ref="D330:J330" si="25">SUM(D319:D329)</f>
        <v>67729</v>
      </c>
      <c r="E330" s="1661">
        <f t="shared" si="25"/>
        <v>230416</v>
      </c>
      <c r="F330" s="1661">
        <f t="shared" si="25"/>
        <v>0</v>
      </c>
      <c r="G330" s="1661">
        <f t="shared" si="25"/>
        <v>0</v>
      </c>
      <c r="H330" s="1661">
        <f t="shared" si="25"/>
        <v>0</v>
      </c>
      <c r="I330" s="1661">
        <f t="shared" si="25"/>
        <v>0</v>
      </c>
      <c r="J330" s="1661">
        <f t="shared" si="25"/>
        <v>0</v>
      </c>
      <c r="K330" s="1661">
        <f>SUM(K319:K329)</f>
        <v>772961</v>
      </c>
      <c r="L330" s="1661">
        <f>SUM(L319:L329)</f>
        <v>778586</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474816</v>
      </c>
      <c r="D342" s="1661">
        <f>SUM(D330)</f>
        <v>67729</v>
      </c>
      <c r="E342" s="1661">
        <f>SUM(E330)</f>
        <v>230416</v>
      </c>
      <c r="F342" s="1661">
        <f>SUM(F330)</f>
        <v>0</v>
      </c>
      <c r="G342" s="1661">
        <f>SUM(G330)</f>
        <v>0</v>
      </c>
      <c r="H342" s="1661">
        <f>SUM(H330,H334,H340)</f>
        <v>0</v>
      </c>
      <c r="I342" s="1661">
        <f>SUM(I330)</f>
        <v>0</v>
      </c>
      <c r="J342" s="1661">
        <f>SUM(J330)</f>
        <v>0</v>
      </c>
      <c r="K342" s="1661">
        <f>SUM(K330,K334,K340)</f>
        <v>772961</v>
      </c>
      <c r="L342" s="1668">
        <f>SUM(L330,L334,L340,L341)</f>
        <v>778586</v>
      </c>
    </row>
    <row r="343" spans="1:14" ht="12.75" customHeight="1" thickTop="1" x14ac:dyDescent="0.2">
      <c r="A343" s="2258" t="s">
        <v>988</v>
      </c>
      <c r="B343" s="2259"/>
      <c r="C343" s="1660"/>
      <c r="D343" s="1660"/>
      <c r="E343" s="1660"/>
      <c r="F343" s="1660"/>
      <c r="G343" s="1660"/>
      <c r="H343" s="1660"/>
      <c r="I343" s="1660"/>
      <c r="J343" s="1660"/>
      <c r="K343" s="1675">
        <f>'Revenues 9-14'!J268-'Expenditures 15-22'!K342</f>
        <v>484691</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8" t="s">
        <v>959</v>
      </c>
      <c r="B345" s="2249"/>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33658</v>
      </c>
      <c r="F348" s="1573">
        <v>0</v>
      </c>
      <c r="G348" s="1573">
        <v>0</v>
      </c>
      <c r="H348" s="1573">
        <v>0</v>
      </c>
      <c r="I348" s="1573">
        <v>0</v>
      </c>
      <c r="J348" s="1573">
        <v>0</v>
      </c>
      <c r="K348" s="1659">
        <f>SUM(C348:J348)</f>
        <v>33658</v>
      </c>
      <c r="L348" s="1573">
        <v>152883</v>
      </c>
    </row>
    <row r="349" spans="1:14" x14ac:dyDescent="0.2">
      <c r="A349" s="1274" t="s">
        <v>195</v>
      </c>
      <c r="B349" s="503">
        <v>2540</v>
      </c>
      <c r="C349" s="1573">
        <v>0</v>
      </c>
      <c r="D349" s="1573">
        <v>0</v>
      </c>
      <c r="E349" s="1573">
        <v>0</v>
      </c>
      <c r="F349" s="1573">
        <v>0</v>
      </c>
      <c r="G349" s="1573">
        <v>119225</v>
      </c>
      <c r="H349" s="1573">
        <v>0</v>
      </c>
      <c r="I349" s="1573">
        <v>0</v>
      </c>
      <c r="J349" s="1573">
        <v>0</v>
      </c>
      <c r="K349" s="1659">
        <f>SUM(C349:J349)</f>
        <v>119225</v>
      </c>
      <c r="L349" s="1573">
        <v>0</v>
      </c>
    </row>
    <row r="350" spans="1:14" ht="12.75" customHeight="1" thickBot="1" x14ac:dyDescent="0.25">
      <c r="A350" s="1380" t="s">
        <v>713</v>
      </c>
      <c r="B350" s="1381" t="s">
        <v>35</v>
      </c>
      <c r="C350" s="1661">
        <f>SUM(C348:C349)</f>
        <v>0</v>
      </c>
      <c r="D350" s="1661">
        <f t="shared" ref="D350:L350" si="26">SUM(D348:D349)</f>
        <v>0</v>
      </c>
      <c r="E350" s="1661">
        <f t="shared" si="26"/>
        <v>33658</v>
      </c>
      <c r="F350" s="1661">
        <f t="shared" si="26"/>
        <v>0</v>
      </c>
      <c r="G350" s="1661">
        <f t="shared" si="26"/>
        <v>119225</v>
      </c>
      <c r="H350" s="1661">
        <f t="shared" si="26"/>
        <v>0</v>
      </c>
      <c r="I350" s="1661">
        <f t="shared" si="26"/>
        <v>0</v>
      </c>
      <c r="J350" s="1661">
        <f t="shared" si="26"/>
        <v>0</v>
      </c>
      <c r="K350" s="1661">
        <f t="shared" si="26"/>
        <v>152883</v>
      </c>
      <c r="L350" s="1661">
        <f t="shared" si="26"/>
        <v>152883</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33658</v>
      </c>
      <c r="F352" s="1661">
        <f t="shared" si="27"/>
        <v>0</v>
      </c>
      <c r="G352" s="1661">
        <f t="shared" si="27"/>
        <v>119225</v>
      </c>
      <c r="H352" s="1661">
        <f t="shared" si="27"/>
        <v>0</v>
      </c>
      <c r="I352" s="1661">
        <f t="shared" si="27"/>
        <v>0</v>
      </c>
      <c r="J352" s="1661">
        <f t="shared" si="27"/>
        <v>0</v>
      </c>
      <c r="K352" s="1661">
        <f t="shared" si="27"/>
        <v>152883</v>
      </c>
      <c r="L352" s="1661">
        <f t="shared" si="27"/>
        <v>152883</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33658</v>
      </c>
      <c r="F367" s="1661">
        <f t="shared" si="28"/>
        <v>0</v>
      </c>
      <c r="G367" s="1661">
        <f t="shared" si="28"/>
        <v>119225</v>
      </c>
      <c r="H367" s="1661">
        <f t="shared" si="28"/>
        <v>0</v>
      </c>
      <c r="I367" s="1661">
        <f t="shared" si="28"/>
        <v>0</v>
      </c>
      <c r="J367" s="1661">
        <f t="shared" si="28"/>
        <v>0</v>
      </c>
      <c r="K367" s="1661">
        <f t="shared" si="28"/>
        <v>152883</v>
      </c>
      <c r="L367" s="1661">
        <f t="shared" si="28"/>
        <v>152883</v>
      </c>
    </row>
    <row r="368" spans="1:14" ht="13.5" thickTop="1" x14ac:dyDescent="0.2">
      <c r="A368" s="2245" t="s">
        <v>988</v>
      </c>
      <c r="B368" s="2246"/>
      <c r="C368" s="1680"/>
      <c r="D368" s="1680"/>
      <c r="E368" s="1664"/>
      <c r="F368" s="1664"/>
      <c r="G368" s="1664"/>
      <c r="H368" s="1664"/>
      <c r="I368" s="1664"/>
      <c r="J368" s="1663"/>
      <c r="K368" s="1659">
        <f>'Revenues 9-14'!K268-'Expenditures 15-22'!K367</f>
        <v>132591</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purl.org/dc/terms/"/>
    <ds:schemaRef ds:uri="http://www.w3.org/XML/1998/namespace"/>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d21dc803-237d-4c68-8692-8d731fd29118"/>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_35</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2020-12-11T18:07:51Z</cp:lastPrinted>
  <dcterms:created xsi:type="dcterms:W3CDTF">2003-10-29T19:06:34Z</dcterms:created>
  <dcterms:modified xsi:type="dcterms:W3CDTF">2020-12-17T01:23:59Z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