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5EB66FE-1C1B-4DBE-A2D4-FAC710DFDA0E}"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AC32" sheetId="145" state="hidden"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5" r:id="rId30"/>
    <sheet name=" SEFA (3)" sheetId="186" r:id="rId31"/>
    <sheet name="SEFA NOTES" sheetId="173" r:id="rId32"/>
    <sheet name="SF&amp;QC Sec-1" sheetId="174" r:id="rId33"/>
    <sheet name="SF&amp;QC Sec-2" sheetId="175" r:id="rId34"/>
    <sheet name="SF&amp;QC Sec-2 (2)" sheetId="187" r:id="rId35"/>
    <sheet name="SF&amp;QC Sec-2 (3)" sheetId="188" r:id="rId36"/>
    <sheet name="SF&amp;QC Sec-3" sheetId="176" r:id="rId37"/>
    <sheet name="SSPAF" sheetId="177" r:id="rId38"/>
  </sheets>
  <definedNames>
    <definedName name="_xlnm._FilterDatabase" localSheetId="24" hidden="1">'AFR20'!$A$1:$F$7884</definedName>
    <definedName name="_xlnm.Print_Area" localSheetId="28">' SEFA'!$B$1:$M$47</definedName>
    <definedName name="_xlnm.Print_Area" localSheetId="29">' SEFA (2)'!$B$1:$M$49</definedName>
    <definedName name="_xlnm.Print_Area" localSheetId="30">' SEFA (3)'!$B$1:$M$48</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14">#REF!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14">#REF!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14">#REF!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14">#REF!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18">#REF!</definedName>
    <definedName name="SUPT" localSheetId="14">#REF!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4" l="1"/>
  <c r="G14" i="186" l="1"/>
  <c r="L14" i="186" s="1"/>
  <c r="E14" i="186"/>
  <c r="I28" i="179"/>
  <c r="C10" i="188" l="1"/>
  <c r="B4" i="188"/>
  <c r="C10" i="187"/>
  <c r="B4" i="187"/>
  <c r="L29" i="186" l="1"/>
  <c r="L28" i="186"/>
  <c r="L27" i="186"/>
  <c r="L26" i="186"/>
  <c r="L25" i="186"/>
  <c r="L24" i="186"/>
  <c r="L23" i="186"/>
  <c r="L22" i="186"/>
  <c r="L21" i="186"/>
  <c r="L20" i="186"/>
  <c r="L19" i="186"/>
  <c r="L18" i="186"/>
  <c r="L17" i="186"/>
  <c r="L16" i="186"/>
  <c r="L15" i="186"/>
  <c r="L13" i="186"/>
  <c r="L12" i="186"/>
  <c r="L11" i="186"/>
  <c r="I9" i="186"/>
  <c r="G9" i="186"/>
  <c r="F9" i="186"/>
  <c r="E9" i="186"/>
  <c r="J8" i="186"/>
  <c r="H8" i="186"/>
  <c r="B4" i="186"/>
  <c r="L30" i="185"/>
  <c r="L28" i="185"/>
  <c r="G22" i="185"/>
  <c r="I22" i="185"/>
  <c r="E22" i="185"/>
  <c r="L29" i="185"/>
  <c r="L27" i="185"/>
  <c r="L26" i="185"/>
  <c r="L25" i="185"/>
  <c r="L24" i="185"/>
  <c r="L23" i="185"/>
  <c r="L21" i="185"/>
  <c r="L20" i="185"/>
  <c r="L19" i="185"/>
  <c r="L18" i="185"/>
  <c r="L17" i="185"/>
  <c r="L16" i="185"/>
  <c r="L15" i="185"/>
  <c r="L14" i="185"/>
  <c r="L13" i="185"/>
  <c r="L12" i="185"/>
  <c r="L11" i="185"/>
  <c r="I9" i="185"/>
  <c r="G9" i="185"/>
  <c r="F9" i="185"/>
  <c r="E9" i="185"/>
  <c r="J8" i="185"/>
  <c r="H8" i="185"/>
  <c r="B4" i="185"/>
  <c r="E28" i="179"/>
  <c r="G22" i="179"/>
  <c r="L19" i="179"/>
  <c r="L16" i="179"/>
  <c r="E67" i="184"/>
  <c r="N67" i="184" s="1"/>
  <c r="E66" i="184"/>
  <c r="E65" i="184"/>
  <c r="N65" i="184" s="1"/>
  <c r="E64" i="184"/>
  <c r="E63" i="184"/>
  <c r="E62" i="184"/>
  <c r="N62" i="184" s="1"/>
  <c r="E61" i="184"/>
  <c r="N61" i="184" s="1"/>
  <c r="E60" i="184"/>
  <c r="E59" i="184"/>
  <c r="N59" i="184" s="1"/>
  <c r="E58" i="184"/>
  <c r="N58" i="184" s="1"/>
  <c r="E57" i="184"/>
  <c r="N57" i="184" s="1"/>
  <c r="E17" i="184"/>
  <c r="E16" i="184"/>
  <c r="H16" i="184" s="1"/>
  <c r="E15" i="184"/>
  <c r="E14" i="184"/>
  <c r="E13" i="184"/>
  <c r="E12" i="184"/>
  <c r="J7" i="184"/>
  <c r="L53" i="184" s="1"/>
  <c r="J6" i="184"/>
  <c r="L52" i="184" s="1"/>
  <c r="M68" i="184"/>
  <c r="L68" i="184"/>
  <c r="G17" i="184" s="1"/>
  <c r="K68" i="184"/>
  <c r="J68" i="184"/>
  <c r="I68" i="184"/>
  <c r="G14" i="184" s="1"/>
  <c r="H68" i="184"/>
  <c r="G68" i="184"/>
  <c r="N66" i="184"/>
  <c r="N64" i="184"/>
  <c r="N63" i="184"/>
  <c r="N60" i="184"/>
  <c r="K19" i="184"/>
  <c r="J19" i="184"/>
  <c r="I19" i="184"/>
  <c r="F19" i="184"/>
  <c r="L18" i="184"/>
  <c r="H18" i="184"/>
  <c r="L17" i="184"/>
  <c r="L16" i="184"/>
  <c r="G16" i="184"/>
  <c r="L15" i="184"/>
  <c r="G15" i="184"/>
  <c r="L14" i="184"/>
  <c r="L13" i="184"/>
  <c r="G13" i="184"/>
  <c r="H13" i="184" s="1"/>
  <c r="L12" i="184"/>
  <c r="G12" i="184"/>
  <c r="L22" i="185" l="1"/>
  <c r="L19" i="184"/>
  <c r="E68" i="184"/>
  <c r="N68" i="184"/>
  <c r="H17" i="184"/>
  <c r="H15" i="184"/>
  <c r="H14" i="184"/>
  <c r="E19" i="184"/>
  <c r="G19" i="184"/>
  <c r="H12" i="184"/>
  <c r="H19" i="184" l="1"/>
  <c r="L20" i="184" s="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E18" i="183"/>
  <c r="F18" i="183" s="1"/>
  <c r="F17" i="183"/>
  <c r="E17" i="183"/>
  <c r="D7887" i="106" l="1"/>
  <c r="D7886" i="106"/>
  <c r="B7887" i="106"/>
  <c r="B7886" i="106"/>
  <c r="F76" i="34"/>
  <c r="F75" i="34"/>
  <c r="C39" i="145" l="1"/>
  <c r="C33" i="145"/>
  <c r="K18" i="145" l="1"/>
  <c r="K17" i="145"/>
  <c r="K16" i="145"/>
  <c r="K15" i="145"/>
  <c r="K14" i="145"/>
  <c r="K13" i="145"/>
  <c r="K12" i="145"/>
  <c r="J19" i="145"/>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8" i="179" l="1"/>
  <c r="L27" i="179"/>
  <c r="L26" i="179"/>
  <c r="L25" i="179"/>
  <c r="L24" i="179"/>
  <c r="L23" i="179"/>
  <c r="L22" i="179"/>
  <c r="L21" i="179"/>
  <c r="L20" i="179"/>
  <c r="L18" i="179"/>
  <c r="L17"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2" i="179"/>
  <c r="B2" i="188"/>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68" i="34" l="1"/>
  <c r="F77" i="4"/>
  <c r="B3255" i="106" s="1"/>
  <c r="D3255" i="106" s="1"/>
  <c r="C129" i="29"/>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L16" i="11" l="1"/>
  <c r="B2061" i="106" s="1"/>
  <c r="D2061" i="106" s="1"/>
  <c r="B2031" i="106"/>
  <c r="D2031" i="106" s="1"/>
  <c r="N23" i="3"/>
  <c r="B284" i="106" s="1"/>
  <c r="D284" i="106" s="1"/>
  <c r="B5527" i="106"/>
  <c r="D5527" i="106" s="1"/>
  <c r="K77" i="4"/>
  <c r="B3587" i="106" s="1"/>
  <c r="D3587" i="106" s="1"/>
  <c r="E367" i="29"/>
  <c r="B3636" i="106" s="1"/>
  <c r="D3636" i="106" s="1"/>
  <c r="B3635" i="106"/>
  <c r="B1381" i="106"/>
  <c r="D1381" i="106" s="1"/>
  <c r="L114" i="29"/>
  <c r="F41" i="108"/>
  <c r="G43" i="108"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<sst xmlns="http://schemas.openxmlformats.org/spreadsheetml/2006/main" count="5494" uniqueCount="2220">
  <si>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</si>
  <si>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</si>
  <si>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</si>
  <si>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</si>
  <si>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</si>
  <si>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</si>
  <si>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</si>
  <si>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</si>
  <si>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</si>
  <si>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</si>
  <si>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</si>
  <si>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</si>
  <si>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</si>
  <si>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</si>
  <si>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</si>
  <si>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</si>
  <si>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</si>
  <si>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</si>
  <si>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</si>
  <si>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</si>
  <si>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</si>
  <si>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</si>
  <si>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</si>
  <si>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</si>
  <si>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</si>
  <si>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</si>
  <si>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</si>
  <si>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</si>
  <si>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</si>
  <si>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</si>
  <si>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</si>
  <si>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</si>
  <si>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</si>
  <si>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</si>
  <si>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</si>
  <si>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</si>
  <si>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</si>
  <si>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</si>
  <si>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</si>
  <si>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</si>
  <si>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</si>
  <si>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</si>
  <si>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</si>
  <si>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</si>
  <si>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</si>
  <si>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</si>
  <si>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</si>
  <si>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</si>
  <si>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</si>
  <si>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</si>
  <si>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</si>
  <si>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</si>
  <si>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</si>
  <si>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</si>
  <si>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</si>
  <si>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</si>
  <si>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</si>
  <si>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</si>
  <si>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</si>
  <si>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</si>
  <si>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</si>
  <si>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</si>
  <si>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</si>
  <si>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</si>
  <si>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</si>
  <si>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</si>
  <si>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</si>
  <si>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</si>
  <si>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</si>
  <si>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</si>
  <si>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</si>
  <si>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</si>
  <si>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</si>
  <si>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</si>
  <si>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</si>
  <si>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</si>
  <si>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</si>
  <si>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</si>
  <si>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</si>
  <si>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</si>
  <si>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</si>
  <si>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</si>
  <si>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</si>
  <si>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</si>
  <si>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</si>
  <si>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</si>
  <si>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</si>
  <si>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</si>
  <si>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</si>
  <si>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</si>
  <si>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</si>
  <si>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</si>
  <si>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</si>
  <si>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</si>
  <si>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</si>
  <si>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</si>
  <si>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</si>
  <si>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</si>
  <si>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</si>
  <si>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</si>
  <si>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</si>
  <si>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</si>
  <si>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</si>
  <si>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</si>
  <si>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</si>
  <si>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</si>
  <si>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</si>
  <si>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</si>
  <si>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</si>
  <si>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</si>
  <si>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</si>
  <si>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</si>
  <si>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</si>
  <si>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</si>
  <si>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</si>
  <si>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</si>
  <si>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</si>
  <si>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</si>
  <si>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</si>
  <si>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</si>
  <si>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</si>
  <si>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</si>
  <si>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</si>
  <si>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</si>
  <si>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</si>
  <si>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</si>
  <si>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</si>
  <si>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</si>
  <si>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</si>
  <si>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</si>
  <si>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</si>
  <si>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</si>
  <si>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</si>
  <si>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</si>
  <si>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</si>
  <si>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</si>
  <si>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</si>
  <si>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</si>
  <si>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</si>
  <si>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</si>
  <si>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</si>
  <si>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</si>
  <si>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</si>
  <si>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</si>
  <si>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</si>
  <si>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</si>
  <si>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</si>
  <si>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</si>
  <si>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</si>
  <si>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</si>
  <si>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</si>
  <si>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</si>
  <si>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</si>
  <si>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</si>
  <si>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</si>
  <si>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</si>
  <si>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</si>
  <si>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</si>
  <si>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</si>
  <si>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</si>
  <si>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</si>
  <si>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</si>
  <si>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</si>
  <si>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</si>
  <si>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</si>
  <si>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</si>
  <si>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</si>
  <si>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</si>
  <si>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</si>
  <si>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</si>
  <si>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</si>
  <si>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</si>
  <si>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</si>
  <si>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</si>
  <si>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</si>
  <si>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</si>
  <si>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</si>
  <si>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</si>
  <si>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</si>
  <si>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</si>
  <si>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</si>
  <si>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</si>
  <si>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</si>
  <si>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</si>
  <si>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</si>
  <si>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</si>
  <si>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</si>
  <si>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</si>
  <si>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</si>
  <si>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</si>
  <si>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</si>
  <si>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</si>
  <si>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</si>
  <si>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</si>
  <si>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</si>
  <si>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</si>
  <si>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</si>
  <si>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</si>
  <si>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</si>
  <si>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</si>
  <si>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</si>
  <si>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</si>
  <si>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</si>
  <si>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</si>
  <si>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</si>
  <si>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</si>
  <si>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</si>
  <si>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</si>
  <si>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</si>
  <si>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</si>
  <si>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</si>
  <si>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</si>
  <si>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</si>
  <si>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</si>
  <si>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</si>
  <si>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</si>
  <si>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</si>
  <si>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</si>
  <si>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</si>
  <si>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</si>
  <si>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</si>
  <si>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</si>
  <si>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</si>
  <si>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</si>
  <si>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</si>
  <si>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</si>
  <si>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</si>
  <si>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</si>
  <si>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</si>
  <si>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</si>
  <si>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</si>
  <si>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</si>
  <si>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</si>
  <si>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</si>
  <si>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</si>
  <si>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</si>
  <si>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</si>
  <si>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</si>
  <si>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</si>
  <si>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</si>
  <si>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</si>
  <si>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</si>
  <si>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</si>
  <si>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</si>
  <si>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</si>
  <si>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</si>
  <si>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</si>
  <si>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</si>
  <si>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</si>
  <si>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</si>
  <si>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</si>
  <si>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</si>
  <si>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</si>
  <si>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</si>
  <si>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</si>
  <si>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</si>
  <si>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</si>
  <si>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</si>
  <si>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</si>
  <si>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</si>
  <si>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</si>
  <si>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</si>
  <si>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</si>
  <si>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</si>
  <si>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</si>
  <si>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</si>
  <si>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</si>
  <si>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</si>
  <si>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</si>
  <si>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</si>
  <si>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</si>
  <si>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</si>
  <si>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</si>
  <si>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</si>
  <si>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</si>
  <si>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</si>
  <si>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</si>
  <si>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</si>
  <si>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</si>
  <si>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</si>
  <si>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</si>
  <si>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</si>
  <si>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</si>
  <si>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</si>
  <si>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</si>
  <si>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</si>
  <si>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</si>
  <si>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</si>
  <si>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</si>
  <si>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</si>
  <si>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</si>
  <si>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</si>
  <si>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</si>
  <si>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</si>
  <si>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</si>
  <si>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</si>
  <si>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</si>
  <si>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</si>
  <si>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</si>
  <si>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</si>
  <si>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</si>
  <si>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</si>
  <si>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</si>
  <si>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</si>
  <si>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</si>
  <si>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</si>
  <si>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</si>
  <si>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</si>
  <si>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</si>
  <si>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</si>
  <si>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</si>
  <si>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</si>
  <si>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</si>
  <si>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</si>
  <si>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</si>
  <si>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</si>
  <si>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</si>
  <si>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</si>
  <si>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</si>
  <si>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</si>
  <si>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</si>
  <si>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</si>
  <si>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</si>
  <si>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</si>
  <si>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</si>
  <si>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</si>
  <si>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</si>
  <si>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</si>
  <si>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</si>
  <si>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</si>
  <si>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</si>
  <si>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</si>
  <si>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</si>
  <si>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</si>
  <si>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</si>
  <si>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</si>
  <si>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</si>
  <si>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</si>
  <si>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</si>
  <si>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</si>
  <si>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</si>
  <si>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</si>
  <si>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</si>
  <si>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</si>
  <si>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</si>
  <si>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</si>
  <si>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</si>
  <si>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</si>
  <si>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</si>
  <si>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</si>
  <si>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</si>
  <si>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</si>
  <si>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</si>
  <si>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</si>
  <si>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</si>
  <si>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</si>
  <si>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</si>
  <si>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</si>
  <si>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</si>
  <si>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</si>
  <si>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</si>
  <si>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</si>
  <si>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</si>
  <si>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</si>
  <si>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</si>
  <si>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</si>
  <si>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</si>
  <si>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</si>
  <si>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</si>
  <si>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</si>
  <si>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</si>
  <si>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</si>
  <si>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</si>
  <si>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</si>
  <si>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</si>
  <si>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</si>
  <si>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</si>
  <si>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</si>
  <si>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</si>
  <si>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</si>
  <si>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</si>
  <si>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</si>
  <si>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</si>
  <si>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</si>
  <si>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</si>
  <si>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</si>
  <si>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</si>
  <si>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</si>
  <si>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</si>
  <si>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</si>
  <si>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</si>
  <si>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</si>
  <si>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</si>
  <si>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</si>
  <si>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</si>
  <si>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</si>
  <si>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</si>
  <si>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</si>
  <si>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</si>
  <si>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</si>
  <si>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</si>
  <si>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</si>
  <si>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</si>
  <si>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</si>
  <si>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</si>
  <si>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</si>
  <si>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</si>
  <si>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</si>
  <si>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</si>
  <si>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</si>
  <si>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</si>
  <si>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</si>
  <si>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</si>
  <si>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</si>
  <si>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</si>
  <si>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</si>
  <si>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</si>
  <si>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</si>
  <si>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</si>
  <si>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</si>
  <si>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</si>
  <si>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</si>
  <si>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</si>
  <si>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</si>
  <si>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</si>
  <si>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</si>
  <si>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</si>
  <si>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</si>
  <si>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</si>
  <si>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</si>
  <si>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</si>
  <si>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</si>
  <si>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</si>
  <si>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</si>
  <si>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</si>
  <si>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</si>
  <si>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</si>
  <si>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</si>
  <si>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</si>
  <si>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</si>
  <si>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</si>
  <si>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</si>
  <si>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</si>
  <si>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</si>
  <si>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</si>
  <si>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</si>
  <si>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</si>
  <si>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</si>
  <si>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</si>
  <si>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</si>
  <si>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</si>
  <si>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</si>
  <si>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</si>
  <si>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</si>
  <si>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</si>
  <si>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</si>
  <si>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</si>
  <si>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</si>
  <si>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</si>
  <si>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</si>
  <si>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</si>
  <si>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</si>
  <si>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</si>
  <si>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</si>
  <si>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</si>
  <si>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</si>
  <si>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</si>
  <si>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</si>
  <si>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</si>
  <si>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</si>
  <si>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</si>
  <si>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</si>
  <si>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</si>
  <si>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</si>
  <si>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</si>
  <si>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</si>
  <si>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</si>
  <si>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</si>
  <si>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</si>
  <si>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</si>
  <si>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</si>
  <si>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</si>
  <si>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</si>
  <si>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</si>
  <si>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</si>
  <si>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</si>
  <si>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</si>
  <si>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</si>
  <si>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</si>
  <si>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</si>
  <si>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</si>
  <si>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</si>
  <si>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</si>
  <si>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</si>
  <si>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</si>
  <si>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</si>
  <si>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</si>
  <si>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</si>
  <si>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</si>
  <si>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</si>
  <si>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</si>
  <si>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</si>
  <si>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</si>
  <si>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</si>
  <si>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</si>
  <si>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</si>
  <si>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</si>
  <si>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</si>
  <si>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</si>
  <si>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</si>
  <si>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</si>
  <si>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</si>
  <si>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</si>
  <si>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</si>
  <si>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</si>
  <si>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</si>
  <si>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</si>
  <si>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</si>
  <si>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</si>
  <si>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</si>
  <si>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</si>
  <si>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</si>
  <si>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</si>
  <si>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</si>
  <si>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</si>
  <si>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</si>
  <si>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</si>
  <si>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</si>
  <si>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</si>
  <si>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</si>
  <si>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</si>
  <si>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</si>
  <si>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</si>
  <si>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</si>
  <si>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</si>
  <si>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</si>
  <si>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</si>
  <si>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</si>
  <si>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</si>
  <si>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</si>
  <si>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</si>
  <si>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</si>
  <si>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</si>
  <si>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</si>
  <si>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</si>
  <si>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</si>
  <si>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</si>
  <si>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</si>
  <si>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</si>
  <si>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</si>
  <si>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</si>
  <si>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</si>
  <si>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</si>
  <si>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</si>
  <si>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</si>
  <si>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</si>
  <si>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</si>
  <si>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</si>
  <si>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</si>
  <si>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</si>
  <si>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</si>
  <si>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</si>
  <si>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</si>
  <si>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</si>
  <si>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</si>
  <si>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</si>
  <si>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</si>
  <si>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</si>
  <si>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</si>
  <si>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</si>
  <si>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</si>
  <si>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</si>
  <si>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</si>
  <si>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</si>
  <si>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</si>
  <si>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</si>
  <si>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</si>
  <si>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</si>
  <si>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</si>
  <si>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</si>
  <si>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</si>
  <si>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</si>
  <si>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</si>
  <si>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</si>
  <si>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</si>
  <si>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</si>
  <si>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</si>
  <si>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</si>
  <si>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</si>
  <si>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</si>
  <si>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</si>
  <si>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</si>
  <si>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</si>
  <si>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</si>
  <si>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</si>
  <si>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</si>
  <si>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</si>
  <si>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</si>
  <si>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</si>
  <si>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</si>
  <si>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</si>
  <si>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</si>
  <si>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</si>
  <si>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</si>
  <si>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</si>
  <si>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</si>
  <si>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</si>
  <si>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</si>
  <si>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</si>
  <si>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</si>
  <si>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</si>
  <si>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</si>
  <si>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</si>
  <si>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</si>
  <si>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</si>
  <si>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</si>
  <si>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</si>
  <si>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</si>
  <si>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</si>
  <si>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</si>
  <si>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</si>
  <si>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</si>
  <si>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</si>
  <si>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</si>
  <si>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</si>
  <si>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</si>
  <si>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</si>
  <si>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</si>
  <si>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</si>
  <si>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</si>
  <si>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</si>
  <si>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</si>
  <si>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</si>
  <si>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</si>
  <si>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</si>
  <si>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</si>
  <si>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</si>
  <si>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</si>
  <si>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</si>
  <si>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</si>
  <si>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</si>
  <si>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</si>
  <si>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</si>
  <si>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</si>
  <si>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</si>
  <si>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</si>
  <si>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</si>
  <si>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</si>
  <si>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</si>
  <si>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</si>
  <si>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</si>
  <si>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</si>
  <si>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</si>
  <si>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</si>
  <si>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</si>
  <si>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</si>
  <si>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</si>
  <si>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</si>
  <si>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</si>
  <si>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</si>
  <si>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</si>
  <si>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</si>
  <si>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</si>
  <si>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</si>
  <si>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</si>
  <si>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</si>
  <si>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</si>
  <si>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</si>
  <si>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</si>
  <si>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</si>
  <si>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</si>
  <si>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</si>
  <si>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</si>
  <si>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</si>
  <si>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</si>
  <si>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</si>
  <si>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</si>
  <si>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</si>
  <si>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</si>
  <si>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</si>
  <si>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</si>
  <si>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</si>
  <si>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</si>
  <si>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</si>
  <si>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</si>
  <si>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</si>
  <si>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</si>
  <si>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</si>
  <si>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</si>
  <si>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</si>
  <si>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</si>
  <si>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</si>
  <si>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</si>
  <si>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</si>
  <si>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</si>
  <si>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</si>
  <si>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</si>
  <si>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</si>
  <si>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</si>
  <si>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</si>
  <si>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</si>
  <si>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</si>
  <si>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</si>
  <si>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</si>
  <si>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</si>
  <si>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</si>
  <si>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</si>
  <si>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</si>
  <si>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</si>
  <si>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</si>
  <si>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</si>
  <si>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</si>
  <si>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</si>
  <si>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</si>
  <si>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</si>
  <si>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</si>
  <si>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</si>
  <si>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</si>
  <si>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</si>
  <si>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</si>
  <si>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</si>
  <si>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</si>
  <si>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</si>
  <si>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</si>
  <si>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</si>
  <si>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</si>
  <si>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</si>
  <si>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</si>
  <si>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</si>
  <si>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</si>
  <si>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</si>
  <si>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</si>
  <si>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</si>
  <si>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</si>
  <si>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</si>
  <si>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</si>
  <si>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</si>
  <si>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</si>
  <si>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</si>
  <si>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</si>
  <si>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</si>
  <si>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</si>
  <si>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</si>
  <si>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</si>
  <si>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</si>
  <si>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</si>
  <si>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</si>
  <si>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</si>
  <si>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</si>
  <si>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</si>
  <si>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</si>
  <si>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</si>
  <si>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</si>
  <si>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</si>
  <si>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</si>
  <si>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</si>
  <si>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</si>
  <si>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</si>
  <si>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</si>
  <si>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</si>
  <si>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</si>
  <si>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</si>
  <si>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</si>
  <si>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</si>
  <si>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</si>
  <si>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</si>
  <si>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</si>
  <si>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</si>
  <si>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</si>
  <si>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</si>
  <si>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</si>
  <si>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</si>
  <si>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</si>
  <si>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</si>
  <si>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</si>
  <si>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</si>
  <si>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</si>
  <si>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</si>
  <si>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</si>
  <si>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</si>
  <si>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</si>
  <si>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</si>
  <si>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</si>
  <si>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</si>
  <si>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</si>
  <si>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</si>
  <si>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</si>
  <si>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</si>
  <si>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</si>
  <si>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</si>
  <si>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</si>
  <si>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</si>
  <si>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</si>
  <si>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</si>
  <si>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</si>
  <si>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</si>
  <si>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</si>
  <si>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</si>
  <si>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</si>
  <si>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</si>
  <si>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</si>
  <si>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</si>
  <si>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</si>
  <si>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</si>
  <si>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</si>
  <si>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</si>
  <si>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</si>
  <si>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</si>
  <si>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</si>
  <si>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</si>
  <si>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</si>
  <si>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</si>
  <si>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</si>
  <si>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</si>
  <si>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</si>
  <si>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</si>
  <si>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</si>
  <si>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</si>
  <si>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</si>
  <si>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</si>
  <si>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</si>
  <si>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</si>
  <si>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</si>
  <si>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</si>
  <si>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</si>
  <si>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</si>
  <si>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</si>
  <si>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</si>
  <si>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</si>
  <si>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</si>
  <si>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</si>
  <si>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</si>
  <si>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</si>
  <si>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</si>
  <si>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</si>
  <si>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</si>
  <si>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</si>
  <si>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</si>
  <si>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</si>
  <si>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</si>
  <si>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</si>
  <si>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</si>
  <si>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</si>
  <si>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</si>
  <si>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</si>
  <si>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</si>
  <si>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</si>
  <si>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</si>
  <si>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</si>
  <si>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</si>
  <si>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</si>
  <si>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</si>
  <si>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</si>
  <si>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</si>
  <si>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</si>
  <si>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</si>
  <si>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</si>
  <si>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</si>
  <si>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</si>
  <si>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</si>
  <si>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</si>
  <si>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</si>
  <si>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</si>
  <si>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</si>
  <si>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</si>
  <si>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</si>
  <si>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</si>
  <si>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</si>
  <si>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</si>
  <si>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</si>
  <si>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</si>
  <si>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</si>
  <si>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</si>
  <si>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</si>
  <si>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</si>
  <si>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</si>
  <si>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</si>
  <si>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</si>
  <si>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</si>
  <si>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</si>
  <si>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</si>
  <si>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</si>
  <si>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</si>
  <si>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</si>
  <si>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</si>
  <si>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</si>
  <si>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</si>
  <si>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</si>
  <si>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</si>
  <si>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</si>
  <si>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</si>
  <si>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</si>
  <si>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</si>
  <si>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</si>
  <si>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</si>
  <si>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</si>
  <si>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</si>
  <si>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</si>
  <si>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</si>
  <si>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</si>
  <si>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</si>
  <si>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</si>
  <si>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</si>
  <si>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</si>
  <si>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</si>
  <si>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</si>
  <si>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</si>
  <si>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</si>
  <si>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</si>
  <si>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</si>
  <si>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</si>
  <si>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</si>
  <si>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</si>
  <si>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</si>
  <si>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</si>
  <si>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</si>
  <si>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</si>
  <si>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</si>
  <si>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</si>
  <si>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</si>
  <si>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</si>
  <si>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</si>
  <si>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</si>
  <si>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</si>
  <si>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</si>
  <si>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</si>
  <si>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</si>
  <si>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</si>
  <si>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</si>
  <si>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</si>
  <si>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</si>
  <si>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</si>
  <si>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</si>
  <si>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</si>
  <si>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</si>
  <si>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</si>
  <si>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</si>
  <si>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</si>
  <si>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</si>
  <si>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</si>
  <si>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</si>
  <si>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</si>
  <si>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</si>
  <si>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</si>
  <si>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</si>
  <si>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</si>
  <si>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</si>
  <si>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</si>
  <si>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</si>
  <si>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</si>
  <si>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</si>
  <si>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</si>
  <si>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</si>
  <si>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</si>
  <si>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</si>
  <si>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</si>
  <si>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</si>
  <si>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</si>
  <si>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</si>
  <si>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</si>
  <si>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</si>
  <si>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</si>
  <si>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</si>
  <si>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</si>
  <si>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</si>
  <si>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</si>
  <si>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</si>
  <si>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</si>
  <si>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</si>
  <si>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</si>
  <si>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</si>
  <si>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</si>
  <si>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</si>
  <si>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</si>
  <si>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</si>
  <si>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</si>
  <si>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</si>
  <si>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</si>
  <si>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</si>
  <si>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</si>
  <si>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</si>
  <si>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</si>
  <si>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</si>
  <si>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</si>
  <si>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</si>
  <si>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</si>
  <si>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</si>
  <si>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</si>
  <si>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</si>
  <si>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</si>
  <si>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</si>
  <si>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</si>
  <si>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</si>
  <si>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</si>
  <si>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</si>
  <si>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</si>
  <si>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</si>
  <si>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</si>
  <si>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</si>
  <si>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</si>
  <si>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</si>
  <si>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</si>
  <si>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</si>
  <si>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</si>
  <si>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</si>
  <si>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</si>
  <si>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</si>
  <si>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</si>
  <si>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</si>
  <si>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</si>
  <si>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</si>
  <si>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</si>
  <si>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</si>
  <si>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</si>
  <si>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</si>
  <si>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</si>
  <si>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</si>
  <si>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</si>
  <si>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</si>
  <si>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</si>
  <si>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</si>
  <si>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</si>
  <si>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</si>
  <si>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</si>
  <si>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</si>
  <si>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</si>
  <si>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</si>
  <si>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</si>
  <si>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</si>
  <si>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</si>
  <si>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</si>
  <si>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</si>
  <si>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</si>
  <si>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</si>
  <si>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</si>
  <si>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</si>
  <si>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</si>
  <si>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</si>
  <si>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</si>
  <si>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</si>
  <si>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</si>
  <si>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</si>
  <si>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</si>
  <si>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</si>
  <si>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</si>
  <si>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</si>
  <si>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</si>
  <si>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</si>
  <si>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</si>
  <si>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</si>
  <si>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</si>
  <si>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</si>
  <si>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</si>
  <si>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</si>
  <si>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</si>
  <si>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</si>
  <si>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</si>
  <si>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</si>
  <si>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</si>
  <si>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</si>
  <si>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</si>
  <si>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</si>
  <si>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</si>
  <si>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</si>
  <si>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</si>
  <si>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</si>
  <si>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</si>
  <si>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</si>
  <si>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</si>
  <si>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</si>
  <si>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</si>
  <si>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</si>
  <si>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</si>
  <si>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</si>
  <si>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</si>
  <si>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</si>
  <si>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</si>
  <si>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</si>
  <si>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</si>
  <si>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</si>
  <si>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</si>
  <si>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</si>
  <si>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</si>
  <si>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</si>
  <si>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</si>
  <si>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</si>
  <si>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</si>
  <si>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</si>
  <si>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</si>
  <si>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</si>
  <si>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</si>
  <si>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</si>
  <si>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</si>
  <si>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</si>
  <si>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</si>
  <si>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</si>
  <si>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</si>
  <si>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</si>
  <si>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</si>
  <si>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</si>
  <si>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</si>
  <si>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</si>
  <si>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</si>
  <si>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</si>
  <si>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</si>
  <si>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</si>
  <si>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</si>
  <si>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</si>
  <si>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</si>
  <si>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</si>
  <si>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</si>
  <si>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</si>
  <si>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</si>
  <si>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</si>
  <si>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</si>
  <si>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</si>
  <si>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</si>
  <si>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</si>
  <si>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</si>
  <si>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</si>
  <si>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</si>
  <si>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</si>
  <si>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</si>
  <si>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</si>
  <si>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</si>
  <si>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</si>
  <si>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</si>
  <si>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</si>
  <si>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</si>
  <si>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</si>
  <si>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</si>
  <si>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</si>
  <si>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</si>
  <si>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</si>
  <si>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</si>
  <si>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</si>
  <si>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</si>
  <si>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</si>
  <si>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</si>
  <si>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</si>
  <si>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</si>
  <si>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</si>
  <si>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</si>
  <si>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</si>
  <si>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</si>
  <si>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</si>
  <si>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</si>
  <si>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</si>
  <si>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</si>
  <si>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</si>
  <si>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</si>
  <si>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</si>
  <si>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</si>
  <si>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</si>
  <si>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</si>
  <si>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</si>
  <si>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</si>
  <si>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</si>
  <si>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</si>
  <si>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</si>
  <si>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</si>
  <si>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</si>
  <si>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</si>
  <si>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</si>
  <si>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</si>
  <si>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</si>
  <si>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</si>
  <si>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</si>
  <si>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</si>
  <si>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</si>
  <si>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</si>
  <si>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</si>
  <si>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</si>
  <si>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</si>
  <si>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</si>
  <si>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</si>
  <si>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</si>
  <si>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</si>
  <si>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</si>
  <si>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</si>
  <si>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</si>
  <si>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</si>
  <si>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</si>
  <si>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</si>
  <si>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</si>
  <si>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</si>
  <si>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</si>
  <si>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</si>
  <si>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</si>
  <si>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</si>
  <si>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</si>
  <si>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</si>
  <si>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</si>
  <si>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</si>
  <si>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</si>
  <si>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</si>
  <si>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</si>
  <si>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</si>
  <si>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</si>
  <si>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</si>
  <si>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</si>
  <si>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</si>
  <si>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</si>
  <si>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</si>
  <si>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</si>
  <si>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</si>
  <si>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</si>
  <si>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</si>
  <si>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</si>
  <si>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</si>
  <si>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</si>
  <si>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</si>
  <si>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</si>
  <si>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</si>
  <si>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</si>
  <si>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</si>
  <si>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</si>
  <si>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</si>
  <si>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</si>
  <si>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</si>
  <si>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</si>
  <si>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</si>
  <si>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</si>
  <si>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</si>
  <si>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</si>
  <si>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</si>
  <si>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</si>
  <si>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</si>
  <si>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</si>
  <si>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</si>
  <si>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</si>
  <si>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</si>
  <si>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</si>
  <si>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</si>
  <si>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</si>
  <si>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</si>
  <si>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</si>
  <si>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</si>
  <si>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</si>
  <si>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</si>
  <si>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</si>
  <si>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</si>
  <si>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</si>
  <si>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</si>
  <si>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</si>
  <si>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</si>
  <si>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</si>
  <si>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</si>
  <si>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</si>
  <si>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</si>
  <si>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</si>
  <si>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</si>
  <si>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</si>
  <si>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</si>
  <si>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</si>
  <si>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</si>
  <si>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</si>
  <si>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</si>
  <si>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</si>
  <si>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</si>
  <si>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</si>
  <si>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</si>
  <si>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</si>
  <si>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</si>
  <si>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</si>
  <si>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</si>
  <si>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</si>
  <si>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</si>
  <si>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</si>
  <si>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</si>
  <si>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</si>
  <si>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</si>
  <si>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</si>
  <si>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</si>
  <si>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</si>
  <si>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</si>
  <si>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</si>
  <si>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</si>
  <si>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</si>
  <si>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</si>
  <si>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</si>
  <si>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</si>
  <si>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</si>
  <si>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</si>
  <si>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</si>
  <si>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</si>
  <si>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</si>
  <si>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</si>
  <si>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</si>
  <si>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</si>
  <si>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</si>
  <si>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</si>
  <si>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</si>
  <si>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</si>
  <si>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</si>
  <si>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</si>
  <si>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</si>
  <si>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</si>
  <si>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</si>
  <si>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</si>
  <si>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</si>
  <si>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</si>
  <si>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</si>
  <si>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</si>
  <si>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</si>
  <si>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</si>
  <si>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</si>
  <si>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</si>
  <si>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</si>
  <si>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</si>
  <si>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</si>
  <si>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</si>
  <si>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</si>
  <si>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</si>
  <si>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</si>
  <si>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</si>
  <si>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</si>
  <si>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</si>
  <si>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</si>
  <si>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</si>
  <si>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</si>
  <si>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</si>
  <si>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</si>
  <si>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</si>
  <si>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</si>
  <si>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</si>
  <si>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</si>
  <si>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</si>
  <si>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</si>
  <si>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</si>
  <si>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</si>
  <si>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</si>
  <si>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</si>
  <si>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</si>
  <si>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</si>
  <si>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</si>
  <si>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</si>
  <si>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</si>
  <si>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</si>
  <si>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</si>
  <si>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</si>
  <si>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</si>
  <si>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</si>
  <si>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</si>
  <si>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</si>
  <si>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</si>
  <si>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</si>
  <si>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</si>
  <si>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</si>
  <si>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</si>
  <si>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</si>
  <si>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</si>
  <si>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</si>
  <si>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</si>
  <si>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</si>
  <si>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</si>
  <si>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</si>
  <si>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</si>
  <si>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</si>
  <si>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</si>
  <si>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</si>
  <si>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</si>
  <si>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</si>
  <si>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</si>
  <si>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</si>
  <si>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</si>
  <si>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</si>
  <si>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</si>
  <si>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</si>
  <si>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</si>
  <si>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</si>
  <si>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</si>
  <si>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</si>
  <si>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</si>
  <si>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</si>
  <si>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</si>
  <si>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</si>
  <si>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</si>
  <si>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</si>
  <si>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</si>
  <si>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</si>
  <si>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</si>
  <si>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</si>
  <si>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</si>
  <si>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</si>
  <si>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</si>
  <si>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</si>
  <si>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</si>
  <si>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</si>
  <si>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</si>
  <si>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</si>
  <si>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</si>
  <si>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</si>
  <si>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</si>
  <si>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</si>
  <si>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</si>
  <si>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</si>
  <si>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</si>
  <si>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</si>
  <si>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</si>
  <si>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</si>
  <si>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</si>
  <si>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</si>
  <si>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</si>
  <si>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</si>
  <si>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</si>
  <si>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</si>
  <si>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</si>
  <si>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</si>
  <si>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</si>
  <si>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</si>
  <si>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</si>
  <si>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</si>
  <si>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</si>
  <si>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</si>
  <si>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</si>
  <si>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</si>
  <si>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</si>
  <si>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</si>
  <si>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</si>
  <si>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</si>
  <si>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</si>
  <si>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</si>
  <si>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</si>
  <si>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</si>
  <si>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</si>
  <si>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</si>
  <si>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</si>
  <si>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</si>
  <si>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</si>
  <si>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</si>
  <si>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</si>
  <si>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</si>
  <si>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</si>
  <si>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</si>
  <si>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</si>
  <si>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</si>
  <si>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</si>
  <si>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</si>
  <si>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</si>
  <si>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</si>
  <si>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</si>
  <si>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</si>
  <si>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</si>
  <si>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</si>
  <si>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</si>
  <si>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</si>
  <si>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</si>
  <si>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</si>
  <si>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</si>
  <si>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</si>
  <si>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</si>
  <si>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</si>
  <si>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</si>
  <si>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</si>
  <si>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</si>
  <si>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</si>
  <si>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</si>
  <si>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</si>
  <si>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</si>
  <si>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</si>
  <si>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</si>
  <si>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</si>
  <si>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</si>
  <si>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</si>
  <si>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</si>
  <si>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</si>
  <si>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</si>
  <si>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</si>
  <si>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</si>
  <si>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</si>
  <si>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</si>
  <si>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</si>
  <si>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</si>
  <si>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</si>
  <si>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</si>
  <si>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</si>
  <si>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</si>
  <si>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</si>
  <si>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</si>
  <si>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</si>
  <si>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</si>
  <si>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</si>
  <si>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</si>
  <si>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</si>
  <si>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</si>
  <si>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</si>
  <si>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</si>
  <si>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</si>
  <si>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</si>
  <si>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</si>
  <si>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</si>
  <si>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</si>
  <si>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</si>
  <si>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</si>
  <si>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</si>
  <si>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</si>
  <si>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</si>
  <si>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</si>
  <si>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</si>
  <si>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</si>
  <si>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</si>
  <si>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</si>
  <si>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</si>
  <si>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</si>
  <si>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</si>
  <si>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</si>
  <si>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</si>
  <si>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</si>
  <si>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</si>
  <si>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</si>
  <si>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</si>
  <si>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</si>
  <si>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</si>
  <si>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</si>
  <si>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</si>
  <si>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</si>
  <si>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</si>
  <si>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</si>
  <si>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</si>
  <si>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</si>
  <si>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</si>
  <si>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</si>
  <si>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</si>
  <si>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</si>
  <si>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</si>
  <si>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</si>
  <si>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</si>
  <si>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</si>
  <si>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</si>
  <si>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</si>
  <si>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</si>
  <si>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</si>
  <si>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</si>
  <si>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</si>
  <si>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</si>
  <si>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</si>
  <si>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</si>
  <si>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</si>
  <si>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</si>
  <si>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</si>
  <si>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</si>
  <si>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</si>
  <si>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</si>
  <si>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</si>
  <si>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</si>
  <si>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</si>
  <si>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</si>
  <si>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</si>
  <si>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</si>
  <si>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</si>
  <si>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</si>
  <si>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</si>
  <si>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</si>
  <si>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</si>
  <si>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</si>
  <si>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</si>
  <si>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</si>
  <si>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</si>
  <si>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</si>
  <si>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</si>
  <si>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</si>
  <si>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</si>
  <si>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</si>
  <si>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</si>
  <si>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</si>
  <si>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</si>
  <si>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</si>
  <si>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</si>
  <si>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</si>
  <si>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</si>
  <si>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</si>
  <si>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</si>
  <si>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</si>
  <si>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</si>
  <si>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</si>
  <si>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</si>
  <si>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</si>
  <si>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</si>
  <si>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</si>
  <si>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</si>
  <si>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</si>
  <si>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</si>
  <si>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</si>
  <si>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</si>
  <si>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</si>
  <si>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</si>
  <si>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</si>
  <si>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</si>
  <si>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</si>
  <si>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</si>
  <si>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</si>
  <si>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</si>
  <si>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</si>
  <si>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</si>
  <si>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</si>
  <si>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</si>
  <si>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</si>
  <si>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</si>
  <si>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</si>
  <si>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</si>
  <si>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</si>
  <si>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</si>
  <si>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</si>
  <si>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</si>
  <si>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</si>
  <si>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</si>
  <si>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</si>
  <si>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</si>
  <si>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</si>
  <si>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</si>
  <si>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</si>
  <si>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</si>
  <si>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</si>
  <si>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</si>
  <si>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</si>
  <si>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</si>
  <si>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</si>
  <si>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</si>
  <si>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</si>
  <si>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</si>
  <si>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</si>
  <si>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</si>
  <si>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</si>
  <si>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</si>
  <si>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</si>
  <si>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</si>
  <si>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</si>
  <si>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</si>
  <si>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</si>
  <si>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</si>
  <si>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</si>
  <si>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</si>
  <si>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</si>
  <si>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</si>
  <si>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</si>
  <si>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</si>
  <si>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</si>
  <si>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</si>
  <si>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</si>
  <si>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</si>
  <si>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</si>
  <si>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</si>
  <si>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</si>
  <si>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</si>
  <si>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</si>
  <si>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</si>
  <si>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</si>
  <si>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</si>
  <si>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</si>
  <si>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</si>
  <si>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</si>
  <si>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</si>
  <si>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</si>
  <si>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</si>
  <si>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</si>
  <si>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</si>
  <si>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</si>
  <si>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</si>
  <si>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</si>
  <si>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</si>
  <si>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</si>
  <si>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</si>
  <si>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</si>
  <si>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</si>
  <si>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</si>
  <si>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</si>
  <si>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</si>
  <si>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</si>
  <si>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</si>
  <si>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</si>
  <si>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</si>
  <si>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</si>
  <si>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</si>
  <si>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</si>
  <si>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</si>
  <si>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</si>
  <si>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</si>
  <si>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</si>
  <si>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</si>
  <si>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</si>
  <si>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</si>
  <si>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</si>
  <si>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</si>
  <si>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</si>
  <si>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</si>
  <si>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</si>
  <si>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</si>
  <si>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</si>
  <si>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</si>
  <si>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</si>
  <si>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</si>
  <si>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</si>
  <si>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</si>
  <si>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</si>
  <si>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</si>
  <si>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</si>
  <si>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</si>
  <si>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</si>
  <si>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</si>
  <si>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</si>
  <si>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</si>
  <si>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</si>
  <si>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</si>
  <si>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</si>
  <si>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</si>
  <si>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</si>
  <si>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</si>
  <si>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</si>
  <si>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</si>
  <si>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</si>
  <si>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</si>
  <si>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</si>
  <si>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</si>
  <si>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</si>
  <si>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</si>
  <si>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</si>
  <si>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</si>
  <si>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</si>
  <si>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</si>
  <si>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</si>
  <si>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</si>
  <si>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</si>
  <si>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</si>
  <si>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</si>
  <si>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</si>
  <si>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</si>
  <si>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</si>
  <si>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</si>
  <si>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</si>
  <si>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</si>
  <si>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</si>
  <si>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</si>
  <si>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</si>
  <si>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</si>
  <si>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</si>
  <si>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</si>
  <si>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</si>
  <si>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</si>
  <si>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</si>
  <si>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</si>
  <si>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</si>
  <si>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</si>
  <si>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</si>
  <si>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</si>
  <si>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</si>
  <si>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</si>
  <si>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</si>
  <si>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</si>
  <si>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</si>
  <si>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</si>
  <si>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</si>
  <si>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</si>
  <si>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</si>
  <si>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</si>
  <si>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</si>
  <si>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</si>
  <si>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</si>
  <si>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</si>
  <si>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</si>
  <si>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</si>
  <si>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</si>
  <si>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</si>
  <si>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</si>
  <si>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</si>
  <si>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</si>
  <si>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</si>
  <si>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</si>
  <si>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</si>
  <si>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</si>
  <si>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</si>
  <si>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</si>
  <si>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</si>
  <si>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</si>
  <si>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</si>
  <si>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</si>
  <si>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</si>
  <si>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</si>
  <si>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</si>
  <si>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</si>
  <si>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</si>
  <si>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</si>
  <si>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</si>
  <si>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</si>
  <si>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</si>
  <si>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</si>
  <si>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</si>
  <si>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</si>
  <si>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</si>
  <si>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</si>
  <si>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</si>
  <si>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</si>
  <si>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</si>
  <si>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</si>
  <si>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</si>
  <si>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</si>
  <si>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</si>
  <si>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</si>
  <si>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</si>
  <si>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</si>
  <si>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</si>
  <si>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</si>
  <si>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</si>
  <si>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</si>
  <si>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</si>
  <si>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</si>
  <si>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</si>
  <si>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</si>
  <si>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</si>
  <si>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</si>
  <si>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</si>
  <si>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</si>
  <si>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</si>
  <si>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</si>
  <si>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</si>
  <si>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</si>
  <si>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</si>
  <si>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</si>
  <si>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</si>
  <si>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</si>
  <si>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</si>
  <si>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</si>
  <si>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</si>
  <si>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</si>
  <si>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</si>
  <si>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</si>
  <si>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</si>
  <si>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</si>
  <si>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</si>
  <si>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</si>
  <si>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</si>
  <si>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</si>
  <si>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</si>
  <si>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</si>
  <si>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</si>
  <si>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</si>
  <si>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</si>
  <si>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</si>
  <si>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</si>
  <si>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</si>
  <si>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</si>
  <si>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</si>
  <si>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</si>
  <si>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</si>
  <si>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</si>
  <si>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</si>
  <si>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</si>
  <si>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</si>
  <si>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</si>
  <si>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</si>
  <si>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</si>
  <si>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</si>
  <si>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</si>
  <si>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</si>
  <si>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</si>
  <si>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</si>
  <si>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</si>
  <si>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</si>
  <si>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</si>
  <si>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</si>
  <si>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</si>
  <si>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</si>
  <si>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</si>
  <si>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</si>
  <si>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</si>
  <si>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</si>
  <si>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</si>
  <si>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</si>
  <si>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</si>
  <si>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</si>
  <si>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</si>
  <si>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</si>
  <si>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</si>
  <si>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</si>
  <si>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</si>
  <si>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</si>
  <si>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</si>
  <si>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</si>
  <si>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</si>
  <si>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</si>
  <si>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</si>
  <si>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</si>
  <si>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</si>
  <si>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</si>
  <si>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</si>
  <si>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</si>
  <si>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</si>
  <si>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</si>
  <si>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</si>
  <si>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</si>
  <si>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</si>
  <si>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</si>
  <si>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</si>
  <si>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</si>
  <si>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</si>
  <si>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</si>
  <si>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</si>
  <si>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</si>
  <si>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</si>
  <si>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</si>
  <si>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</si>
  <si>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</si>
  <si>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</si>
  <si>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</si>
  <si>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</si>
  <si>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</si>
  <si>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</si>
  <si>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</si>
  <si>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</si>
  <si>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</si>
  <si>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</si>
  <si>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</si>
  <si>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</si>
  <si>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</si>
  <si>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</si>
  <si>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</si>
  <si>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</si>
  <si>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</si>
  <si>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</si>
  <si>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</si>
  <si>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</si>
  <si>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</si>
  <si>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</si>
  <si>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</si>
  <si>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</si>
  <si>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</si>
  <si>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</si>
  <si>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</si>
  <si>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</si>
  <si>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</si>
  <si>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</si>
  <si>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</si>
  <si>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</si>
  <si>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</si>
  <si>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</si>
  <si>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</si>
  <si>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</si>
  <si>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</si>
  <si>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</si>
  <si>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</si>
  <si>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</si>
  <si>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</si>
  <si>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</si>
  <si>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</si>
  <si>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</si>
  <si>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</si>
  <si>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</si>
  <si>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</si>
  <si>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</si>
  <si>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</si>
  <si>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</si>
  <si>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</si>
  <si>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</si>
  <si>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</si>
  <si>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</si>
  <si>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</si>
  <si>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</si>
  <si>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</si>
  <si>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</si>
  <si>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</si>
  <si>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</si>
  <si>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</si>
  <si>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</si>
  <si>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</si>
  <si>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</si>
  <si>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</si>
  <si>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</si>
  <si>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</si>
  <si>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</si>
  <si>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</si>
  <si>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</si>
  <si>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</si>
  <si>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</si>
  <si>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</si>
  <si>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</si>
  <si>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</si>
  <si>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</si>
  <si>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</si>
  <si>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</si>
  <si>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</si>
  <si>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</si>
  <si>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</si>
  <si>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</si>
  <si>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</si>
  <si>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</si>
  <si>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</si>
  <si>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</si>
  <si>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</si>
  <si>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</si>
  <si>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</si>
  <si>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</si>
  <si>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</si>
  <si>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</si>
  <si>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</si>
  <si>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</si>
  <si>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</si>
  <si>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</si>
  <si>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</si>
  <si>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</si>
  <si>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</si>
  <si>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</si>
  <si>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</si>
  <si>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</si>
  <si>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</si>
  <si>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</si>
  <si>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</si>
  <si>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</si>
  <si>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</si>
  <si>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</si>
  <si>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</si>
  <si>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</si>
  <si>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</si>
  <si>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</si>
  <si>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</si>
  <si>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</si>
  <si>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</si>
  <si>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</si>
  <si>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</si>
  <si>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Mack &amp; Associates, P.C.</t>
  </si>
  <si>
    <t>Tawnya Mack, CPA</t>
  </si>
  <si>
    <t>116 E Washington St., Suite 1</t>
  </si>
  <si>
    <t>Morris</t>
  </si>
  <si>
    <t>IL</t>
  </si>
  <si>
    <t>815-942-3306</t>
  </si>
  <si>
    <t>815-942-9430</t>
  </si>
  <si>
    <t>tmack@mackcpas.com</t>
  </si>
  <si>
    <t>DeKalb / LaSalle / Kendall</t>
  </si>
  <si>
    <t>720 Wells Street</t>
  </si>
  <si>
    <t>Sandwich</t>
  </si>
  <si>
    <t>rschmitt@sandwich430.org</t>
  </si>
  <si>
    <t>x</t>
  </si>
  <si>
    <t>Rick Schmitt</t>
  </si>
  <si>
    <t>815-786-2187</t>
  </si>
  <si>
    <t>815-786-6229</t>
  </si>
  <si>
    <t>See PDF in Opinion Page with signature</t>
  </si>
  <si>
    <t>G.O. Limited Tax Capital Appreciation Series 2005</t>
  </si>
  <si>
    <t>G.O. Bonds, Series 2016</t>
  </si>
  <si>
    <t>Central States Bus Sales</t>
  </si>
  <si>
    <t>ISBE Technology Loan - 2019</t>
  </si>
  <si>
    <t>G.O. Bonds, Series 2018</t>
  </si>
  <si>
    <t>American Capital Bus Lease</t>
  </si>
  <si>
    <t>ISBE Tech Loan</t>
  </si>
  <si>
    <t>Capital Lease</t>
  </si>
  <si>
    <t>X</t>
  </si>
  <si>
    <t>Constellation New Energy</t>
  </si>
  <si>
    <t>Arbor Management, Inc.</t>
  </si>
  <si>
    <t>DeKalb County ROE, IASA</t>
  </si>
  <si>
    <t>Kids - Rockford/ROE - DeKalb</t>
  </si>
  <si>
    <t>Indian Creek, Hinkley Big-Rock</t>
  </si>
  <si>
    <t>Indian Valley Vocational Center</t>
  </si>
  <si>
    <t>Somonauk School District; Kendall Co. Outdoor Education</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</si>
  <si>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</si>
  <si>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</si>
  <si>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</si>
  <si>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</si>
  <si>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</si>
  <si>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</si>
  <si>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</si>
  <si>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</si>
  <si>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</si>
  <si>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</si>
  <si>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</si>
  <si>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</si>
  <si>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</si>
  <si>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</si>
  <si>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</si>
  <si>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</si>
  <si>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</si>
  <si>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</si>
  <si>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</si>
  <si>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</si>
  <si>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</si>
  <si>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</si>
  <si>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</si>
  <si>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</si>
  <si>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</si>
  <si>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</si>
  <si>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</si>
  <si>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</si>
  <si>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</si>
  <si>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</si>
  <si>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</si>
  <si>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</si>
  <si>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</si>
  <si>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</si>
  <si>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</si>
  <si>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</si>
  <si>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</si>
  <si>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Page 10, Line 72 - Ed - Sale of Food - free and reduced</t>
  </si>
  <si>
    <t>Page 10, Line 78 - Ed - Other Admissions - Play and musical</t>
  </si>
  <si>
    <t>Page 11, Line 107 - Ed - Miscellaneous reimbursements, refunds, other receipts</t>
  </si>
  <si>
    <t>Page 11, Line 107 - O&amp;M - Insurance reimbursements and refunds</t>
  </si>
  <si>
    <t>Page 11, Line 107 - Trans - Insurance reimbursements</t>
  </si>
  <si>
    <t>Page 18, Line 171 - Debt Services - Bond agent fees</t>
  </si>
  <si>
    <t>Page 7, Line 43 - O&amp;M - Capital lease proceeds</t>
  </si>
  <si>
    <t>Page 7, Line 43 - Ed - Transfer from Fire Safety fund</t>
  </si>
  <si>
    <t>Page 8, Line 75 - Life Safety - Transfer to Educational Fund</t>
  </si>
  <si>
    <t>Page 22, Line 351 - School Resource Officer</t>
  </si>
  <si>
    <t>ARBOR MANAGEMENT, INC.</t>
  </si>
  <si>
    <t>ED - FOOD SERVICE - PURCHASED SERVICES</t>
  </si>
  <si>
    <t>PLANO CUSD #88</t>
  </si>
  <si>
    <t>ED - HOMELESS TRANSPORT - PURCHASED SERVICES</t>
  </si>
  <si>
    <t>Audit Checklist, Line 68 - difference is due to ISBE tech loan and Central Bus Sales - capital lease proceeds recorded at page 7 lines 42 and 43 respectively</t>
  </si>
  <si>
    <t>Audit Checklist, Line 69 - difference is due to Central Bus Sales debt payments from the transportation fund page 19 line 206</t>
  </si>
  <si>
    <t>CHILD NUTRITION CLUSTER:</t>
  </si>
  <si>
    <t xml:space="preserve">     PASSED THROUGH ISBE:</t>
  </si>
  <si>
    <t xml:space="preserve">   US DEPT. OF AGRICULTURE:</t>
  </si>
  <si>
    <t xml:space="preserve">        NATIONAL SCHOOL LUNCH PROGRAM - 2019</t>
  </si>
  <si>
    <t xml:space="preserve">        NATIONAL SCHOOL LUNCH PROGRAM - 2020</t>
  </si>
  <si>
    <t xml:space="preserve">        LANTER COMMODITIES</t>
  </si>
  <si>
    <t xml:space="preserve">        SCHOOL BREAKFAST PROGRAM - 2019</t>
  </si>
  <si>
    <t xml:space="preserve">        SCHOOL BREAKFAST PROGRAM - 2020</t>
  </si>
  <si>
    <t xml:space="preserve">     PASSED THROUGH US DEPT. OF DEFENSE:</t>
  </si>
  <si>
    <t xml:space="preserve">        FRESH FRUIT AND VEGETABLES</t>
  </si>
  <si>
    <t>TOTAL CHILD NUTRITION CLUSTER</t>
  </si>
  <si>
    <t>4210-2019</t>
  </si>
  <si>
    <t>4210-2020</t>
  </si>
  <si>
    <t>4220-2019</t>
  </si>
  <si>
    <t>4220-2020</t>
  </si>
  <si>
    <t xml:space="preserve">        SUMMER FOOD PROGRAM</t>
  </si>
  <si>
    <t>4225-2020</t>
  </si>
  <si>
    <t xml:space="preserve">   PASSED THROUGH ISBE:</t>
  </si>
  <si>
    <t xml:space="preserve">      SPECIAL EDUCATION (IDEA) CLUSTER:</t>
  </si>
  <si>
    <t>US DEPT. OF HEALTH &amp; HUMAN SERVICES:</t>
  </si>
  <si>
    <t xml:space="preserve">   PASSED THROUGH IL DEPT. OF HEALTHCARE &amp; FAMILY SERVICES</t>
  </si>
  <si>
    <t xml:space="preserve">        MEDICAL ASSISTANCE PROGRAM - 2019</t>
  </si>
  <si>
    <t xml:space="preserve">        MEDICAL ASSISTANCE PROGRAM - 2020</t>
  </si>
  <si>
    <t>TOTAL US DEPT. OF HEALTH &amp; HUMAN SERVICES</t>
  </si>
  <si>
    <t>4991-2019</t>
  </si>
  <si>
    <t>4991-2020</t>
  </si>
  <si>
    <t>US DEPT. OF EDUCATION:</t>
  </si>
  <si>
    <t xml:space="preserve">         IDEA FLOW-THROUGH - 2019</t>
  </si>
  <si>
    <t xml:space="preserve">         IDEA FLOW-THROUGH - 2020</t>
  </si>
  <si>
    <t xml:space="preserve">         IDEA ROOM &amp; BOARD - 2019</t>
  </si>
  <si>
    <t xml:space="preserve">         IDEA ROOM &amp; BOARD - 2020</t>
  </si>
  <si>
    <t xml:space="preserve">         IDEA ROOM &amp; BOARD - 2020XC</t>
  </si>
  <si>
    <t xml:space="preserve">         IDEA ROOM &amp; BOARD - 2019XC</t>
  </si>
  <si>
    <t xml:space="preserve">         IDEA PRESCHOOL FLOW-THROUGH - 2019</t>
  </si>
  <si>
    <t xml:space="preserve">         IDEA PRESCHOOL FLOW-THROUGH - 2020</t>
  </si>
  <si>
    <t>4600-2019</t>
  </si>
  <si>
    <t>4600-2020</t>
  </si>
  <si>
    <t>4625-2019</t>
  </si>
  <si>
    <t>4625-2020</t>
  </si>
  <si>
    <t>4620-2019</t>
  </si>
  <si>
    <t>4620-2020</t>
  </si>
  <si>
    <t>TOTAL SPECIAL EDUCATION CLUSTER</t>
  </si>
  <si>
    <t xml:space="preserve">       TITLE I - 2019</t>
  </si>
  <si>
    <t xml:space="preserve">       TITLE I - 2020</t>
  </si>
  <si>
    <t xml:space="preserve">       TITLE II - 2020</t>
  </si>
  <si>
    <t xml:space="preserve">       TITLE IVA - 2019 (M)</t>
  </si>
  <si>
    <t xml:space="preserve">       TITLE IVA - 2020 (M)</t>
  </si>
  <si>
    <t>4300-2019</t>
  </si>
  <si>
    <t>4300-2020</t>
  </si>
  <si>
    <t xml:space="preserve">       TITLE II - 2019</t>
  </si>
  <si>
    <t>4932-2019</t>
  </si>
  <si>
    <t>4932-2020</t>
  </si>
  <si>
    <t>4400-2019</t>
  </si>
  <si>
    <t>4400-2020</t>
  </si>
  <si>
    <t>US DEPT. OF EDUCATION (CONTINUED):</t>
  </si>
  <si>
    <t xml:space="preserve">   PASSED THROUGH VALEES:</t>
  </si>
  <si>
    <t xml:space="preserve">      PERKINS - 2020</t>
  </si>
  <si>
    <t>4770-2020</t>
  </si>
  <si>
    <t>TOTAL FEDERAL AWARDS</t>
  </si>
  <si>
    <t>Unmodified</t>
  </si>
  <si>
    <t xml:space="preserve">The Board of Education and District Management have the ultimate responsibility for oversight of the District’s system of internal control over financial reporting. While it is acceptable to outsource various functions, responsibility for financial oversight cannot be outsourced to external auditors. </t>
  </si>
  <si>
    <t>As a result of insufficient financial oversight during the year, we identified a number of internal control deficiencies and matters.</t>
  </si>
  <si>
    <t>Material misstatements to the financial statements were not prevented or detected during the normal course of operations. Significant audit adjustments were required.</t>
  </si>
  <si>
    <t>District management did not effectively oversee the District’s system of internal controls over financial reporting.</t>
  </si>
  <si>
    <t xml:space="preserve">It is imperative that District personnel involved in the financial reporting process and those charged with governance have a thorough understanding of financial and regulatory matters, and effectively oversee the District’s financial operations and internal controls. </t>
  </si>
  <si>
    <t>Management is aware of this condition, and is continuing to implement the necessary policies and procedures.</t>
  </si>
  <si>
    <t>The Board of Education has the ultimate responsibility for the District’s system of internal control over financial reporting. As independent auditors, the external auditors cannot be considered a part of the District’s system of internal controls. While it is acceptable to outsource various functions, responsibility for internal control cannot be outsourced to external auditors. While it is common practice for the auditors to prepare the financial statements for many entities, this is considered an internal control deficiency in accordance with generally accepted auditing standards, which requires written communication to those charged with governance.</t>
  </si>
  <si>
    <t>The District’s personnel do not prepare the District’s financial statements and related disclosures. The District engages the external auditors to assist in preparing these reports using the financial reports provided by the District.</t>
  </si>
  <si>
    <t>The District does not prepare the required related disclosures, or the Schedule of Expenditures of Federal Awards.</t>
  </si>
  <si>
    <t>Because the auditors, not management, have prepared the financial statements, related disclosures, and Schedule of Expenditures of Federal Awards, material misstatements to the financial statements may not be prevented or detected by the District’s system of internal controls.</t>
  </si>
  <si>
    <t>District management did not prepare or perform a comprehensive review of the financial statements, related disclosures, and Schedule of Expenditures of Federal Awards.</t>
  </si>
  <si>
    <t>The District could implement internal control procedures related to preparation and/or review of financial statements, such as hiring additional staff with knowledge and ability to prepare the financial statements and related disclosures in accordance with GASB standards, providing necessary training and education to current staff to provide them with knowledge and ability to prepare the financial statements and related disclosures in accordance with GASB standards, or hiring a third party accountant to prepare the financial statements and related disclosures before the audit commences. However, the District may determine that the cost of implementing such controls outweighs the benefits.</t>
  </si>
  <si>
    <t>A control deficiency exists when the design or operation of a control does not allow management or employees, in the normal course of performing their assigned functions, to prevent or detect misstatements on a timely basis.</t>
  </si>
  <si>
    <t>During the course of the audit, we identified misstatements requiring audit adjustments to be posted. These adjustments had a significant effect on the District’s financial statements.</t>
  </si>
  <si>
    <t xml:space="preserve">The adjustments primarily related to adjusting cash balances and recording debt issuance transactions, and recording property tax deposits into a bond payment escrow account. </t>
  </si>
  <si>
    <t>Certain book balances were misstated at year-end, and significant audit adjustments were required to correct the balances.</t>
  </si>
  <si>
    <t>Debt issuance is a complex and infrequent transaction, and deposits to the escrow account do not run through the District's bank accounts and were not identified by District personnel for recording.</t>
  </si>
  <si>
    <t>Month-end, or year-end adjustments should be made to record any transactions that occur outside of the District’s normal operating accounts.</t>
  </si>
  <si>
    <t>N/A</t>
  </si>
  <si>
    <t xml:space="preserve">insufficient financial oversight by District personnel </t>
  </si>
  <si>
    <t xml:space="preserve">and those charged with governance of the District. </t>
  </si>
  <si>
    <t xml:space="preserve">Oversight of the District’s processes, procedures, and </t>
  </si>
  <si>
    <t xml:space="preserve">controls related to financial reporting were not </t>
  </si>
  <si>
    <t xml:space="preserve">effective to ensure the financial statements and </t>
  </si>
  <si>
    <t>related disclosures were complete and accurate.</t>
  </si>
  <si>
    <t xml:space="preserve">Currently, the District’s personnel do not prepare </t>
  </si>
  <si>
    <t xml:space="preserve">the District’s financial statements and related </t>
  </si>
  <si>
    <t xml:space="preserve">disclosures. The District engages the external </t>
  </si>
  <si>
    <t xml:space="preserve">auditors to assist in preparing these reports using </t>
  </si>
  <si>
    <t>the financial reports provided by the District.</t>
  </si>
  <si>
    <t xml:space="preserve">During the course of the audit, we identified </t>
  </si>
  <si>
    <t xml:space="preserve">misstatements requiring audit adjustments to be </t>
  </si>
  <si>
    <t xml:space="preserve">posted. These adjustments had a significant effect </t>
  </si>
  <si>
    <t xml:space="preserve">on the District’s financial statements, and were </t>
  </si>
  <si>
    <t xml:space="preserve">primarily related to issuance of short-term and </t>
  </si>
  <si>
    <t>long-term debt.</t>
  </si>
  <si>
    <t xml:space="preserve">For the year ended June 30, 2019 there was </t>
  </si>
  <si>
    <t>2019-001</t>
  </si>
  <si>
    <t>2019-002</t>
  </si>
  <si>
    <t>2019-003</t>
  </si>
  <si>
    <t>This finding has been repeated as 2020-001</t>
  </si>
  <si>
    <t>This finding has been repeated as 2020-002</t>
  </si>
  <si>
    <t>This finding has been repeated as 2020-003</t>
  </si>
  <si>
    <t>066-005100</t>
  </si>
  <si>
    <r>
      <t xml:space="preserve">The accompanying Schedule of Expenditures of Federal Awards includes the federal grant activity of </t>
    </r>
    <r>
      <rPr>
        <b/>
        <sz val="9"/>
        <rFont val="Calibri"/>
        <family val="2"/>
        <scheme val="minor"/>
      </rPr>
      <t>Sandwich Community Unit School District #430</t>
    </r>
    <r>
      <rPr>
        <sz val="9"/>
        <rFont val="Calibri"/>
        <family val="2"/>
        <scheme val="minor"/>
      </rPr>
      <t xml:space="preserve"> and is presented on the modified c</t>
    </r>
    <r>
      <rPr>
        <b/>
        <sz val="9"/>
        <rFont val="Calibri"/>
        <family val="2"/>
        <scheme val="minor"/>
      </rPr>
      <t>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</si>
  <si>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Sandwich Community Unit School District #430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</si>
  <si>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84.027/84.173</t>
  </si>
  <si>
    <t>Special Education Cluster</t>
  </si>
  <si>
    <t xml:space="preserve">For the year ended June 30, 2020 there was insufficient financial oversight by District personnel and those charged with governance of the District. Oversight of the District’s processes, procedures, and controls related to financial reporting were not effective to ensure the financial statements and related disclosures were complete and accurate. </t>
  </si>
  <si>
    <t>ED - PSYCHOLOGY - PURCHASED SERVICES</t>
  </si>
  <si>
    <t>TRANS - BUS MAINTENANCE - PURCHASED SERVICES</t>
  </si>
  <si>
    <t>STAHL'S SERVICE AND REPAIR</t>
  </si>
  <si>
    <t>AMY SURPRENANT</t>
  </si>
  <si>
    <t>None</t>
  </si>
  <si>
    <r>
      <t xml:space="preserve">Of the federal expenditures presented in the schedule, </t>
    </r>
    <r>
      <rPr>
        <b/>
        <sz val="9"/>
        <rFont val="Calibri"/>
        <family val="2"/>
        <scheme val="minor"/>
      </rPr>
      <t>Sandwich Community Unit School District #430</t>
    </r>
    <r>
      <rPr>
        <sz val="9"/>
        <rFont val="Calibri"/>
        <family val="2"/>
        <scheme val="minor"/>
      </rPr>
      <t xml:space="preserve"> provided federal awards to subrecipients as follows:</t>
    </r>
  </si>
  <si>
    <t xml:space="preserve">  Sandwich CUSD 430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</si>
</sst>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4" fillId="0" borderId="0" xfId="3" applyFont="1" applyAlignment="1" applyProtection="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AEBBA7FE-96F2-4A0E-A827-41951C76DF8C}"/>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5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5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5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4"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3">
        <f>+'AFR20'!E4</f>
        <v>44119</v>
      </c>
      <c r="C1" s="2193"/>
      <c r="D1" s="2194"/>
      <c r="I1" s="2152" t="s">
        <v>402</v>
      </c>
      <c r="J1" s="2153"/>
      <c r="K1" s="2153"/>
      <c r="L1" s="2153"/>
      <c r="M1" s="2153"/>
      <c r="N1" s="2153"/>
      <c r="O1" s="2153"/>
      <c r="P1" s="2153"/>
      <c r="Q1" s="2153"/>
      <c r="R1" s="2153"/>
      <c r="S1" s="2153"/>
    </row>
    <row r="2" spans="1:32" ht="12" customHeight="1" x14ac:dyDescent="0.2">
      <c r="A2" s="1888" t="str">
        <f>"Due to ISBE on "</f>
        <v xml:space="preserve">Due to ISBE on </v>
      </c>
      <c r="B2" s="2195">
        <f>+'AFR20'!F4</f>
        <v>44151</v>
      </c>
      <c r="C2" s="2195"/>
      <c r="D2" s="2196"/>
      <c r="I2" s="2154" t="s">
        <v>2003</v>
      </c>
      <c r="J2" s="2153"/>
      <c r="K2" s="2153"/>
      <c r="L2" s="2153"/>
      <c r="M2" s="2153"/>
      <c r="N2" s="2153"/>
      <c r="O2" s="2153"/>
      <c r="P2" s="2153"/>
      <c r="Q2" s="2153"/>
      <c r="R2" s="2153"/>
      <c r="S2" s="2153"/>
    </row>
    <row r="3" spans="1:32" ht="12" customHeight="1" x14ac:dyDescent="0.2">
      <c r="A3" s="1891"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521</v>
      </c>
      <c r="J4" s="2153"/>
      <c r="K4" s="2153"/>
      <c r="L4" s="2153"/>
      <c r="M4" s="2153"/>
      <c r="N4" s="2153"/>
      <c r="O4" s="2153"/>
      <c r="P4" s="2153"/>
      <c r="Q4" s="2153"/>
      <c r="R4" s="2153"/>
      <c r="S4" s="2153"/>
    </row>
    <row r="5" spans="1:32" ht="14.1" customHeight="1" x14ac:dyDescent="0.2">
      <c r="B5" s="101" t="s">
        <v>2030</v>
      </c>
      <c r="C5" s="26" t="s">
        <v>904</v>
      </c>
      <c r="D5" s="81"/>
      <c r="E5" s="81"/>
      <c r="H5" s="38"/>
      <c r="I5" s="2162" t="s">
        <v>675</v>
      </c>
      <c r="J5" s="2161"/>
      <c r="K5" s="2161"/>
      <c r="L5" s="2161"/>
      <c r="M5" s="2161"/>
      <c r="N5" s="2161"/>
      <c r="O5" s="2161"/>
      <c r="P5" s="2161"/>
      <c r="Q5" s="2161"/>
      <c r="R5" s="2161"/>
      <c r="S5" s="2161"/>
      <c r="AF5" s="1884"/>
    </row>
    <row r="6" spans="1:32" ht="14.1" customHeight="1" x14ac:dyDescent="0.2">
      <c r="B6" s="101"/>
      <c r="C6" s="26" t="s">
        <v>905</v>
      </c>
      <c r="D6" s="81"/>
      <c r="E6" s="81"/>
      <c r="I6" s="2160" t="s">
        <v>877</v>
      </c>
      <c r="J6" s="2161"/>
      <c r="K6" s="2161"/>
      <c r="L6" s="2161"/>
      <c r="M6" s="2161"/>
      <c r="N6" s="2161"/>
      <c r="O6" s="2161"/>
      <c r="P6" s="2161"/>
      <c r="Q6" s="2161"/>
      <c r="R6" s="2161"/>
      <c r="S6" s="2161"/>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669</v>
      </c>
      <c r="J9" s="2158"/>
      <c r="K9" s="2158"/>
      <c r="L9" s="2158"/>
      <c r="M9" s="2158"/>
      <c r="N9" s="2158"/>
      <c r="O9" s="2158"/>
      <c r="P9" s="2158"/>
      <c r="Q9" s="2158"/>
      <c r="R9" s="2158"/>
      <c r="S9" s="2159"/>
      <c r="T9" s="2210" t="s">
        <v>530</v>
      </c>
      <c r="U9" s="2211"/>
      <c r="V9" s="2211"/>
      <c r="W9" s="2211"/>
      <c r="X9" s="2211"/>
      <c r="Y9" s="2211"/>
      <c r="Z9" s="2211"/>
      <c r="AA9" s="2212"/>
    </row>
    <row r="10" spans="1:32" ht="13.5" customHeight="1" x14ac:dyDescent="0.2">
      <c r="A10" s="2217" t="s">
        <v>670</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x14ac:dyDescent="0.2">
      <c r="A11" s="2220" t="s">
        <v>949</v>
      </c>
      <c r="B11" s="2221"/>
      <c r="C11" s="2221"/>
      <c r="D11" s="2221"/>
      <c r="E11" s="2221"/>
      <c r="F11" s="2221"/>
      <c r="G11" s="2221"/>
      <c r="H11" s="2222"/>
      <c r="I11" s="27"/>
      <c r="J11" s="71"/>
      <c r="K11" s="27"/>
      <c r="O11" s="144" t="s">
        <v>2030</v>
      </c>
      <c r="P11" s="97" t="s">
        <v>199</v>
      </c>
      <c r="Q11" s="30"/>
      <c r="R11" s="28"/>
      <c r="S11" s="27"/>
      <c r="T11" s="2214"/>
      <c r="U11" s="2215"/>
      <c r="V11" s="2215"/>
      <c r="W11" s="2215"/>
      <c r="X11" s="2215"/>
      <c r="Y11" s="2215"/>
      <c r="Z11" s="2215"/>
      <c r="AA11" s="221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3">
        <v>16019430026</v>
      </c>
      <c r="B13" s="2174"/>
      <c r="C13" s="2174"/>
      <c r="D13" s="2174"/>
      <c r="E13" s="2174"/>
      <c r="F13" s="2174"/>
      <c r="G13" s="2174"/>
      <c r="H13" s="2175"/>
      <c r="I13" s="31"/>
      <c r="J13" s="30"/>
      <c r="K13" s="28"/>
      <c r="L13" s="30"/>
      <c r="M13" s="30"/>
      <c r="N13" s="30"/>
      <c r="O13" s="30"/>
      <c r="P13" s="30"/>
      <c r="Q13" s="30"/>
      <c r="R13" s="30"/>
      <c r="S13" s="30"/>
      <c r="T13" s="2179" t="s">
        <v>2018</v>
      </c>
      <c r="U13" s="2180"/>
      <c r="V13" s="2180"/>
      <c r="W13" s="2180"/>
      <c r="X13" s="2180"/>
      <c r="Y13" s="2181"/>
      <c r="Z13" s="2181"/>
      <c r="AA13" s="218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6" t="s">
        <v>2026</v>
      </c>
      <c r="B15" s="2177"/>
      <c r="C15" s="2177"/>
      <c r="D15" s="2177"/>
      <c r="E15" s="2177"/>
      <c r="F15" s="2177"/>
      <c r="G15" s="2177"/>
      <c r="H15" s="2178"/>
      <c r="T15" s="2183" t="s">
        <v>2019</v>
      </c>
      <c r="U15" s="2140"/>
      <c r="V15" s="2140"/>
      <c r="W15" s="2140"/>
      <c r="X15" s="2140"/>
      <c r="Y15" s="2184"/>
      <c r="Z15" s="2184"/>
      <c r="AA15" s="21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6" t="s">
        <v>2219</v>
      </c>
      <c r="B17" s="2147"/>
      <c r="C17" s="2147"/>
      <c r="D17" s="2147"/>
      <c r="E17" s="2147"/>
      <c r="F17" s="2147"/>
      <c r="G17" s="2147"/>
      <c r="H17" s="2172"/>
      <c r="T17" s="2190" t="s">
        <v>2020</v>
      </c>
      <c r="U17" s="2191"/>
      <c r="V17" s="2191"/>
      <c r="W17" s="2191"/>
      <c r="X17" s="2191"/>
      <c r="Y17" s="2191"/>
      <c r="Z17" s="2191"/>
      <c r="AA17" s="2192"/>
    </row>
    <row r="18" spans="1:27" ht="13.5" customHeight="1" x14ac:dyDescent="0.2">
      <c r="A18" s="82" t="s">
        <v>527</v>
      </c>
      <c r="B18" s="73"/>
      <c r="C18" s="69"/>
      <c r="D18" s="73"/>
      <c r="E18" s="73"/>
      <c r="F18" s="73"/>
      <c r="G18" s="73"/>
      <c r="H18" s="53"/>
      <c r="I18" s="2171" t="s">
        <v>671</v>
      </c>
      <c r="J18" s="2122"/>
      <c r="K18" s="2122"/>
      <c r="L18" s="2122"/>
      <c r="M18" s="2122"/>
      <c r="N18" s="2122"/>
      <c r="O18" s="2122"/>
      <c r="P18" s="2122"/>
      <c r="Q18" s="2122"/>
      <c r="R18" s="2122"/>
      <c r="S18" s="2123"/>
      <c r="T18" s="82" t="s">
        <v>706</v>
      </c>
      <c r="U18" s="48"/>
      <c r="V18" s="69"/>
      <c r="W18" s="47"/>
      <c r="X18" s="82" t="s">
        <v>264</v>
      </c>
      <c r="Y18" s="78"/>
      <c r="Z18" s="154" t="s">
        <v>672</v>
      </c>
      <c r="AA18" s="44"/>
    </row>
    <row r="19" spans="1:27" ht="13.5" customHeight="1" x14ac:dyDescent="0.2">
      <c r="A19" s="2176" t="s">
        <v>2027</v>
      </c>
      <c r="B19" s="2132"/>
      <c r="C19" s="2132"/>
      <c r="D19" s="2132"/>
      <c r="E19" s="2132"/>
      <c r="F19" s="2132"/>
      <c r="G19" s="2132"/>
      <c r="H19" s="2112"/>
      <c r="I19" s="30"/>
      <c r="J19" s="96"/>
      <c r="K19" s="40"/>
      <c r="L19" s="38"/>
      <c r="M19" s="109" t="s">
        <v>312</v>
      </c>
      <c r="P19" s="27"/>
      <c r="Q19" s="27"/>
      <c r="R19" s="27"/>
      <c r="S19" s="31"/>
      <c r="T19" s="2176" t="s">
        <v>2021</v>
      </c>
      <c r="U19" s="2111"/>
      <c r="V19" s="2111"/>
      <c r="W19" s="2112"/>
      <c r="X19" s="2188" t="s">
        <v>2022</v>
      </c>
      <c r="Y19" s="2189"/>
      <c r="Z19" s="2186">
        <v>60450</v>
      </c>
      <c r="AA19" s="218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0" t="s">
        <v>2028</v>
      </c>
      <c r="B21" s="2111"/>
      <c r="C21" s="2111"/>
      <c r="D21" s="2111"/>
      <c r="E21" s="2111"/>
      <c r="F21" s="2111"/>
      <c r="G21" s="2111"/>
      <c r="H21" s="2112"/>
      <c r="I21" s="2166" t="s">
        <v>673</v>
      </c>
      <c r="J21" s="2161"/>
      <c r="K21" s="2161"/>
      <c r="L21" s="2161"/>
      <c r="M21" s="2161"/>
      <c r="N21" s="2161"/>
      <c r="O21" s="2161"/>
      <c r="P21" s="2161"/>
      <c r="Q21" s="2161"/>
      <c r="R21" s="2161"/>
      <c r="S21" s="2167"/>
      <c r="T21" s="2201" t="s">
        <v>2023</v>
      </c>
      <c r="U21" s="2202"/>
      <c r="V21" s="2202"/>
      <c r="W21" s="2202"/>
      <c r="X21" s="2207" t="s">
        <v>2024</v>
      </c>
      <c r="Y21" s="2208"/>
      <c r="Z21" s="2208"/>
      <c r="AA21" s="2209"/>
    </row>
    <row r="22" spans="1:27" ht="13.5" customHeight="1" x14ac:dyDescent="0.2">
      <c r="A22" s="84" t="s">
        <v>528</v>
      </c>
      <c r="B22" s="56"/>
      <c r="C22" s="56"/>
      <c r="D22" s="56"/>
      <c r="E22" s="56"/>
      <c r="F22" s="56"/>
      <c r="G22" s="56"/>
      <c r="H22" s="57"/>
      <c r="I22" s="2168" t="s">
        <v>1415</v>
      </c>
      <c r="J22" s="2169"/>
      <c r="K22" s="2169"/>
      <c r="L22" s="2169"/>
      <c r="M22" s="2169"/>
      <c r="N22" s="2169"/>
      <c r="O22" s="2169"/>
      <c r="P22" s="2169"/>
      <c r="Q22" s="2169"/>
      <c r="R22" s="2169"/>
      <c r="S22" s="2170"/>
      <c r="T22" s="82" t="s">
        <v>1502</v>
      </c>
      <c r="U22" s="48"/>
      <c r="V22" s="69"/>
      <c r="W22" s="48"/>
      <c r="X22" s="155" t="s">
        <v>1309</v>
      </c>
      <c r="Z22" s="43"/>
      <c r="AA22" s="44"/>
    </row>
    <row r="23" spans="1:27" ht="13.5" customHeight="1" x14ac:dyDescent="0.2">
      <c r="A23" s="2163" t="s">
        <v>2029</v>
      </c>
      <c r="B23" s="2164"/>
      <c r="C23" s="2164"/>
      <c r="D23" s="2164"/>
      <c r="E23" s="2164"/>
      <c r="F23" s="2164"/>
      <c r="G23" s="2164"/>
      <c r="H23" s="2165"/>
      <c r="T23" s="2146" t="s">
        <v>2207</v>
      </c>
      <c r="U23" s="2200"/>
      <c r="V23" s="2200"/>
      <c r="W23" s="2200"/>
      <c r="X23" s="2204">
        <v>44530</v>
      </c>
      <c r="Y23" s="2205"/>
      <c r="Z23" s="2205"/>
      <c r="AA23" s="2206"/>
    </row>
    <row r="24" spans="1:27" ht="14.1" customHeight="1" x14ac:dyDescent="0.2">
      <c r="A24" s="85" t="s">
        <v>672</v>
      </c>
      <c r="B24" s="46"/>
      <c r="C24" s="46"/>
      <c r="D24" s="46"/>
      <c r="E24" s="46"/>
      <c r="F24" s="46"/>
      <c r="G24" s="46"/>
      <c r="H24" s="58"/>
      <c r="J24" s="2133" t="str">
        <f>IF(B5="x",IF(AUDITCHECK!D29="AFR form Incomplete.","",IF(AUDITCHECK!D29="Deficit reduction plan is required.","School District must complete a deficit reduction plan in the 2019-2020 Budget",)),"")</f>
        <v>School District must complete a deficit reduction plan in the 2019-2020 Budget</v>
      </c>
      <c r="K24" s="2133"/>
      <c r="L24" s="2133"/>
      <c r="M24" s="2133"/>
      <c r="N24" s="2133"/>
      <c r="O24" s="2133"/>
      <c r="P24" s="2133"/>
      <c r="Q24" s="2133"/>
      <c r="R24" s="2133"/>
      <c r="S24" s="2134"/>
      <c r="T24" s="102" t="s">
        <v>528</v>
      </c>
      <c r="U24" s="103"/>
      <c r="V24" s="103"/>
      <c r="W24" s="103"/>
      <c r="X24" s="104"/>
      <c r="Y24" s="104"/>
      <c r="Z24" s="104"/>
      <c r="AA24" s="105"/>
    </row>
    <row r="25" spans="1:27" ht="14.1" customHeight="1" x14ac:dyDescent="0.2">
      <c r="A25" s="2110"/>
      <c r="B25" s="2111"/>
      <c r="C25" s="2111"/>
      <c r="D25" s="2111"/>
      <c r="E25" s="2111"/>
      <c r="F25" s="2111"/>
      <c r="G25" s="2111"/>
      <c r="H25" s="2112"/>
      <c r="I25" s="110"/>
      <c r="J25" s="2135"/>
      <c r="K25" s="2135"/>
      <c r="L25" s="2135"/>
      <c r="M25" s="2135"/>
      <c r="N25" s="2135"/>
      <c r="O25" s="2135"/>
      <c r="P25" s="2135"/>
      <c r="Q25" s="2135"/>
      <c r="R25" s="2135"/>
      <c r="S25" s="2136"/>
      <c r="T25" s="2197" t="s">
        <v>2025</v>
      </c>
      <c r="U25" s="2198"/>
      <c r="V25" s="2198"/>
      <c r="W25" s="2198"/>
      <c r="X25" s="2198"/>
      <c r="Y25" s="2198"/>
      <c r="Z25" s="2198"/>
      <c r="AA25" s="219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1" t="s">
        <v>1497</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2030</v>
      </c>
      <c r="F29" s="137" t="s">
        <v>1307</v>
      </c>
      <c r="G29" s="111"/>
      <c r="I29" s="51"/>
      <c r="J29" s="144" t="s">
        <v>2030</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2030</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2030</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2"/>
      <c r="Q35" s="2111"/>
      <c r="R35" s="21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6" t="s">
        <v>2031</v>
      </c>
      <c r="B38" s="2147"/>
      <c r="C38" s="2147"/>
      <c r="D38" s="2147"/>
      <c r="E38" s="2147"/>
      <c r="F38" s="2111"/>
      <c r="G38" s="2111"/>
      <c r="H38" s="2112"/>
      <c r="I38" s="2139"/>
      <c r="J38" s="2140"/>
      <c r="K38" s="2140"/>
      <c r="L38" s="2140"/>
      <c r="M38" s="2140"/>
      <c r="N38" s="2140"/>
      <c r="O38" s="2140"/>
      <c r="P38" s="2141"/>
      <c r="Q38" s="2141"/>
      <c r="R38" s="2141"/>
      <c r="S38" s="2142"/>
      <c r="T38" s="2183"/>
      <c r="U38" s="2140"/>
      <c r="V38" s="2140"/>
      <c r="W38" s="2140"/>
      <c r="X38" s="2141"/>
      <c r="Y38" s="2141"/>
      <c r="Z38" s="2141"/>
      <c r="AA38" s="2142"/>
    </row>
    <row r="39" spans="1:27" ht="12" customHeight="1" x14ac:dyDescent="0.2">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x14ac:dyDescent="0.2">
      <c r="A40" s="2124" t="s">
        <v>2029</v>
      </c>
      <c r="B40" s="2125"/>
      <c r="C40" s="2126"/>
      <c r="D40" s="2126"/>
      <c r="E40" s="2126"/>
      <c r="F40" s="2127"/>
      <c r="G40" s="2127"/>
      <c r="H40" s="2128"/>
      <c r="I40" s="2149"/>
      <c r="J40" s="2150"/>
      <c r="K40" s="2150"/>
      <c r="L40" s="2150"/>
      <c r="M40" s="2150"/>
      <c r="N40" s="2150"/>
      <c r="O40" s="2150"/>
      <c r="P40" s="2150"/>
      <c r="Q40" s="2150"/>
      <c r="R40" s="2150"/>
      <c r="S40" s="2151"/>
      <c r="T40" s="2149"/>
      <c r="U40" s="2203"/>
      <c r="V40" s="2150"/>
      <c r="W40" s="2150"/>
      <c r="X40" s="2150"/>
      <c r="Y40" s="2150"/>
      <c r="Z40" s="2150"/>
      <c r="AA40" s="215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8" t="s">
        <v>2032</v>
      </c>
      <c r="B42" s="2130"/>
      <c r="C42" s="2131"/>
      <c r="D42" s="2129" t="s">
        <v>2033</v>
      </c>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7" sqref="C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61"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62"/>
      <c r="B3" s="1338"/>
      <c r="C3" s="1339"/>
      <c r="D3" s="1340" t="s">
        <v>254</v>
      </c>
      <c r="E3" s="1339"/>
      <c r="F3" s="1340" t="s">
        <v>255</v>
      </c>
    </row>
    <row r="4" spans="1:8" ht="13.7" customHeight="1" x14ac:dyDescent="0.2">
      <c r="A4" s="579" t="s">
        <v>1147</v>
      </c>
      <c r="B4" s="1770">
        <f>'Revenues 9-14'!C5</f>
        <v>12220563</v>
      </c>
      <c r="C4" s="1771">
        <v>4651922</v>
      </c>
      <c r="D4" s="1772">
        <f>B4-C4</f>
        <v>7568641</v>
      </c>
      <c r="E4" s="1771">
        <v>12743110</v>
      </c>
      <c r="F4" s="1772">
        <f>E4-C4</f>
        <v>8091188</v>
      </c>
    </row>
    <row r="5" spans="1:8" ht="13.7" customHeight="1" x14ac:dyDescent="0.2">
      <c r="A5" s="579" t="s">
        <v>865</v>
      </c>
      <c r="B5" s="1773">
        <f>'Revenues 9-14'!D5</f>
        <v>1624960</v>
      </c>
      <c r="C5" s="1713">
        <v>587923</v>
      </c>
      <c r="D5" s="1774">
        <f t="shared" ref="D5:D18" si="0">B5-C5</f>
        <v>1037037</v>
      </c>
      <c r="E5" s="1713">
        <v>1610507</v>
      </c>
      <c r="F5" s="1774">
        <f>E5-C5</f>
        <v>1022584</v>
      </c>
    </row>
    <row r="6" spans="1:8" ht="13.7" customHeight="1" x14ac:dyDescent="0.2">
      <c r="A6" s="579" t="s">
        <v>408</v>
      </c>
      <c r="B6" s="1773">
        <f>'Revenues 9-14'!E5</f>
        <v>784198</v>
      </c>
      <c r="C6" s="1713">
        <v>292170</v>
      </c>
      <c r="D6" s="1774">
        <f t="shared" si="0"/>
        <v>492028</v>
      </c>
      <c r="E6" s="1713">
        <v>797819</v>
      </c>
      <c r="F6" s="1774">
        <f t="shared" ref="F6:F18" si="1">E6-C6</f>
        <v>505649</v>
      </c>
    </row>
    <row r="7" spans="1:8" ht="13.7" customHeight="1" x14ac:dyDescent="0.2">
      <c r="A7" s="579" t="s">
        <v>154</v>
      </c>
      <c r="B7" s="1773">
        <f>'Revenues 9-14'!F5</f>
        <v>163741</v>
      </c>
      <c r="C7" s="1713">
        <v>66610</v>
      </c>
      <c r="D7" s="1774">
        <f t="shared" si="0"/>
        <v>97131</v>
      </c>
      <c r="E7" s="1713">
        <v>182455</v>
      </c>
      <c r="F7" s="1774">
        <f t="shared" si="1"/>
        <v>115845</v>
      </c>
    </row>
    <row r="8" spans="1:8" ht="13.7" customHeight="1" x14ac:dyDescent="0.2">
      <c r="A8" s="579" t="s">
        <v>1171</v>
      </c>
      <c r="B8" s="1773">
        <f>'Revenues 9-14'!G5</f>
        <v>207589</v>
      </c>
      <c r="C8" s="1713">
        <v>78627</v>
      </c>
      <c r="D8" s="1774">
        <f t="shared" si="0"/>
        <v>128962</v>
      </c>
      <c r="E8" s="1713">
        <v>215388</v>
      </c>
      <c r="F8" s="1774">
        <f t="shared" si="1"/>
        <v>136761</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353</v>
      </c>
      <c r="C10" s="1713">
        <v>141</v>
      </c>
      <c r="D10" s="1774">
        <f t="shared" si="0"/>
        <v>212</v>
      </c>
      <c r="E10" s="1713">
        <v>378</v>
      </c>
      <c r="F10" s="1774">
        <f t="shared" si="1"/>
        <v>237</v>
      </c>
    </row>
    <row r="11" spans="1:8" x14ac:dyDescent="0.2">
      <c r="A11" s="579" t="s">
        <v>406</v>
      </c>
      <c r="B11" s="1773">
        <f>'Revenues 9-14'!J5</f>
        <v>353</v>
      </c>
      <c r="C11" s="1713">
        <v>141</v>
      </c>
      <c r="D11" s="1774">
        <f t="shared" si="0"/>
        <v>212</v>
      </c>
      <c r="E11" s="1713">
        <v>378</v>
      </c>
      <c r="F11" s="1774">
        <f t="shared" si="1"/>
        <v>237</v>
      </c>
    </row>
    <row r="12" spans="1:8" ht="13.7" customHeight="1" x14ac:dyDescent="0.2">
      <c r="A12" s="579" t="s">
        <v>156</v>
      </c>
      <c r="B12" s="1773">
        <f>'Revenues 9-14'!K5</f>
        <v>3348</v>
      </c>
      <c r="C12" s="1713">
        <v>779</v>
      </c>
      <c r="D12" s="1774">
        <f t="shared" si="0"/>
        <v>2569</v>
      </c>
      <c r="E12" s="1713">
        <v>2130</v>
      </c>
      <c r="F12" s="1774">
        <f t="shared" si="1"/>
        <v>1351</v>
      </c>
    </row>
    <row r="13" spans="1:8" ht="13.7" customHeight="1" x14ac:dyDescent="0.2">
      <c r="A13" s="579" t="s">
        <v>930</v>
      </c>
      <c r="B13" s="1773">
        <f>SUM('Revenues 9-14'!C6:D6)</f>
        <v>352</v>
      </c>
      <c r="C13" s="1713">
        <v>141</v>
      </c>
      <c r="D13" s="1774">
        <f t="shared" si="0"/>
        <v>211</v>
      </c>
      <c r="E13" s="1713">
        <v>378</v>
      </c>
      <c r="F13" s="1774">
        <f t="shared" si="1"/>
        <v>237</v>
      </c>
    </row>
    <row r="14" spans="1:8" ht="13.7" customHeight="1" x14ac:dyDescent="0.2">
      <c r="A14" s="579" t="s">
        <v>407</v>
      </c>
      <c r="B14" s="1773">
        <f>SUM('Revenues 9-14'!C7:D7,'Revenues 9-14'!F7:H7)</f>
        <v>530953</v>
      </c>
      <c r="C14" s="1713">
        <v>201100</v>
      </c>
      <c r="D14" s="1774">
        <f t="shared" si="0"/>
        <v>329853</v>
      </c>
      <c r="E14" s="1713">
        <v>550870</v>
      </c>
      <c r="F14" s="1774">
        <f t="shared" si="1"/>
        <v>349770</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207589</v>
      </c>
      <c r="C16" s="1713">
        <v>78627</v>
      </c>
      <c r="D16" s="1774">
        <f t="shared" si="0"/>
        <v>128962</v>
      </c>
      <c r="E16" s="1713">
        <v>215388</v>
      </c>
      <c r="F16" s="1774">
        <f t="shared" si="1"/>
        <v>136761</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15743999</v>
      </c>
      <c r="C19" s="1775">
        <f>SUM(C4:C18)</f>
        <v>5958181</v>
      </c>
      <c r="D19" s="1775">
        <f>SUM(D4:D18)</f>
        <v>9785818</v>
      </c>
      <c r="E19" s="1775">
        <f>SUM(E4:E18)</f>
        <v>16318801</v>
      </c>
      <c r="F19" s="1775">
        <f>SUM(F4:F18)</f>
        <v>10360620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625</v>
      </c>
      <c r="B1" s="2381"/>
      <c r="C1" s="585"/>
    </row>
    <row r="2" spans="1:7" ht="33.75" x14ac:dyDescent="0.2">
      <c r="A2" s="2388" t="s">
        <v>1779</v>
      </c>
      <c r="B2" s="2389"/>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90" t="s">
        <v>1106</v>
      </c>
      <c r="B3" s="2391"/>
      <c r="C3" s="2384"/>
      <c r="D3" s="2385"/>
      <c r="E3" s="2385"/>
      <c r="F3" s="2386"/>
    </row>
    <row r="4" spans="1:7" ht="12.75" customHeight="1" thickBot="1" x14ac:dyDescent="0.25">
      <c r="A4" s="2378" t="s">
        <v>626</v>
      </c>
      <c r="B4" s="2379"/>
      <c r="C4" s="1705"/>
      <c r="D4" s="1705"/>
      <c r="E4" s="1705"/>
      <c r="F4" s="1781">
        <f>SUM(C4+D4)-E4</f>
        <v>0</v>
      </c>
    </row>
    <row r="5" spans="1:7" ht="15.75" customHeight="1" thickTop="1" x14ac:dyDescent="0.2">
      <c r="A5" s="2382" t="s">
        <v>1103</v>
      </c>
      <c r="B5" s="2377"/>
      <c r="C5" s="2371"/>
      <c r="D5" s="2372"/>
      <c r="E5" s="2372"/>
      <c r="F5" s="2373"/>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74" t="s">
        <v>627</v>
      </c>
      <c r="B15" s="2375"/>
      <c r="C15" s="1781">
        <f>SUM(C6:C14)</f>
        <v>0</v>
      </c>
      <c r="D15" s="1781">
        <f>SUM(D6:D14)</f>
        <v>0</v>
      </c>
      <c r="E15" s="1781">
        <f>SUM(E6:E14)</f>
        <v>0</v>
      </c>
      <c r="F15" s="1781">
        <f>SUM(F6:F14)</f>
        <v>0</v>
      </c>
      <c r="G15" s="473"/>
    </row>
    <row r="16" spans="1:7" s="197" customFormat="1" ht="15.75" customHeight="1" thickTop="1" x14ac:dyDescent="0.2">
      <c r="A16" s="2387" t="s">
        <v>1104</v>
      </c>
      <c r="B16" s="2377"/>
      <c r="C16" s="2371"/>
      <c r="D16" s="2372"/>
      <c r="E16" s="2372"/>
      <c r="F16" s="2373"/>
    </row>
    <row r="17" spans="1:11" ht="12.75" customHeight="1" thickBot="1" x14ac:dyDescent="0.25">
      <c r="A17" s="2369" t="s">
        <v>64</v>
      </c>
      <c r="B17" s="2370"/>
      <c r="C17" s="1782">
        <v>2455060</v>
      </c>
      <c r="D17" s="1713">
        <v>4042775</v>
      </c>
      <c r="E17" s="1782">
        <v>2455060</v>
      </c>
      <c r="F17" s="1781">
        <f>SUM(C17+D17)-E17</f>
        <v>4042775</v>
      </c>
    </row>
    <row r="18" spans="1:11" ht="12.75" customHeight="1" thickTop="1" thickBot="1" x14ac:dyDescent="0.25">
      <c r="A18" s="2369" t="s">
        <v>6</v>
      </c>
      <c r="B18" s="2370"/>
      <c r="C18" s="1782"/>
      <c r="D18" s="1713"/>
      <c r="E18" s="1782"/>
      <c r="F18" s="1781">
        <f>SUM(C18+D18)-E18</f>
        <v>0</v>
      </c>
    </row>
    <row r="19" spans="1:11" ht="12.75" customHeight="1" thickTop="1" thickBot="1" x14ac:dyDescent="0.25">
      <c r="A19" s="2369" t="s">
        <v>385</v>
      </c>
      <c r="B19" s="2370"/>
      <c r="C19" s="1782"/>
      <c r="D19" s="1713"/>
      <c r="E19" s="1782"/>
      <c r="F19" s="1781">
        <f>SUM(C19+D19)-E19</f>
        <v>0</v>
      </c>
    </row>
    <row r="20" spans="1:11" ht="12.75" customHeight="1" thickTop="1" thickBot="1" x14ac:dyDescent="0.25">
      <c r="A20" s="2369" t="s">
        <v>445</v>
      </c>
      <c r="B20" s="2370"/>
      <c r="C20" s="1782"/>
      <c r="D20" s="1713"/>
      <c r="E20" s="1782"/>
      <c r="F20" s="1781">
        <f>SUM(C20+D20)-E20</f>
        <v>0</v>
      </c>
    </row>
    <row r="21" spans="1:11" ht="14.25" thickTop="1" thickBot="1" x14ac:dyDescent="0.25">
      <c r="A21" s="2374" t="s">
        <v>628</v>
      </c>
      <c r="B21" s="2375"/>
      <c r="C21" s="1781">
        <f>SUM(C17:C20)</f>
        <v>2455060</v>
      </c>
      <c r="D21" s="1781">
        <f>SUM(D17:D20)</f>
        <v>4042775</v>
      </c>
      <c r="E21" s="1781">
        <f>SUM(E17:E20)</f>
        <v>2455060</v>
      </c>
      <c r="F21" s="1781">
        <f>SUM(F17:F20)</f>
        <v>4042775</v>
      </c>
      <c r="G21" s="473"/>
    </row>
    <row r="22" spans="1:11" ht="15.75" customHeight="1" thickTop="1" x14ac:dyDescent="0.2">
      <c r="A22" s="2376" t="s">
        <v>1105</v>
      </c>
      <c r="B22" s="2377"/>
      <c r="C22" s="2371"/>
      <c r="D22" s="2372"/>
      <c r="E22" s="2372"/>
      <c r="F22" s="2373"/>
    </row>
    <row r="23" spans="1:11" ht="13.5" thickBot="1" x14ac:dyDescent="0.25">
      <c r="A23" s="2378" t="s">
        <v>629</v>
      </c>
      <c r="B23" s="2379"/>
      <c r="C23" s="1705"/>
      <c r="D23" s="1705"/>
      <c r="E23" s="1705"/>
      <c r="F23" s="1781">
        <f>SUM(C23+D23)-E23</f>
        <v>0</v>
      </c>
      <c r="G23" s="473"/>
    </row>
    <row r="24" spans="1:11" ht="15.75" customHeight="1" thickTop="1" x14ac:dyDescent="0.2">
      <c r="A24" s="2376" t="s">
        <v>2006</v>
      </c>
      <c r="B24" s="2377"/>
      <c r="C24" s="2371"/>
      <c r="D24" s="2372"/>
      <c r="E24" s="2372"/>
      <c r="F24" s="2373"/>
    </row>
    <row r="25" spans="1:11" ht="13.5" thickBot="1" x14ac:dyDescent="0.25">
      <c r="A25" s="2378" t="s">
        <v>2007</v>
      </c>
      <c r="B25" s="2379"/>
      <c r="C25" s="1705"/>
      <c r="D25" s="1705"/>
      <c r="E25" s="1705"/>
      <c r="F25" s="1781">
        <f>SUM(C25+D25)-E25</f>
        <v>0</v>
      </c>
      <c r="G25" s="473"/>
    </row>
    <row r="26" spans="1:11" ht="15.75" customHeight="1" thickTop="1" x14ac:dyDescent="0.2">
      <c r="A26" s="2382" t="s">
        <v>652</v>
      </c>
      <c r="B26" s="2377"/>
      <c r="C26" s="589"/>
      <c r="D26" s="589"/>
      <c r="E26" s="589"/>
      <c r="F26" s="590"/>
    </row>
    <row r="27" spans="1:11" ht="13.5" thickBot="1" x14ac:dyDescent="0.25">
      <c r="A27" s="2374" t="s">
        <v>1063</v>
      </c>
      <c r="B27" s="2375"/>
      <c r="C27" s="1713"/>
      <c r="D27" s="1713"/>
      <c r="E27" s="1713"/>
      <c r="F27" s="1781">
        <f>SUM(C27+D27)-E27</f>
        <v>0</v>
      </c>
      <c r="G27" s="473"/>
    </row>
    <row r="28" spans="1:11" ht="7.5" customHeight="1" thickTop="1" x14ac:dyDescent="0.2">
      <c r="A28" s="489"/>
    </row>
    <row r="29" spans="1:11" ht="23.25" customHeight="1" x14ac:dyDescent="0.2">
      <c r="A29" s="2380" t="s">
        <v>578</v>
      </c>
      <c r="B29" s="2381"/>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2035</v>
      </c>
      <c r="B31" s="595">
        <v>38492</v>
      </c>
      <c r="C31" s="1783">
        <v>468886</v>
      </c>
      <c r="D31" s="1784">
        <v>4</v>
      </c>
      <c r="E31" s="1783">
        <v>110977</v>
      </c>
      <c r="F31" s="1783"/>
      <c r="G31" s="1783"/>
      <c r="H31" s="1783">
        <v>22130</v>
      </c>
      <c r="I31" s="1785">
        <f>((E31+F31)-H31)+G31</f>
        <v>88847</v>
      </c>
      <c r="J31" s="1783">
        <v>88847</v>
      </c>
      <c r="K31" s="596"/>
    </row>
    <row r="32" spans="1:11" ht="12" customHeight="1" x14ac:dyDescent="0.2">
      <c r="A32" s="594" t="s">
        <v>2036</v>
      </c>
      <c r="B32" s="595">
        <v>42733</v>
      </c>
      <c r="C32" s="1783">
        <v>249000</v>
      </c>
      <c r="D32" s="1784">
        <v>3</v>
      </c>
      <c r="E32" s="1783">
        <v>249000</v>
      </c>
      <c r="F32" s="1783"/>
      <c r="G32" s="1783"/>
      <c r="H32" s="1783"/>
      <c r="I32" s="1785">
        <f>((E32+F32)-H32)+G32</f>
        <v>249000</v>
      </c>
      <c r="J32" s="1783">
        <v>249000</v>
      </c>
      <c r="K32" s="596"/>
    </row>
    <row r="33" spans="1:11" ht="12" customHeight="1" x14ac:dyDescent="0.2">
      <c r="A33" s="594" t="s">
        <v>2036</v>
      </c>
      <c r="B33" s="595">
        <v>42733</v>
      </c>
      <c r="C33" s="1783">
        <v>530000</v>
      </c>
      <c r="D33" s="1784">
        <v>4</v>
      </c>
      <c r="E33" s="1783">
        <v>530000</v>
      </c>
      <c r="F33" s="1783"/>
      <c r="G33" s="1783"/>
      <c r="H33" s="1783"/>
      <c r="I33" s="1785">
        <f t="shared" ref="I33:I48" si="1">((E33+F33)-H33)+G33</f>
        <v>530000</v>
      </c>
      <c r="J33" s="1783">
        <v>530000</v>
      </c>
      <c r="K33" s="596"/>
    </row>
    <row r="34" spans="1:11" ht="12" customHeight="1" x14ac:dyDescent="0.2">
      <c r="A34" s="594" t="s">
        <v>2037</v>
      </c>
      <c r="B34" s="595">
        <v>43259</v>
      </c>
      <c r="C34" s="1783">
        <v>242430</v>
      </c>
      <c r="D34" s="1784">
        <v>8</v>
      </c>
      <c r="E34" s="1783">
        <v>189302</v>
      </c>
      <c r="F34" s="1783"/>
      <c r="G34" s="1783"/>
      <c r="H34" s="1783">
        <v>44056</v>
      </c>
      <c r="I34" s="1785">
        <f t="shared" si="1"/>
        <v>145246</v>
      </c>
      <c r="J34" s="1783">
        <v>145246</v>
      </c>
      <c r="K34" s="597"/>
    </row>
    <row r="35" spans="1:11" ht="12" customHeight="1" x14ac:dyDescent="0.2">
      <c r="A35" s="594" t="s">
        <v>2038</v>
      </c>
      <c r="B35" s="595">
        <v>43493</v>
      </c>
      <c r="C35" s="1786">
        <v>130600</v>
      </c>
      <c r="D35" s="1784">
        <v>7</v>
      </c>
      <c r="E35" s="1786">
        <v>109024</v>
      </c>
      <c r="F35" s="1786"/>
      <c r="G35" s="1786"/>
      <c r="H35" s="1786">
        <v>42960</v>
      </c>
      <c r="I35" s="1785">
        <f t="shared" si="1"/>
        <v>66064</v>
      </c>
      <c r="J35" s="1786">
        <v>66064</v>
      </c>
      <c r="K35" s="597"/>
    </row>
    <row r="36" spans="1:11" ht="12" customHeight="1" x14ac:dyDescent="0.2">
      <c r="A36" s="594" t="s">
        <v>2039</v>
      </c>
      <c r="B36" s="595">
        <v>43389</v>
      </c>
      <c r="C36" s="1783">
        <v>2000000</v>
      </c>
      <c r="D36" s="1784">
        <v>4</v>
      </c>
      <c r="E36" s="1783">
        <v>2000000</v>
      </c>
      <c r="F36" s="1783"/>
      <c r="G36" s="1783"/>
      <c r="H36" s="1783">
        <v>510000</v>
      </c>
      <c r="I36" s="1785">
        <f t="shared" si="1"/>
        <v>1490000</v>
      </c>
      <c r="J36" s="1783">
        <v>1223412</v>
      </c>
      <c r="K36" s="598"/>
    </row>
    <row r="37" spans="1:11" ht="12" customHeight="1" x14ac:dyDescent="0.2">
      <c r="A37" s="594" t="s">
        <v>2040</v>
      </c>
      <c r="B37" s="595">
        <v>43928</v>
      </c>
      <c r="C37" s="1623">
        <v>65000</v>
      </c>
      <c r="D37" s="1787">
        <v>8</v>
      </c>
      <c r="E37" s="1623"/>
      <c r="F37" s="1623">
        <v>65000</v>
      </c>
      <c r="G37" s="1623"/>
      <c r="H37" s="1623">
        <v>13645</v>
      </c>
      <c r="I37" s="1785">
        <f t="shared" si="1"/>
        <v>51355</v>
      </c>
      <c r="J37" s="1623">
        <v>51355</v>
      </c>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3685916</v>
      </c>
      <c r="D49" s="1791"/>
      <c r="E49" s="1785">
        <f t="shared" ref="E49:J49" si="2">SUM(E31:E48)</f>
        <v>3188303</v>
      </c>
      <c r="F49" s="1785">
        <f t="shared" si="2"/>
        <v>65000</v>
      </c>
      <c r="G49" s="1785">
        <f t="shared" si="2"/>
        <v>0</v>
      </c>
      <c r="H49" s="1785">
        <f t="shared" si="2"/>
        <v>632791</v>
      </c>
      <c r="I49" s="1785">
        <f t="shared" si="2"/>
        <v>2620512</v>
      </c>
      <c r="J49" s="1785">
        <f t="shared" si="2"/>
        <v>2353924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3" t="s">
        <v>580</v>
      </c>
      <c r="C52" s="2364"/>
      <c r="D52" s="2364"/>
      <c r="E52" s="603" t="s">
        <v>840</v>
      </c>
      <c r="F52" s="2365" t="s">
        <v>2041</v>
      </c>
      <c r="G52" s="2366"/>
      <c r="H52" s="596"/>
      <c r="I52" s="596"/>
      <c r="J52" s="600"/>
    </row>
    <row r="53" spans="1:11" ht="11.25" customHeight="1" x14ac:dyDescent="0.2">
      <c r="A53" s="604" t="s">
        <v>907</v>
      </c>
      <c r="B53" s="605" t="s">
        <v>945</v>
      </c>
      <c r="C53" s="600"/>
      <c r="D53" s="597"/>
      <c r="E53" s="603" t="s">
        <v>494</v>
      </c>
      <c r="F53" s="2367" t="s">
        <v>2042</v>
      </c>
      <c r="G53" s="2368"/>
      <c r="H53" s="596"/>
      <c r="I53" s="596"/>
      <c r="J53" s="600"/>
    </row>
    <row r="54" spans="1:11" ht="11.25" customHeight="1" x14ac:dyDescent="0.2">
      <c r="A54" s="606" t="s">
        <v>908</v>
      </c>
      <c r="B54" s="601" t="s">
        <v>946</v>
      </c>
      <c r="C54" s="600"/>
      <c r="D54" s="597"/>
      <c r="E54" s="603" t="s">
        <v>495</v>
      </c>
      <c r="F54" s="2367"/>
      <c r="G54" s="23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2" t="s">
        <v>851</v>
      </c>
      <c r="B1" s="2393"/>
      <c r="C1" s="2393"/>
      <c r="D1" s="2393"/>
      <c r="E1" s="2393"/>
      <c r="F1" s="2393"/>
      <c r="G1" s="2394"/>
      <c r="H1" s="1342"/>
      <c r="I1" s="614"/>
      <c r="J1" s="400"/>
    </row>
    <row r="2" spans="1:11" ht="26.25" x14ac:dyDescent="0.2">
      <c r="A2" s="2411" t="s">
        <v>1661</v>
      </c>
      <c r="B2" s="2412"/>
      <c r="C2" s="2412"/>
      <c r="D2" s="2412"/>
      <c r="E2" s="2413"/>
      <c r="F2" s="615" t="s">
        <v>898</v>
      </c>
      <c r="G2" s="616" t="s">
        <v>1658</v>
      </c>
      <c r="H2" s="616" t="s">
        <v>407</v>
      </c>
      <c r="I2" s="616" t="s">
        <v>1150</v>
      </c>
      <c r="J2" s="616" t="s">
        <v>1789</v>
      </c>
      <c r="K2" s="616" t="s">
        <v>137</v>
      </c>
    </row>
    <row r="3" spans="1:11" x14ac:dyDescent="0.2">
      <c r="A3" s="2414" t="str">
        <f>"Cash Basis Fund Balance as of July 1, "&amp;'AFR20'!E2-1</f>
        <v>Cash Basis Fund Balance as of July 1, 2019</v>
      </c>
      <c r="B3" s="2415"/>
      <c r="C3" s="2415"/>
      <c r="D3" s="2415"/>
      <c r="E3" s="2416"/>
      <c r="F3" s="617"/>
      <c r="G3" s="1793"/>
      <c r="H3" s="1793"/>
      <c r="I3" s="1793"/>
      <c r="J3" s="1794"/>
      <c r="K3" s="1794"/>
    </row>
    <row r="4" spans="1:11" x14ac:dyDescent="0.2">
      <c r="A4" s="2417" t="s">
        <v>366</v>
      </c>
      <c r="B4" s="2418"/>
      <c r="C4" s="2418"/>
      <c r="D4" s="2418"/>
      <c r="E4" s="2364"/>
      <c r="F4" s="620"/>
      <c r="G4" s="1795"/>
      <c r="H4" s="1796"/>
      <c r="I4" s="1795"/>
      <c r="J4" s="1797"/>
      <c r="K4" s="1797"/>
    </row>
    <row r="5" spans="1:11" x14ac:dyDescent="0.2">
      <c r="A5" s="2395" t="s">
        <v>1062</v>
      </c>
      <c r="B5" s="2396"/>
      <c r="C5" s="2396"/>
      <c r="D5" s="2396"/>
      <c r="E5" s="2397"/>
      <c r="F5" s="622" t="s">
        <v>843</v>
      </c>
      <c r="G5" s="1798"/>
      <c r="H5" s="1793">
        <v>530953</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v>18255</v>
      </c>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v>11312</v>
      </c>
    </row>
    <row r="10" spans="1:11" x14ac:dyDescent="0.2">
      <c r="A10" s="2395" t="s">
        <v>1790</v>
      </c>
      <c r="B10" s="2396"/>
      <c r="C10" s="2396"/>
      <c r="D10" s="2396"/>
      <c r="E10" s="2398"/>
      <c r="F10" s="633" t="s">
        <v>857</v>
      </c>
      <c r="G10" s="1802"/>
      <c r="H10" s="1803"/>
      <c r="I10" s="1793"/>
      <c r="J10" s="1794"/>
      <c r="K10" s="1794"/>
    </row>
    <row r="11" spans="1:11" x14ac:dyDescent="0.2">
      <c r="A11" s="2395" t="s">
        <v>159</v>
      </c>
      <c r="B11" s="2396"/>
      <c r="C11" s="2396"/>
      <c r="D11" s="2396"/>
      <c r="E11" s="2397"/>
      <c r="F11" s="622" t="s">
        <v>847</v>
      </c>
      <c r="G11" s="1798"/>
      <c r="H11" s="1793"/>
      <c r="I11" s="1793"/>
      <c r="J11" s="1794"/>
      <c r="K11" s="1800"/>
    </row>
    <row r="12" spans="1:11" ht="13.5" thickBot="1" x14ac:dyDescent="0.25">
      <c r="A12" s="2422" t="s">
        <v>899</v>
      </c>
      <c r="B12" s="2423"/>
      <c r="C12" s="2423"/>
      <c r="D12" s="2423"/>
      <c r="E12" s="2424"/>
      <c r="F12" s="1481"/>
      <c r="G12" s="1804">
        <f>SUM(G5:G11)</f>
        <v>0</v>
      </c>
      <c r="H12" s="1804">
        <f>SUM(H5:H11)</f>
        <v>530953</v>
      </c>
      <c r="I12" s="1804">
        <f>SUM(I5:I11)</f>
        <v>0</v>
      </c>
      <c r="J12" s="1804">
        <f>SUM(J5:J11)</f>
        <v>0</v>
      </c>
      <c r="K12" s="1804">
        <f>SUM(K5:K11)</f>
        <v>29567</v>
      </c>
    </row>
    <row r="13" spans="1:11" ht="13.5" thickTop="1" x14ac:dyDescent="0.2">
      <c r="A13" s="2419" t="s">
        <v>367</v>
      </c>
      <c r="B13" s="2420"/>
      <c r="C13" s="2420"/>
      <c r="D13" s="2420"/>
      <c r="E13" s="2421"/>
      <c r="F13" s="634"/>
      <c r="G13" s="1805"/>
      <c r="H13" s="1806"/>
      <c r="I13" s="1807"/>
      <c r="J13" s="1807"/>
      <c r="K13" s="1807"/>
    </row>
    <row r="14" spans="1:11" x14ac:dyDescent="0.2">
      <c r="A14" s="2402" t="s">
        <v>453</v>
      </c>
      <c r="B14" s="2402"/>
      <c r="C14" s="2402"/>
      <c r="D14" s="2402"/>
      <c r="E14" s="2403"/>
      <c r="F14" s="635" t="s">
        <v>849</v>
      </c>
      <c r="G14" s="1802"/>
      <c r="H14" s="1793">
        <v>530953</v>
      </c>
      <c r="I14" s="1798"/>
      <c r="J14" s="1800"/>
      <c r="K14" s="1794">
        <v>29567</v>
      </c>
    </row>
    <row r="15" spans="1:11" x14ac:dyDescent="0.2">
      <c r="A15" s="2396" t="s">
        <v>4</v>
      </c>
      <c r="B15" s="2396"/>
      <c r="C15" s="2396"/>
      <c r="D15" s="2396"/>
      <c r="E15" s="2397"/>
      <c r="F15" s="635" t="s">
        <v>850</v>
      </c>
      <c r="G15" s="1798"/>
      <c r="H15" s="1793"/>
      <c r="I15" s="1793"/>
      <c r="J15" s="1794"/>
      <c r="K15" s="1794"/>
    </row>
    <row r="16" spans="1:11" x14ac:dyDescent="0.2">
      <c r="A16" s="2396" t="s">
        <v>295</v>
      </c>
      <c r="B16" s="2396"/>
      <c r="C16" s="2396"/>
      <c r="D16" s="2396"/>
      <c r="E16" s="2397"/>
      <c r="F16" s="635" t="s">
        <v>917</v>
      </c>
      <c r="G16" s="1799"/>
      <c r="H16" s="1795"/>
      <c r="I16" s="1795"/>
      <c r="J16" s="1797"/>
      <c r="K16" s="1797"/>
    </row>
    <row r="17" spans="1:15" x14ac:dyDescent="0.2">
      <c r="A17" s="2429" t="s">
        <v>929</v>
      </c>
      <c r="B17" s="2429"/>
      <c r="C17" s="2429"/>
      <c r="D17" s="2429"/>
      <c r="E17" s="2430"/>
      <c r="F17" s="636"/>
      <c r="G17" s="1808"/>
      <c r="H17" s="1809"/>
      <c r="I17" s="1809"/>
      <c r="J17" s="1810"/>
      <c r="K17" s="1811"/>
    </row>
    <row r="18" spans="1:15" x14ac:dyDescent="0.2">
      <c r="A18" s="2406" t="s">
        <v>365</v>
      </c>
      <c r="B18" s="2407"/>
      <c r="C18" s="2407"/>
      <c r="D18" s="2407"/>
      <c r="E18" s="2408"/>
      <c r="F18" s="635" t="s">
        <v>926</v>
      </c>
      <c r="G18" s="1802"/>
      <c r="H18" s="1802"/>
      <c r="I18" s="1802"/>
      <c r="J18" s="1794"/>
      <c r="K18" s="1812"/>
    </row>
    <row r="19" spans="1:15" ht="21.75" customHeight="1" x14ac:dyDescent="0.2">
      <c r="A19" s="2404" t="s">
        <v>1786</v>
      </c>
      <c r="B19" s="2404"/>
      <c r="C19" s="2404"/>
      <c r="D19" s="2404"/>
      <c r="E19" s="2405"/>
      <c r="F19" s="635" t="s">
        <v>927</v>
      </c>
      <c r="G19" s="1802"/>
      <c r="H19" s="1802"/>
      <c r="I19" s="1802"/>
      <c r="J19" s="1794"/>
      <c r="K19" s="1812"/>
    </row>
    <row r="20" spans="1:15" x14ac:dyDescent="0.2">
      <c r="A20" s="2406" t="s">
        <v>1791</v>
      </c>
      <c r="B20" s="2407"/>
      <c r="C20" s="2407"/>
      <c r="D20" s="2407"/>
      <c r="E20" s="2408"/>
      <c r="F20" s="635" t="s">
        <v>928</v>
      </c>
      <c r="G20" s="1802"/>
      <c r="H20" s="1802"/>
      <c r="I20" s="1802"/>
      <c r="J20" s="1794"/>
      <c r="K20" s="1812"/>
    </row>
    <row r="21" spans="1:15" ht="13.5" thickBot="1" x14ac:dyDescent="0.25">
      <c r="A21" s="2425" t="s">
        <v>633</v>
      </c>
      <c r="B21" s="2425"/>
      <c r="C21" s="2425"/>
      <c r="D21" s="2425"/>
      <c r="E21" s="2425"/>
      <c r="F21" s="1482"/>
      <c r="G21" s="1809"/>
      <c r="H21" s="1813"/>
      <c r="I21" s="1813"/>
      <c r="J21" s="1814">
        <f>SUM(J18:J20)</f>
        <v>0</v>
      </c>
      <c r="K21" s="1810"/>
    </row>
    <row r="22" spans="1:15" ht="13.5" thickTop="1" x14ac:dyDescent="0.2">
      <c r="A22" s="2396" t="s">
        <v>1792</v>
      </c>
      <c r="B22" s="2396"/>
      <c r="C22" s="2396"/>
      <c r="D22" s="2396"/>
      <c r="E22" s="2397"/>
      <c r="F22" s="635" t="s">
        <v>857</v>
      </c>
      <c r="G22" s="1802"/>
      <c r="H22" s="1793"/>
      <c r="I22" s="1793"/>
      <c r="J22" s="1815"/>
      <c r="K22" s="1794"/>
    </row>
    <row r="23" spans="1:15" ht="13.5" thickBot="1" x14ac:dyDescent="0.25">
      <c r="A23" s="2426" t="s">
        <v>900</v>
      </c>
      <c r="B23" s="2425"/>
      <c r="C23" s="2425"/>
      <c r="D23" s="2425"/>
      <c r="E23" s="2425"/>
      <c r="F23" s="1484"/>
      <c r="G23" s="1804">
        <f>SUM(G14:G16,G21,G22)</f>
        <v>0</v>
      </c>
      <c r="H23" s="1804">
        <f>SUM(H14:H16,H21,H22)</f>
        <v>530953</v>
      </c>
      <c r="I23" s="1804">
        <f>SUM(I14:I16,I21,I22)</f>
        <v>0</v>
      </c>
      <c r="J23" s="1804">
        <f>SUM(J14:J16,J21,J22)</f>
        <v>0</v>
      </c>
      <c r="K23" s="1804">
        <f>SUM(K14:K16,K21,K22)</f>
        <v>29567</v>
      </c>
      <c r="M23" s="1903"/>
      <c r="N23" s="1903"/>
      <c r="O23" s="1903"/>
    </row>
    <row r="24" spans="1:15" ht="14.25" thickTop="1" thickBot="1" x14ac:dyDescent="0.25">
      <c r="A24" s="2427" t="str">
        <f>"Ending Cash Basis Fund Balance as of June 30, "&amp;'AFR20'!E2</f>
        <v>Ending Cash Basis Fund Balance as of June 30, 2020</v>
      </c>
      <c r="B24" s="2428"/>
      <c r="C24" s="2428"/>
      <c r="D24" s="2428"/>
      <c r="E24" s="2428"/>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1161</v>
      </c>
      <c r="B33" s="341"/>
      <c r="C33" s="341"/>
      <c r="D33" s="341"/>
      <c r="E33" s="341"/>
      <c r="F33" s="341"/>
      <c r="G33" s="653"/>
      <c r="H33" s="2401"/>
      <c r="I33" s="2400"/>
      <c r="J33" s="2400"/>
      <c r="K33" s="240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6" t="s">
        <v>538</v>
      </c>
      <c r="B41" s="2409"/>
      <c r="C41" s="2409"/>
      <c r="D41" s="2409"/>
      <c r="E41" s="2409"/>
      <c r="F41" s="241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1875</v>
      </c>
      <c r="B1" s="2434"/>
      <c r="C1" s="2435"/>
      <c r="D1" s="666"/>
      <c r="E1" s="667"/>
      <c r="F1" s="667"/>
      <c r="G1" s="668"/>
      <c r="H1" s="669"/>
      <c r="I1" s="670"/>
      <c r="J1" s="2431"/>
      <c r="K1" s="2432"/>
      <c r="L1" s="2432"/>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3614067</v>
      </c>
      <c r="D5" s="1819"/>
      <c r="E5" s="1819"/>
      <c r="F5" s="1814">
        <f>(C5+D5)-E5</f>
        <v>3614067</v>
      </c>
      <c r="G5" s="676"/>
      <c r="H5" s="680"/>
      <c r="I5" s="680"/>
      <c r="J5" s="680"/>
      <c r="K5" s="637"/>
      <c r="L5" s="1490">
        <f>F5-K5</f>
        <v>3614067</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20017535</v>
      </c>
      <c r="D8" s="1820">
        <v>1006371</v>
      </c>
      <c r="E8" s="1820"/>
      <c r="F8" s="1814">
        <f>(C8+D8)-E8</f>
        <v>21023906</v>
      </c>
      <c r="G8" s="681">
        <v>50</v>
      </c>
      <c r="H8" s="619">
        <v>10291384</v>
      </c>
      <c r="I8" s="619">
        <v>425453</v>
      </c>
      <c r="J8" s="619"/>
      <c r="K8" s="1490">
        <f>(H8+I8)-J8</f>
        <v>10716837</v>
      </c>
      <c r="L8" s="1490">
        <f>F8-K8</f>
        <v>10307069</v>
      </c>
    </row>
    <row r="9" spans="1:14" ht="14.25" thickTop="1" thickBot="1" x14ac:dyDescent="0.25">
      <c r="A9" s="629" t="s">
        <v>1111</v>
      </c>
      <c r="B9" s="679">
        <v>232</v>
      </c>
      <c r="C9" s="1794">
        <v>199500</v>
      </c>
      <c r="D9" s="1794">
        <v>390220</v>
      </c>
      <c r="E9" s="1794"/>
      <c r="F9" s="1814">
        <f>(C9+D9)-E9</f>
        <v>589720</v>
      </c>
      <c r="G9" s="681">
        <v>20</v>
      </c>
      <c r="H9" s="619">
        <v>124688</v>
      </c>
      <c r="I9" s="619">
        <v>29486</v>
      </c>
      <c r="J9" s="619"/>
      <c r="K9" s="1490">
        <f>(H9+I9)-J9</f>
        <v>154174</v>
      </c>
      <c r="L9" s="1490">
        <f>F9-K9</f>
        <v>435546</v>
      </c>
    </row>
    <row r="10" spans="1:14" ht="24" thickTop="1" thickBot="1" x14ac:dyDescent="0.25">
      <c r="A10" s="682" t="s">
        <v>1112</v>
      </c>
      <c r="B10" s="679">
        <v>240</v>
      </c>
      <c r="C10" s="1821">
        <v>579401</v>
      </c>
      <c r="D10" s="1821"/>
      <c r="E10" s="1821"/>
      <c r="F10" s="1822">
        <f>(C10+D10)-E10</f>
        <v>579401</v>
      </c>
      <c r="G10" s="681">
        <v>20</v>
      </c>
      <c r="H10" s="683">
        <v>394212</v>
      </c>
      <c r="I10" s="683">
        <v>26814</v>
      </c>
      <c r="J10" s="683"/>
      <c r="K10" s="1490">
        <f>(H10+I10)-J10</f>
        <v>421026</v>
      </c>
      <c r="L10" s="1490">
        <f>F10-K10</f>
        <v>158375</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5384712</v>
      </c>
      <c r="D12" s="1820">
        <v>40340</v>
      </c>
      <c r="E12" s="1820"/>
      <c r="F12" s="1814">
        <f>(C12+D12)-E12</f>
        <v>5425052</v>
      </c>
      <c r="G12" s="681">
        <v>10</v>
      </c>
      <c r="H12" s="619">
        <v>5112353</v>
      </c>
      <c r="I12" s="619">
        <v>62785</v>
      </c>
      <c r="J12" s="619"/>
      <c r="K12" s="1490">
        <f>(H12+I12)-J12</f>
        <v>5175138</v>
      </c>
      <c r="L12" s="1490">
        <f>F12-K12</f>
        <v>249914</v>
      </c>
    </row>
    <row r="13" spans="1:14" ht="14.25" thickTop="1" thickBot="1" x14ac:dyDescent="0.25">
      <c r="A13" s="684" t="s">
        <v>1114</v>
      </c>
      <c r="B13" s="679">
        <v>252</v>
      </c>
      <c r="C13" s="1820">
        <v>2581016</v>
      </c>
      <c r="D13" s="1820">
        <v>83254</v>
      </c>
      <c r="E13" s="1820"/>
      <c r="F13" s="1814">
        <f>(C13+D13)-E13</f>
        <v>2664270</v>
      </c>
      <c r="G13" s="681">
        <v>5</v>
      </c>
      <c r="H13" s="619">
        <v>2332062</v>
      </c>
      <c r="I13" s="619">
        <v>88862</v>
      </c>
      <c r="J13" s="619"/>
      <c r="K13" s="1490">
        <f>(H13+I13)-J13</f>
        <v>2420924</v>
      </c>
      <c r="L13" s="1490">
        <f>F13-K13</f>
        <v>243346</v>
      </c>
    </row>
    <row r="14" spans="1:14" ht="14.25" thickTop="1" thickBot="1" x14ac:dyDescent="0.25">
      <c r="A14" s="684" t="s">
        <v>1115</v>
      </c>
      <c r="B14" s="679">
        <v>253</v>
      </c>
      <c r="C14" s="1794">
        <v>10571</v>
      </c>
      <c r="D14" s="1794"/>
      <c r="E14" s="1794"/>
      <c r="F14" s="1814">
        <f>(C14+D14)-E14</f>
        <v>10571</v>
      </c>
      <c r="G14" s="681">
        <v>3</v>
      </c>
      <c r="H14" s="619">
        <v>8140</v>
      </c>
      <c r="I14" s="619">
        <v>702</v>
      </c>
      <c r="J14" s="619"/>
      <c r="K14" s="1490">
        <f>(H14+I14)-J14</f>
        <v>8842</v>
      </c>
      <c r="L14" s="1490">
        <f>F14-K14</f>
        <v>1729</v>
      </c>
    </row>
    <row r="15" spans="1:14" ht="15" customHeight="1" thickTop="1" thickBot="1" x14ac:dyDescent="0.25">
      <c r="A15" s="1410" t="s">
        <v>525</v>
      </c>
      <c r="B15" s="1409">
        <v>260</v>
      </c>
      <c r="C15" s="1820">
        <v>275726</v>
      </c>
      <c r="D15" s="1820"/>
      <c r="E15" s="1820">
        <v>275726</v>
      </c>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32662528</v>
      </c>
      <c r="D16" s="1814">
        <f>SUM(D3,D5:D6,D8:D10,D12:D15)</f>
        <v>1520185</v>
      </c>
      <c r="E16" s="1814">
        <f>SUM(E3,E5:E6,E8:E10,E12:E15)</f>
        <v>275726</v>
      </c>
      <c r="F16" s="1814">
        <f>SUM(F3,F5:F6,F8:F10,F12:F15)</f>
        <v>33906987</v>
      </c>
      <c r="G16" s="681"/>
      <c r="H16" s="1483">
        <f>SUM(H3,H6,H8:H10,H12:H14,)</f>
        <v>18262839</v>
      </c>
      <c r="I16" s="1483">
        <f>SUM(I3,I6,I8:I10,I12:I14,)</f>
        <v>634102</v>
      </c>
      <c r="J16" s="1483">
        <f>SUM(J3,J6,J8:J10,J12:J14,)</f>
        <v>0</v>
      </c>
      <c r="K16" s="1483">
        <f>(H16+I16)-J16</f>
        <v>18896941</v>
      </c>
      <c r="L16" s="1483">
        <f>F16-K16</f>
        <v>15010046</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29200</v>
      </c>
      <c r="G17" s="676">
        <v>10</v>
      </c>
      <c r="H17" s="621"/>
      <c r="I17" s="1490">
        <f>F17/G17</f>
        <v>2920</v>
      </c>
      <c r="J17" s="621"/>
      <c r="K17" s="638"/>
      <c r="L17" s="638"/>
    </row>
    <row r="18" spans="1:12" ht="14.25" thickTop="1" thickBot="1" x14ac:dyDescent="0.25">
      <c r="A18" s="1488" t="s">
        <v>680</v>
      </c>
      <c r="B18" s="1489"/>
      <c r="C18" s="623"/>
      <c r="D18" s="623"/>
      <c r="E18" s="623"/>
      <c r="F18" s="686"/>
      <c r="G18" s="687"/>
      <c r="H18" s="624"/>
      <c r="I18" s="1483">
        <f>SUM(I16,I17)</f>
        <v>637022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474</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5"/>
      <c r="B5" s="2446"/>
      <c r="C5" s="2446"/>
      <c r="D5" s="2446"/>
      <c r="E5" s="2446"/>
      <c r="F5" s="2446"/>
    </row>
    <row r="6" spans="1:9" ht="13.5" customHeight="1" thickBot="1" x14ac:dyDescent="0.25">
      <c r="A6" s="2436" t="s">
        <v>1097</v>
      </c>
      <c r="B6" s="2437"/>
      <c r="C6" s="2437"/>
      <c r="D6" s="2437"/>
      <c r="E6" s="2437"/>
      <c r="F6" s="243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21276337</v>
      </c>
      <c r="G8" s="701"/>
    </row>
    <row r="9" spans="1:9" x14ac:dyDescent="0.2">
      <c r="A9" s="705" t="s">
        <v>457</v>
      </c>
      <c r="B9" s="706" t="s">
        <v>1848</v>
      </c>
      <c r="C9" s="707"/>
      <c r="D9" s="705" t="s">
        <v>498</v>
      </c>
      <c r="E9" s="704"/>
      <c r="F9" s="1824">
        <f>'Expenditures 15-22'!K151</f>
        <v>2261381</v>
      </c>
      <c r="G9" s="708"/>
    </row>
    <row r="10" spans="1:9" x14ac:dyDescent="0.2">
      <c r="A10" s="705" t="s">
        <v>496</v>
      </c>
      <c r="B10" s="706" t="s">
        <v>1849</v>
      </c>
      <c r="C10" s="707"/>
      <c r="D10" s="705" t="s">
        <v>498</v>
      </c>
      <c r="E10" s="704"/>
      <c r="F10" s="1824">
        <f>'Expenditures 15-22'!K174</f>
        <v>835781</v>
      </c>
      <c r="G10" s="708"/>
    </row>
    <row r="11" spans="1:9" x14ac:dyDescent="0.2">
      <c r="A11" s="705" t="s">
        <v>458</v>
      </c>
      <c r="B11" s="706" t="s">
        <v>1850</v>
      </c>
      <c r="C11" s="707"/>
      <c r="D11" s="705" t="s">
        <v>498</v>
      </c>
      <c r="E11" s="704"/>
      <c r="F11" s="1824">
        <f>'Expenditures 15-22'!K210</f>
        <v>1458051</v>
      </c>
      <c r="G11" s="708"/>
    </row>
    <row r="12" spans="1:9" x14ac:dyDescent="0.2">
      <c r="A12" s="705" t="s">
        <v>459</v>
      </c>
      <c r="B12" s="706" t="s">
        <v>1851</v>
      </c>
      <c r="C12" s="707"/>
      <c r="D12" s="705" t="s">
        <v>498</v>
      </c>
      <c r="E12" s="704"/>
      <c r="F12" s="1824">
        <f>'Expenditures 15-22'!K295</f>
        <v>767908</v>
      </c>
      <c r="G12" s="708"/>
    </row>
    <row r="13" spans="1:9" x14ac:dyDescent="0.2">
      <c r="A13" s="705" t="s">
        <v>106</v>
      </c>
      <c r="B13" s="706" t="s">
        <v>1852</v>
      </c>
      <c r="C13" s="707"/>
      <c r="D13" s="705" t="s">
        <v>498</v>
      </c>
      <c r="E13" s="704"/>
      <c r="F13" s="1824">
        <f>'Expenditures 15-22'!K342</f>
        <v>0</v>
      </c>
      <c r="G13" s="709"/>
    </row>
    <row r="14" spans="1:9" ht="12" customHeight="1" thickBot="1" x14ac:dyDescent="0.25">
      <c r="A14" s="1491"/>
      <c r="B14" s="1492"/>
      <c r="C14" s="1493"/>
      <c r="D14" s="1494" t="s">
        <v>498</v>
      </c>
      <c r="E14" s="1495" t="s">
        <v>952</v>
      </c>
      <c r="F14" s="1825">
        <f>SUM(F8:F13)</f>
        <v>26599458</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11674</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196923</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1113020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9812</v>
      </c>
      <c r="G52" s="701"/>
    </row>
    <row r="53" spans="1:7" x14ac:dyDescent="0.2">
      <c r="A53" s="705" t="s">
        <v>456</v>
      </c>
      <c r="B53" s="705" t="s">
        <v>1461</v>
      </c>
      <c r="C53" s="724">
        <f>'Expenditures 15-22'!B102</f>
        <v>4000</v>
      </c>
      <c r="D53" s="723" t="str">
        <f>'Expenditures 15-22'!A102</f>
        <v>Total Payments to Other Govt Units</v>
      </c>
      <c r="E53" s="704"/>
      <c r="F53" s="1831">
        <f>'Expenditures 15-22'!K102</f>
        <v>355309</v>
      </c>
      <c r="G53" s="701"/>
    </row>
    <row r="54" spans="1:7" x14ac:dyDescent="0.2">
      <c r="A54" s="705" t="s">
        <v>456</v>
      </c>
      <c r="B54" s="705" t="s">
        <v>1462</v>
      </c>
      <c r="C54" s="724" t="s">
        <v>975</v>
      </c>
      <c r="D54" s="720" t="s">
        <v>1088</v>
      </c>
      <c r="E54" s="704"/>
      <c r="F54" s="1831">
        <f>'Expenditures 15-22'!G114</f>
        <v>29285</v>
      </c>
      <c r="G54" s="701"/>
    </row>
    <row r="55" spans="1:7" x14ac:dyDescent="0.2">
      <c r="A55" s="705" t="s">
        <v>456</v>
      </c>
      <c r="B55" s="705" t="s">
        <v>1463</v>
      </c>
      <c r="C55" s="724" t="s">
        <v>975</v>
      </c>
      <c r="D55" s="720" t="s">
        <v>288</v>
      </c>
      <c r="E55" s="704"/>
      <c r="F55" s="1831">
        <f>'Expenditures 15-22'!I114</f>
        <v>23901</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5000</v>
      </c>
      <c r="G58" s="701"/>
    </row>
    <row r="59" spans="1:7" x14ac:dyDescent="0.2">
      <c r="A59" s="728" t="s">
        <v>457</v>
      </c>
      <c r="B59" s="692" t="s">
        <v>1855</v>
      </c>
      <c r="C59" s="729" t="s">
        <v>975</v>
      </c>
      <c r="D59" s="692" t="s">
        <v>288</v>
      </c>
      <c r="F59" s="1834">
        <f>'Expenditures 15-22'!I151</f>
        <v>5299</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575090</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57701</v>
      </c>
      <c r="G64" s="701"/>
    </row>
    <row r="65" spans="1:9" x14ac:dyDescent="0.2">
      <c r="A65" s="705" t="s">
        <v>458</v>
      </c>
      <c r="B65" s="705" t="s">
        <v>1861</v>
      </c>
      <c r="C65" s="721" t="s">
        <v>975</v>
      </c>
      <c r="D65" s="720" t="s">
        <v>1088</v>
      </c>
      <c r="E65" s="704"/>
      <c r="F65" s="1831">
        <f>'Expenditures 15-22'!G210</f>
        <v>83254</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32626</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0</v>
      </c>
      <c r="G71" s="701"/>
    </row>
    <row r="72" spans="1:9" x14ac:dyDescent="0.2">
      <c r="A72" s="705" t="s">
        <v>459</v>
      </c>
      <c r="B72" s="705" t="s">
        <v>1867</v>
      </c>
      <c r="C72" s="721">
        <f>'Expenditures 15-22'!B280</f>
        <v>3000</v>
      </c>
      <c r="D72" s="712" t="s">
        <v>446</v>
      </c>
      <c r="E72" s="704"/>
      <c r="F72" s="1831">
        <f>'Expenditures 15-22'!K280</f>
        <v>722</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2499616</v>
      </c>
      <c r="G77" s="701"/>
    </row>
    <row r="78" spans="1:9" s="728" customFormat="1" ht="12" customHeight="1" thickTop="1" thickBot="1" x14ac:dyDescent="0.25">
      <c r="A78" s="1498"/>
      <c r="B78" s="1496"/>
      <c r="C78" s="1493"/>
      <c r="D78" s="1497" t="s">
        <v>2012</v>
      </c>
      <c r="E78" s="1495"/>
      <c r="F78" s="1837">
        <f>(F14-F77)</f>
        <v>24099842</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1921.1</v>
      </c>
      <c r="G79" s="733"/>
      <c r="H79" s="705"/>
      <c r="I79" s="705"/>
    </row>
    <row r="80" spans="1:9" s="728" customFormat="1" ht="12" customHeight="1" thickBot="1" x14ac:dyDescent="0.25">
      <c r="A80" s="1500"/>
      <c r="B80" s="1496"/>
      <c r="C80" s="1493"/>
      <c r="D80" s="1497" t="s">
        <v>2013</v>
      </c>
      <c r="E80" s="1495" t="s">
        <v>952</v>
      </c>
      <c r="F80" s="1839">
        <f>IF(F79&gt;0,F78/F79," Complete Line 79")</f>
        <v>12544.813908698143</v>
      </c>
      <c r="G80" s="705"/>
    </row>
    <row r="81" spans="1:7" s="728" customFormat="1" ht="8.25" customHeight="1" thickTop="1" x14ac:dyDescent="0.2">
      <c r="A81" s="734"/>
      <c r="B81" s="705"/>
      <c r="C81" s="707"/>
      <c r="D81" s="735"/>
      <c r="E81" s="704"/>
      <c r="F81" s="1840"/>
      <c r="G81" s="705"/>
    </row>
    <row r="82" spans="1:7" s="728" customFormat="1" ht="12" thickBot="1" x14ac:dyDescent="0.25">
      <c r="A82" s="2436" t="s">
        <v>1098</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5874</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234971</v>
      </c>
      <c r="G95" s="745"/>
    </row>
    <row r="96" spans="1:7" x14ac:dyDescent="0.2">
      <c r="A96" s="741" t="s">
        <v>139</v>
      </c>
      <c r="B96" s="741" t="s">
        <v>174</v>
      </c>
      <c r="C96" s="743">
        <v>1700</v>
      </c>
      <c r="D96" s="751" t="str">
        <f>'Revenues 9-14'!A82</f>
        <v>Total District/School Activity Income</v>
      </c>
      <c r="E96" s="739"/>
      <c r="F96" s="1842">
        <f>SUM('Revenues 9-14'!C82,'Revenues 9-14'!D82)</f>
        <v>100137</v>
      </c>
      <c r="G96" s="745"/>
    </row>
    <row r="97" spans="1:7" x14ac:dyDescent="0.2">
      <c r="A97" s="741" t="s">
        <v>456</v>
      </c>
      <c r="B97" s="741" t="s">
        <v>175</v>
      </c>
      <c r="C97" s="743">
        <f>'Revenues 9-14'!B84</f>
        <v>1811</v>
      </c>
      <c r="D97" s="744" t="str">
        <f>'Revenues 9-14'!A84</f>
        <v>Rentals - Regular Textbooks</v>
      </c>
      <c r="E97" s="739"/>
      <c r="F97" s="1842">
        <f>'Revenues 9-14'!C84</f>
        <v>165839</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17278</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13840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1910</v>
      </c>
      <c r="C106" s="746">
        <v>3100</v>
      </c>
      <c r="D106" s="752" t="str">
        <f>'Revenues 9-14'!A132</f>
        <v>Total Special Education</v>
      </c>
      <c r="E106" s="739"/>
      <c r="F106" s="1842">
        <f>SUM('Revenues 9-14'!C132:D132,'Revenues 9-14'!F132)</f>
        <v>451975</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11411</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3884</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11312</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639824</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50000</v>
      </c>
      <c r="G121" s="763"/>
    </row>
    <row r="122" spans="1:7" x14ac:dyDescent="0.2">
      <c r="A122" s="760" t="s">
        <v>497</v>
      </c>
      <c r="B122" s="760" t="s">
        <v>1926</v>
      </c>
      <c r="C122" s="761">
        <f>'Revenues 9-14'!B168</f>
        <v>3999</v>
      </c>
      <c r="D122" s="762" t="s">
        <v>540</v>
      </c>
      <c r="E122" s="764"/>
      <c r="F122" s="184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286277</v>
      </c>
      <c r="G126" s="763"/>
    </row>
    <row r="127" spans="1:7" x14ac:dyDescent="0.2">
      <c r="A127" s="760" t="s">
        <v>663</v>
      </c>
      <c r="B127" s="760" t="s">
        <v>1931</v>
      </c>
      <c r="C127" s="765">
        <v>4300</v>
      </c>
      <c r="D127" s="766" t="str">
        <f>'Revenues 9-14'!A204</f>
        <v>Total Title I</v>
      </c>
      <c r="E127" s="739"/>
      <c r="F127" s="1842">
        <f>SUM('Revenues 9-14'!C204,'Revenues 9-14'!D204,'Revenues 9-14'!F204,'Revenues 9-14'!G204)</f>
        <v>342979</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35270</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458185</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110860</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17580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0</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80388</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39128</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197854</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0</v>
      </c>
      <c r="G172" s="760"/>
    </row>
    <row r="173" spans="1:7" x14ac:dyDescent="0.2">
      <c r="A173" s="1578" t="s">
        <v>659</v>
      </c>
      <c r="B173" s="1579" t="s">
        <v>1885</v>
      </c>
      <c r="C173" s="1580">
        <v>3300</v>
      </c>
      <c r="D173" s="1581" t="s">
        <v>1888</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3274866</v>
      </c>
    </row>
    <row r="176" spans="1:7" ht="12" customHeight="1" x14ac:dyDescent="0.2">
      <c r="A176" s="1491"/>
      <c r="B176" s="1501"/>
      <c r="C176" s="1502"/>
      <c r="D176" s="1503" t="s">
        <v>2014</v>
      </c>
      <c r="E176" s="1504"/>
      <c r="F176" s="1842">
        <f>'PCTC-OEPP 27-28'!F78-F175</f>
        <v>20824976</v>
      </c>
    </row>
    <row r="177" spans="1:9" ht="12" customHeight="1" x14ac:dyDescent="0.2">
      <c r="A177" s="1491"/>
      <c r="B177" s="1501"/>
      <c r="C177" s="1502"/>
      <c r="D177" s="1503" t="s">
        <v>1794</v>
      </c>
      <c r="E177" s="1504"/>
      <c r="F177" s="1842">
        <f>'Cap Outlay Deprec 26'!I18</f>
        <v>637022</v>
      </c>
    </row>
    <row r="178" spans="1:9" ht="12" customHeight="1" x14ac:dyDescent="0.2">
      <c r="A178" s="1491"/>
      <c r="B178" s="1501"/>
      <c r="C178" s="1502"/>
      <c r="D178" s="1503" t="s">
        <v>2015</v>
      </c>
      <c r="E178" s="1504"/>
      <c r="F178" s="1842">
        <f>F176+F177</f>
        <v>21461998</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1921.1</v>
      </c>
      <c r="G179" s="763"/>
      <c r="I179" s="701"/>
    </row>
    <row r="180" spans="1:9" ht="12" customHeight="1" thickBot="1" x14ac:dyDescent="0.25">
      <c r="A180" s="1491"/>
      <c r="B180" s="1505"/>
      <c r="C180" s="1502"/>
      <c r="D180" s="1503" t="s">
        <v>2017</v>
      </c>
      <c r="E180" s="1504" t="s">
        <v>1531</v>
      </c>
      <c r="F180" s="1847">
        <f>F178/F179</f>
        <v>11171.723491749519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topLeftCell="A10" zoomScaleNormal="100" workbookViewId="0">
      <selection activeCell="B17" sqref="B17"/>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1807</v>
      </c>
      <c r="B1" s="1922"/>
      <c r="C1" s="1923"/>
      <c r="D1" s="1923"/>
      <c r="E1" s="1923"/>
      <c r="F1" s="1923"/>
    </row>
    <row r="2" spans="1:6" x14ac:dyDescent="0.25">
      <c r="A2" s="1925"/>
      <c r="B2" s="1926"/>
      <c r="C2" s="1980" t="s">
        <v>2003</v>
      </c>
      <c r="D2" s="1925"/>
      <c r="E2" s="1925"/>
      <c r="F2" s="1925"/>
    </row>
    <row r="3" spans="1:6" ht="5.25" customHeight="1" x14ac:dyDescent="0.25">
      <c r="A3" s="1927"/>
      <c r="B3" s="1928"/>
      <c r="C3" s="1927"/>
      <c r="D3" s="1927"/>
      <c r="E3" s="1927"/>
      <c r="F3" s="1927"/>
    </row>
    <row r="4" spans="1:6" ht="18.75" customHeight="1" x14ac:dyDescent="0.25">
      <c r="A4" s="2450" t="s">
        <v>1795</v>
      </c>
      <c r="B4" s="2451"/>
      <c r="C4" s="2451"/>
      <c r="D4" s="2451"/>
      <c r="E4" s="2451"/>
      <c r="F4" s="2452"/>
    </row>
    <row r="5" spans="1:6" x14ac:dyDescent="0.25">
      <c r="A5" s="2453"/>
      <c r="B5" s="2454"/>
      <c r="C5" s="2454"/>
      <c r="D5" s="2454"/>
      <c r="E5" s="2454"/>
      <c r="F5" s="2455"/>
    </row>
    <row r="6" spans="1:6" ht="18.75" x14ac:dyDescent="0.25">
      <c r="A6" s="1929" t="s">
        <v>1796</v>
      </c>
      <c r="B6" s="1930"/>
      <c r="C6" s="1931"/>
      <c r="D6" s="1931"/>
      <c r="E6" s="1931"/>
      <c r="F6" s="1932"/>
    </row>
    <row r="7" spans="1:6" ht="47.25" customHeight="1" x14ac:dyDescent="0.25">
      <c r="A7" s="2456" t="s">
        <v>1985</v>
      </c>
      <c r="B7" s="2457"/>
      <c r="C7" s="2457"/>
      <c r="D7" s="2457"/>
      <c r="E7" s="2457"/>
      <c r="F7" s="2458"/>
    </row>
    <row r="8" spans="1:6" ht="20.25" customHeight="1" x14ac:dyDescent="0.25">
      <c r="A8" s="1964" t="s">
        <v>1987</v>
      </c>
      <c r="B8" s="1965"/>
      <c r="C8" s="1965"/>
      <c r="D8" s="1965"/>
      <c r="E8" s="1933"/>
      <c r="F8" s="1934"/>
    </row>
    <row r="9" spans="1:6" ht="18" customHeight="1" x14ac:dyDescent="0.25">
      <c r="A9" s="1935" t="s">
        <v>1984</v>
      </c>
      <c r="B9" s="1937"/>
      <c r="C9" s="1937"/>
      <c r="D9" s="1937"/>
      <c r="E9" s="1933"/>
      <c r="F9" s="1934"/>
    </row>
    <row r="10" spans="1:6" ht="15.75" customHeight="1" x14ac:dyDescent="0.25">
      <c r="A10" s="2459" t="s">
        <v>1981</v>
      </c>
      <c r="B10" s="2460"/>
      <c r="C10" s="2460"/>
      <c r="D10" s="2460"/>
      <c r="E10" s="2460"/>
      <c r="F10" s="2461"/>
    </row>
    <row r="11" spans="1:6" ht="33" customHeight="1" x14ac:dyDescent="0.25">
      <c r="A11" s="2456" t="s">
        <v>1986</v>
      </c>
      <c r="B11" s="2457"/>
      <c r="C11" s="2457"/>
      <c r="D11" s="2457"/>
      <c r="E11" s="2457"/>
      <c r="F11" s="2458"/>
    </row>
    <row r="12" spans="1:6" ht="15" customHeight="1" x14ac:dyDescent="0.25">
      <c r="A12" s="1935" t="s">
        <v>1982</v>
      </c>
      <c r="B12" s="1936"/>
      <c r="C12" s="1937"/>
      <c r="D12" s="1937"/>
      <c r="E12" s="1937"/>
      <c r="F12" s="1938"/>
    </row>
    <row r="13" spans="1:6" ht="17.25" customHeight="1" x14ac:dyDescent="0.25">
      <c r="A13" s="2456" t="s">
        <v>1983</v>
      </c>
      <c r="B13" s="2457"/>
      <c r="C13" s="2457"/>
      <c r="D13" s="2457"/>
      <c r="E13" s="2457"/>
      <c r="F13" s="2458"/>
    </row>
    <row r="14" spans="1:6" ht="15" customHeight="1" x14ac:dyDescent="0.25">
      <c r="A14" s="1935" t="s">
        <v>1800</v>
      </c>
      <c r="B14" s="1936"/>
      <c r="C14" s="1937"/>
      <c r="D14" s="1937"/>
      <c r="E14" s="1937"/>
      <c r="F14" s="1938"/>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939" t="s">
        <v>1801</v>
      </c>
      <c r="B16" s="1940" t="s">
        <v>1802</v>
      </c>
      <c r="C16" s="1939" t="s">
        <v>1803</v>
      </c>
      <c r="D16" s="1941" t="s">
        <v>1804</v>
      </c>
      <c r="E16" s="1941" t="s">
        <v>1805</v>
      </c>
      <c r="F16" s="1941" t="s">
        <v>1806</v>
      </c>
    </row>
    <row r="17" spans="1:7" x14ac:dyDescent="0.25">
      <c r="A17" s="1942" t="s">
        <v>1808</v>
      </c>
      <c r="B17" s="1969" t="s">
        <v>1799</v>
      </c>
      <c r="C17" s="1943" t="s">
        <v>1797</v>
      </c>
      <c r="D17" s="1944">
        <v>500000</v>
      </c>
      <c r="E17" s="1944" t="str">
        <f>IF(D17&lt;25000,D17,"25,000")</f>
        <v>25,000</v>
      </c>
      <c r="F17" s="1945">
        <f>IF(D17&gt;=25000,(D17-E17),"0")</f>
        <v>475000</v>
      </c>
    </row>
    <row r="18" spans="1:7" x14ac:dyDescent="0.25">
      <c r="A18" s="2107" t="s">
        <v>2099</v>
      </c>
      <c r="B18" s="1970">
        <v>102560300</v>
      </c>
      <c r="C18" s="2106" t="s">
        <v>2098</v>
      </c>
      <c r="D18" s="1948">
        <v>472824</v>
      </c>
      <c r="E18" s="1968" t="str">
        <f t="shared" ref="E18:E81" si="0">IF(D18&lt;25000,D18,"25,000")</f>
        <v>25,000</v>
      </c>
      <c r="F18" s="1968">
        <f t="shared" ref="F18:F81" si="1">IF(D18&gt;=25000,(D18-E18),"0")</f>
        <v>447824</v>
      </c>
      <c r="G18" s="1949"/>
    </row>
    <row r="19" spans="1:7" x14ac:dyDescent="0.25">
      <c r="A19" s="2107" t="s">
        <v>2101</v>
      </c>
      <c r="B19" s="1970">
        <v>102550300</v>
      </c>
      <c r="C19" s="2106" t="s">
        <v>2100</v>
      </c>
      <c r="D19" s="1948">
        <v>5313</v>
      </c>
      <c r="E19" s="1968">
        <f t="shared" si="0"/>
        <v>5313</v>
      </c>
      <c r="F19" s="1968" t="str">
        <f t="shared" si="1"/>
        <v>0</v>
      </c>
    </row>
    <row r="20" spans="1:7" x14ac:dyDescent="0.25">
      <c r="A20" s="2108" t="s">
        <v>2213</v>
      </c>
      <c r="B20" s="1970">
        <v>102100300</v>
      </c>
      <c r="C20" s="2109" t="s">
        <v>2216</v>
      </c>
      <c r="D20" s="1948">
        <v>47584</v>
      </c>
      <c r="E20" s="1968" t="str">
        <f t="shared" si="0"/>
        <v>25,000</v>
      </c>
      <c r="F20" s="1968">
        <f t="shared" si="1"/>
        <v>22584</v>
      </c>
    </row>
    <row r="21" spans="1:7" x14ac:dyDescent="0.25">
      <c r="A21" s="2108" t="s">
        <v>2214</v>
      </c>
      <c r="B21" s="1970">
        <v>402550300</v>
      </c>
      <c r="C21" s="2109" t="s">
        <v>2215</v>
      </c>
      <c r="D21" s="1948">
        <v>145082</v>
      </c>
      <c r="E21" s="1968" t="str">
        <f t="shared" si="0"/>
        <v>25,000</v>
      </c>
      <c r="F21" s="1968">
        <f t="shared" si="1"/>
        <v>120082</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670803</v>
      </c>
      <c r="E142" s="1955">
        <f>SUM(E18:E141)</f>
        <v>5313</v>
      </c>
      <c r="F142" s="1956">
        <f>SUM(F18:F141)</f>
        <v>590490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2" t="s">
        <v>1663</v>
      </c>
      <c r="B5" s="2463"/>
      <c r="C5" s="2463"/>
      <c r="D5" s="2463"/>
      <c r="E5" s="2463"/>
      <c r="F5" s="2463"/>
      <c r="G5" s="2464"/>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v>471741</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850">
        <v>40655</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16856234</v>
      </c>
      <c r="F19" s="1851"/>
      <c r="G19" s="1853">
        <f>'Expenditures 15-22'!K33-SUM('Expenditures 15-22'!G33,'Expenditures 15-22'!I33)+'Expenditures 15-22'!D229</f>
        <v>16856234</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1190174</v>
      </c>
      <c r="F21" s="1854"/>
      <c r="G21" s="1857">
        <f>'Expenditures 15-22'!K42-SUM('Expenditures 15-22'!G42,'Expenditures 15-22'!I42)+'Expenditures 15-22'!K120-SUM('Expenditures 15-22'!G120,'Expenditures 15-22'!I120)+'Expenditures 15-22'!K180-SUM('Expenditures 15-22'!G180,'Expenditures 15-22'!I180)+'Expenditures 15-22'!D238</f>
        <v>1190174</v>
      </c>
      <c r="H21" s="817"/>
      <c r="I21" s="157"/>
    </row>
    <row r="22" spans="1:9" s="542" customFormat="1" ht="12" customHeight="1" x14ac:dyDescent="0.2">
      <c r="A22" s="824" t="s">
        <v>560</v>
      </c>
      <c r="B22" s="825"/>
      <c r="C22" s="823">
        <v>2200</v>
      </c>
      <c r="D22" s="1854"/>
      <c r="E22" s="1856">
        <f>'Expenditures 15-22'!K47-SUM('Expenditures 15-22'!G47,'Expenditures 15-22'!I47)+'Expenditures 15-22'!D243</f>
        <v>153720</v>
      </c>
      <c r="F22" s="1854"/>
      <c r="G22" s="1857">
        <f>'Expenditures 15-22'!K47-SUM('Expenditures 15-22'!G47,'Expenditures 15-22'!I47)+'Expenditures 15-22'!D243</f>
        <v>153720</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484224</v>
      </c>
      <c r="F23" s="1854"/>
      <c r="G23" s="1856">
        <f>'Expenditures 15-22'!K53-SUM('Expenditures 15-22'!G53,'Expenditures 15-22'!I53)+'Expenditures 15-22'!D257+'Expenditures 15-22'!K330-SUM('Expenditures 15-22'!G330,'Expenditures 15-22'!I330)</f>
        <v>484224</v>
      </c>
      <c r="H23" s="817"/>
      <c r="I23" s="157"/>
    </row>
    <row r="24" spans="1:9" s="542" customFormat="1" ht="12" customHeight="1" x14ac:dyDescent="0.2">
      <c r="A24" s="824" t="s">
        <v>562</v>
      </c>
      <c r="B24" s="825"/>
      <c r="C24" s="823">
        <v>2400</v>
      </c>
      <c r="D24" s="1854"/>
      <c r="E24" s="1856">
        <f>'Expenditures 15-22'!K57-SUM('Expenditures 15-22'!G57,'Expenditures 15-22'!I57)+'Expenditures 15-22'!D261</f>
        <v>1631087</v>
      </c>
      <c r="F24" s="1854"/>
      <c r="G24" s="1857">
        <f>'Expenditures 15-22'!K57-SUM('Expenditures 15-22'!G57,'Expenditures 15-22'!I57)+'Expenditures 15-22'!D261</f>
        <v>1631087</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221310</v>
      </c>
      <c r="E27" s="1856">
        <f>E8</f>
        <v>0</v>
      </c>
      <c r="F27" s="1856">
        <f>'Expenditures 15-22'!K60-SUM('Expenditures 15-22'!G60,'Expenditures 15-22'!I60)+'Expenditures 15-22'!D264-E8</f>
        <v>221310</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2539638</v>
      </c>
      <c r="F28" s="1858">
        <f>'Expenditures 15-22'!K61-SUM('Expenditures 15-22'!G61,'Expenditures 15-22'!I61)+'Expenditures 15-22'!K124-SUM('Expenditures 15-22'!G124,'Expenditures 15-22'!I124)+'Expenditures 15-22'!D266-E9</f>
        <v>2539638</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1417967</v>
      </c>
      <c r="F29" s="1854"/>
      <c r="G29" s="1857">
        <f>'Expenditures 15-22'!K62-SUM('Expenditures 15-22'!G62,'Expenditures 15-22'!I62)+'Expenditures 15-22'!K125-SUM('Expenditures 15-22'!G125,'Expenditures 15-22'!I125)+'Expenditures 15-22'!K182-SUM('Expenditures 15-22'!G182,'Expenditures 15-22'!I182)+'Expenditures 15-22'!D267</f>
        <v>1417967</v>
      </c>
      <c r="H29" s="815"/>
    </row>
    <row r="30" spans="1:9" ht="12" customHeight="1" x14ac:dyDescent="0.2">
      <c r="A30" s="824" t="s">
        <v>100</v>
      </c>
      <c r="B30" s="827"/>
      <c r="C30" s="823">
        <v>2560</v>
      </c>
      <c r="D30" s="1854"/>
      <c r="E30" s="1856">
        <f>'Expenditures 15-22'!K63-SUM('Expenditures 15-22'!G63,'Expenditures 15-22'!I63)+'Expenditures 15-22'!D268-E10</f>
        <v>-40655</v>
      </c>
      <c r="F30" s="1854"/>
      <c r="G30" s="1856">
        <f>'Expenditures 15-22'!K63-SUM('Expenditures 15-22'!G63,'Expenditures 15-22'!I63)+'Expenditures 15-22'!D268-E10</f>
        <v>-40655</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161282</v>
      </c>
      <c r="F35" s="1854"/>
      <c r="G35" s="1856">
        <f>'Expenditures 15-22'!K69-SUM('Expenditures 15-22'!G69,'Expenditures 15-22'!I69)+'Expenditures 15-22'!D274</f>
        <v>161282</v>
      </c>
    </row>
    <row r="36" spans="1:7" ht="12" customHeight="1" x14ac:dyDescent="0.2">
      <c r="A36" s="824" t="s">
        <v>400</v>
      </c>
      <c r="B36" s="827"/>
      <c r="C36" s="823">
        <v>2640</v>
      </c>
      <c r="D36" s="1856">
        <f>'Expenditures 15-22'!K70-SUM('Expenditures 15-22'!G70,'Expenditures 15-22'!I70)+'Expenditures 15-22'!D275-E13</f>
        <v>1737</v>
      </c>
      <c r="E36" s="1856">
        <f>E13</f>
        <v>0</v>
      </c>
      <c r="F36" s="1856">
        <f>'Expenditures 15-22'!K70-SUM('Expenditures 15-22'!G70,'Expenditures 15-22'!I70)+'Expenditures 15-22'!D275-E13</f>
        <v>1737</v>
      </c>
      <c r="G36" s="1856">
        <f>E13</f>
        <v>0</v>
      </c>
    </row>
    <row r="37" spans="1:7" ht="12" customHeight="1" x14ac:dyDescent="0.2">
      <c r="A37" s="824" t="s">
        <v>401</v>
      </c>
      <c r="B37" s="827"/>
      <c r="C37" s="823">
        <v>2660</v>
      </c>
      <c r="D37" s="1856">
        <f>'Expenditures 15-22'!K71-SUM('Expenditures 15-22'!G71,'Expenditures 15-22'!I71)+'Expenditures 15-22'!D276-E14</f>
        <v>54301</v>
      </c>
      <c r="E37" s="1856">
        <f>E14</f>
        <v>0</v>
      </c>
      <c r="F37" s="1856">
        <f>'Expenditures 15-22'!K71-SUM('Expenditures 15-22'!G71,'Expenditures 15-22'!I71)+'Expenditures 15-22'!D276-E14</f>
        <v>54301</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10534</v>
      </c>
      <c r="F39" s="1854"/>
      <c r="G39" s="1856">
        <f>'Expenditures 15-22'!K75-SUM('Expenditures 15-22'!G75,'Expenditures 15-22'!I75)+'Expenditures 15-22'!K130-SUM('Expenditures 15-22'!G130,'Expenditures 15-22'!I130)+'Expenditures 15-22'!K185-SUM('Expenditures 15-22'!G185,'Expenditures 15-22'!I185)+'Expenditures 15-22'!D280</f>
        <v>10534</v>
      </c>
    </row>
    <row r="40" spans="1:7" ht="12" customHeight="1" x14ac:dyDescent="0.2">
      <c r="A40" s="820" t="s">
        <v>1798</v>
      </c>
      <c r="B40" s="821"/>
      <c r="C40" s="823"/>
      <c r="D40" s="1854"/>
      <c r="E40" s="1858">
        <f>-'Contracts Paid in CY 29'!F142</f>
        <v>-590490</v>
      </c>
      <c r="F40" s="1854"/>
      <c r="G40" s="1858">
        <f>-'Contracts Paid in CY 29'!F142</f>
        <v>-590490</v>
      </c>
    </row>
    <row r="41" spans="1:7" ht="12" customHeight="1" x14ac:dyDescent="0.2">
      <c r="A41" s="828" t="s">
        <v>155</v>
      </c>
      <c r="B41" s="829"/>
      <c r="C41" s="830"/>
      <c r="D41" s="1858">
        <f>SUM(D19:D39)</f>
        <v>277348</v>
      </c>
      <c r="E41" s="1858">
        <f>SUM(E19:E40)</f>
        <v>23813715</v>
      </c>
      <c r="F41" s="1858">
        <f>SUM(F19:F39)</f>
        <v>2816986</v>
      </c>
      <c r="G41" s="1858">
        <f>SUM(G19:G40)</f>
        <v>21274077</v>
      </c>
    </row>
    <row r="42" spans="1:7" x14ac:dyDescent="0.2">
      <c r="A42" s="817"/>
      <c r="B42" s="157"/>
      <c r="C42" s="831"/>
      <c r="D42" s="2465" t="s">
        <v>519</v>
      </c>
      <c r="E42" s="2466"/>
      <c r="F42" s="832" t="s">
        <v>520</v>
      </c>
      <c r="G42" s="833"/>
    </row>
    <row r="43" spans="1:7" ht="12" customHeight="1" x14ac:dyDescent="0.2">
      <c r="A43" s="817"/>
      <c r="B43" s="157"/>
      <c r="C43" s="831"/>
      <c r="D43" s="1506" t="s">
        <v>470</v>
      </c>
      <c r="E43" s="1859">
        <f>D41</f>
        <v>277348</v>
      </c>
      <c r="F43" s="1506" t="s">
        <v>470</v>
      </c>
      <c r="G43" s="1859">
        <f>F41</f>
        <v>2816986</v>
      </c>
    </row>
    <row r="44" spans="1:7" ht="12" customHeight="1" x14ac:dyDescent="0.2">
      <c r="A44" s="817"/>
      <c r="B44" s="157"/>
      <c r="C44" s="831"/>
      <c r="D44" s="1506" t="s">
        <v>471</v>
      </c>
      <c r="E44" s="1859">
        <f>E41</f>
        <v>23813715</v>
      </c>
      <c r="F44" s="1506" t="s">
        <v>471</v>
      </c>
      <c r="G44" s="1859">
        <f>G41</f>
        <v>21274077</v>
      </c>
    </row>
    <row r="45" spans="1:7" ht="12" customHeight="1" x14ac:dyDescent="0.2">
      <c r="A45" s="817"/>
      <c r="B45" s="157"/>
      <c r="C45" s="157"/>
      <c r="D45" s="1507" t="s">
        <v>999</v>
      </c>
      <c r="E45" s="1860">
        <f>(E43/E44)</f>
        <v>1.1646565855012543E-2</v>
      </c>
      <c r="F45" s="1507" t="s">
        <v>999</v>
      </c>
      <c r="G45" s="1860">
        <f>(G43/G44)</f>
        <v>0.13241401730378244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F13" sqref="F13"/>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84" t="s">
        <v>1365</v>
      </c>
      <c r="B1" s="2484"/>
      <c r="C1" s="2484"/>
      <c r="D1" s="2484"/>
      <c r="E1" s="2484"/>
      <c r="F1" s="2484"/>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85" t="s">
        <v>1532</v>
      </c>
      <c r="B5" s="2486"/>
      <c r="C5" s="2487"/>
      <c r="D5" s="2487"/>
      <c r="E5" s="2487"/>
      <c r="F5" s="2487"/>
      <c r="G5" s="1555"/>
      <c r="L5" s="1555"/>
      <c r="M5" s="1912"/>
      <c r="N5" s="1912"/>
      <c r="O5" s="1912"/>
    </row>
    <row r="6" spans="1:15" ht="12" customHeight="1" x14ac:dyDescent="0.25">
      <c r="A6" s="1528"/>
      <c r="B6" s="1529"/>
      <c r="C6" s="2488" t="str">
        <f>COVER!A17</f>
        <v xml:space="preserve">  Sandwich CUSD 430</v>
      </c>
      <c r="D6" s="2488"/>
      <c r="E6" s="2488"/>
      <c r="F6" s="1530"/>
      <c r="G6" s="1555"/>
      <c r="L6" s="1555"/>
      <c r="M6" s="1912"/>
      <c r="N6" s="1912"/>
      <c r="O6" s="1912"/>
    </row>
    <row r="7" spans="1:15" ht="11.25" customHeight="1" thickBot="1" x14ac:dyDescent="0.3">
      <c r="A7" s="1528"/>
      <c r="B7" s="1529"/>
      <c r="C7" s="2489">
        <f>COVER!A13</f>
        <v>16019430026</v>
      </c>
      <c r="D7" s="2489"/>
      <c r="E7" s="2489"/>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t="s">
        <v>2043</v>
      </c>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t="s">
        <v>2043</v>
      </c>
      <c r="D15" s="1543" t="s">
        <v>2043</v>
      </c>
      <c r="E15" s="1546"/>
      <c r="F15" s="1545" t="s">
        <v>2044</v>
      </c>
      <c r="G15" s="1555"/>
      <c r="H15" s="1555">
        <f t="shared" si="0"/>
        <v>5</v>
      </c>
      <c r="I15" s="1555">
        <f t="shared" si="1"/>
        <v>5</v>
      </c>
      <c r="J15" s="1555">
        <f t="shared" si="2"/>
        <v>0</v>
      </c>
      <c r="L15" s="1555"/>
      <c r="M15" s="1912"/>
      <c r="N15" s="1912"/>
      <c r="O15" s="1912"/>
    </row>
    <row r="16" spans="1:15" ht="12" customHeight="1" x14ac:dyDescent="0.2">
      <c r="A16" s="1541" t="s">
        <v>1374</v>
      </c>
      <c r="B16" s="1542"/>
      <c r="C16" s="1543" t="s">
        <v>2043</v>
      </c>
      <c r="D16" s="1543" t="s">
        <v>2043</v>
      </c>
      <c r="E16" s="1546"/>
      <c r="F16" s="1545" t="s">
        <v>2045</v>
      </c>
      <c r="G16" s="1555"/>
      <c r="H16" s="1555">
        <f t="shared" si="0"/>
        <v>5</v>
      </c>
      <c r="I16" s="1555">
        <f t="shared" si="1"/>
        <v>5</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t="s">
        <v>2043</v>
      </c>
      <c r="D23" s="1543" t="s">
        <v>2043</v>
      </c>
      <c r="E23" s="1546"/>
      <c r="F23" s="1545" t="s">
        <v>2046</v>
      </c>
      <c r="G23" s="1555"/>
      <c r="H23" s="1555">
        <f t="shared" si="0"/>
        <v>5</v>
      </c>
      <c r="I23" s="1555">
        <f t="shared" si="1"/>
        <v>5</v>
      </c>
      <c r="J23" s="1555">
        <f t="shared" si="2"/>
        <v>0</v>
      </c>
      <c r="L23" s="1555"/>
      <c r="M23" s="1912"/>
      <c r="N23" s="1912"/>
      <c r="O23" s="1912"/>
    </row>
    <row r="24" spans="1:15" ht="12" customHeight="1" x14ac:dyDescent="0.2">
      <c r="A24" s="1541" t="s">
        <v>1518</v>
      </c>
      <c r="B24" s="1542"/>
      <c r="C24" s="1543" t="s">
        <v>2043</v>
      </c>
      <c r="D24" s="1543" t="s">
        <v>2043</v>
      </c>
      <c r="E24" s="1546"/>
      <c r="F24" s="1545" t="s">
        <v>2047</v>
      </c>
      <c r="G24" s="1555"/>
      <c r="H24" s="1555">
        <f t="shared" si="0"/>
        <v>5</v>
      </c>
      <c r="I24" s="1555">
        <f t="shared" si="1"/>
        <v>5</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2043</v>
      </c>
      <c r="D26" s="1543" t="s">
        <v>2043</v>
      </c>
      <c r="E26" s="1546"/>
      <c r="F26" s="1545" t="s">
        <v>2048</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t="s">
        <v>2043</v>
      </c>
      <c r="D31" s="1543" t="s">
        <v>2043</v>
      </c>
      <c r="E31" s="1546"/>
      <c r="F31" s="1545" t="s">
        <v>2049</v>
      </c>
      <c r="G31" s="1555"/>
      <c r="H31" s="1555">
        <f t="shared" si="0"/>
        <v>5</v>
      </c>
      <c r="I31" s="1555">
        <f t="shared" si="1"/>
        <v>5</v>
      </c>
      <c r="J31" s="1555">
        <f t="shared" si="2"/>
        <v>0</v>
      </c>
      <c r="L31" s="1913"/>
      <c r="M31" s="1912"/>
      <c r="N31" s="1912"/>
      <c r="O31" s="1912"/>
    </row>
    <row r="32" spans="1:15" ht="12" customHeight="1" x14ac:dyDescent="0.2">
      <c r="A32" s="1541" t="s">
        <v>1526</v>
      </c>
      <c r="B32" s="1542"/>
      <c r="C32" s="1543" t="s">
        <v>2043</v>
      </c>
      <c r="D32" s="1543" t="s">
        <v>2043</v>
      </c>
      <c r="E32" s="1546"/>
      <c r="F32" s="1545" t="s">
        <v>2050</v>
      </c>
      <c r="G32" s="1555"/>
      <c r="H32" s="1555">
        <f t="shared" si="0"/>
        <v>5</v>
      </c>
      <c r="I32" s="1555">
        <f t="shared" si="1"/>
        <v>5</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35</v>
      </c>
      <c r="I34" s="1555">
        <f>SUM(I11:I32)</f>
        <v>35</v>
      </c>
      <c r="J34" s="1555">
        <f>SUM(J11:J32)</f>
        <v>0</v>
      </c>
      <c r="K34" s="1555">
        <f>SUM(H34:J34)</f>
        <v>70</v>
      </c>
      <c r="L34" s="1555"/>
      <c r="M34" s="1912"/>
      <c r="N34" s="1912"/>
      <c r="O34" s="1912"/>
    </row>
    <row r="35" spans="1:15" ht="12" customHeight="1" x14ac:dyDescent="0.2">
      <c r="A35" s="1548" t="s">
        <v>1378</v>
      </c>
      <c r="B35" s="1549"/>
      <c r="C35" s="2490"/>
      <c r="D35" s="2490"/>
      <c r="E35" s="2490"/>
      <c r="F35" s="2491"/>
    </row>
    <row r="36" spans="1:15" ht="12" customHeight="1" x14ac:dyDescent="0.2">
      <c r="A36" s="2473"/>
      <c r="B36" s="2474"/>
      <c r="C36" s="2474"/>
      <c r="D36" s="2474"/>
      <c r="E36" s="2474"/>
      <c r="F36" s="2475"/>
    </row>
    <row r="37" spans="1:15" ht="12" customHeight="1" x14ac:dyDescent="0.2">
      <c r="A37" s="2473"/>
      <c r="B37" s="2474"/>
      <c r="C37" s="2474"/>
      <c r="D37" s="2474"/>
      <c r="E37" s="2474"/>
      <c r="F37" s="2475"/>
    </row>
    <row r="38" spans="1:15" ht="12" customHeight="1" x14ac:dyDescent="0.2">
      <c r="A38" s="2476"/>
      <c r="B38" s="2477"/>
      <c r="C38" s="2477"/>
      <c r="D38" s="2477"/>
      <c r="E38" s="2477"/>
      <c r="F38" s="2478"/>
    </row>
    <row r="39" spans="1:15" ht="4.5" hidden="1" customHeight="1" x14ac:dyDescent="0.2">
      <c r="A39" s="1550"/>
      <c r="B39" s="1550"/>
      <c r="C39" s="1550"/>
      <c r="D39" s="1550"/>
      <c r="E39" s="1550"/>
      <c r="F39" s="1550"/>
    </row>
    <row r="40" spans="1:15" s="1547" customFormat="1" ht="12" customHeight="1" x14ac:dyDescent="0.25">
      <c r="A40" s="1551" t="s">
        <v>1377</v>
      </c>
      <c r="B40" s="1552"/>
      <c r="C40" s="2479"/>
      <c r="D40" s="2479"/>
      <c r="E40" s="2479"/>
      <c r="F40" s="2480"/>
      <c r="H40" s="1556"/>
      <c r="I40" s="1556"/>
      <c r="J40" s="1556"/>
      <c r="K40" s="1556"/>
    </row>
    <row r="41" spans="1:15" s="1547" customFormat="1" ht="12" customHeight="1" x14ac:dyDescent="0.25">
      <c r="A41" s="2481"/>
      <c r="B41" s="2482"/>
      <c r="C41" s="2482"/>
      <c r="D41" s="2482"/>
      <c r="E41" s="2482"/>
      <c r="F41" s="2483"/>
      <c r="H41" s="1556"/>
      <c r="I41" s="1556"/>
      <c r="J41" s="1556"/>
      <c r="K41" s="1556"/>
    </row>
    <row r="42" spans="1:15" s="1547" customFormat="1" ht="12" customHeight="1" x14ac:dyDescent="0.25">
      <c r="A42" s="2481"/>
      <c r="B42" s="2482"/>
      <c r="C42" s="2482"/>
      <c r="D42" s="2482"/>
      <c r="E42" s="2482"/>
      <c r="F42" s="2483"/>
      <c r="H42" s="1556"/>
      <c r="I42" s="1556"/>
      <c r="J42" s="1556"/>
      <c r="K42" s="1556"/>
    </row>
    <row r="43" spans="1:15" s="1547" customFormat="1" ht="15" x14ac:dyDescent="0.25">
      <c r="A43" s="2470"/>
      <c r="B43" s="2471"/>
      <c r="C43" s="2471"/>
      <c r="D43" s="2471"/>
      <c r="E43" s="2471"/>
      <c r="F43" s="2472"/>
      <c r="H43" s="1556"/>
      <c r="I43" s="1556"/>
      <c r="J43" s="1556"/>
      <c r="K43" s="1556"/>
    </row>
    <row r="44" spans="1:15" s="1547" customFormat="1" ht="12" hidden="1" customHeight="1" x14ac:dyDescent="0.25">
      <c r="A44" s="2470"/>
      <c r="B44" s="2471"/>
      <c r="C44" s="2471"/>
      <c r="D44" s="2471"/>
      <c r="E44" s="2471"/>
      <c r="F44" s="2472"/>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0EBE6-A1B6-4A91-A8D8-2D456450378B}">
  <sheetPr>
    <tabColor rgb="FF92D050"/>
    <pageSetUpPr fitToPage="1"/>
  </sheetPr>
  <dimension ref="A1:N72"/>
  <sheetViews>
    <sheetView showGridLines="0" topLeftCell="A55"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7" t="s">
        <v>2002</v>
      </c>
      <c r="H2" s="1996"/>
      <c r="I2" s="899"/>
      <c r="J2" s="899"/>
      <c r="K2" s="899"/>
      <c r="L2" s="899"/>
      <c r="M2" s="899"/>
      <c r="N2" s="1997"/>
    </row>
    <row r="3" spans="1:14" x14ac:dyDescent="0.25">
      <c r="A3" s="1995"/>
      <c r="B3" s="899"/>
      <c r="C3" s="899"/>
      <c r="D3" s="899"/>
      <c r="E3" s="899"/>
      <c r="F3" s="899"/>
      <c r="G3" s="1987" t="s">
        <v>403</v>
      </c>
      <c r="H3" s="899"/>
      <c r="I3" s="899"/>
      <c r="J3" s="899"/>
      <c r="K3" s="899"/>
      <c r="L3" s="899"/>
      <c r="M3" s="899"/>
      <c r="N3" s="1997"/>
    </row>
    <row r="4" spans="1:14" x14ac:dyDescent="0.25">
      <c r="A4" s="1995"/>
      <c r="B4" s="899"/>
      <c r="C4" s="899"/>
      <c r="D4" s="899"/>
      <c r="E4" s="899"/>
      <c r="F4" s="899"/>
      <c r="G4" s="1987" t="s">
        <v>863</v>
      </c>
      <c r="H4" s="899"/>
      <c r="I4" s="899"/>
      <c r="J4" s="899"/>
      <c r="K4" s="899"/>
      <c r="L4" s="899"/>
      <c r="M4" s="899"/>
      <c r="N4" s="1997"/>
    </row>
    <row r="5" spans="1:14" x14ac:dyDescent="0.25">
      <c r="A5" s="1995"/>
      <c r="B5" s="899"/>
      <c r="C5" s="899"/>
      <c r="D5" s="899"/>
      <c r="E5" s="899"/>
      <c r="F5" s="1987"/>
      <c r="G5" s="1987"/>
      <c r="H5" s="899"/>
      <c r="I5" s="899"/>
      <c r="J5" s="899"/>
      <c r="K5" s="899"/>
      <c r="L5" s="899"/>
      <c r="M5" s="899"/>
      <c r="N5" s="1997"/>
    </row>
    <row r="6" spans="1:14" x14ac:dyDescent="0.25">
      <c r="A6" s="1998" t="s">
        <v>667</v>
      </c>
      <c r="B6" s="1421"/>
      <c r="C6" s="1421"/>
      <c r="D6" s="1421"/>
      <c r="E6" s="1422"/>
      <c r="F6" s="1999"/>
      <c r="G6" s="1987"/>
      <c r="H6" s="899"/>
      <c r="I6" s="2000" t="s">
        <v>1021</v>
      </c>
      <c r="J6" s="2534" t="str">
        <f>COVER!A17</f>
        <v xml:space="preserve">  Sandwich CUSD 430</v>
      </c>
      <c r="K6" s="2534"/>
      <c r="L6" s="2535"/>
      <c r="M6" s="899"/>
      <c r="N6" s="1997"/>
    </row>
    <row r="7" spans="1:14" x14ac:dyDescent="0.25">
      <c r="A7" s="2536" t="s">
        <v>864</v>
      </c>
      <c r="B7" s="2537"/>
      <c r="C7" s="2537"/>
      <c r="D7" s="2537"/>
      <c r="E7" s="2538"/>
      <c r="F7" s="2001"/>
      <c r="G7" s="899"/>
      <c r="H7" s="899"/>
      <c r="I7" s="2000" t="s">
        <v>369</v>
      </c>
      <c r="J7" s="2539">
        <f>COVER!A13</f>
        <v>16019430026</v>
      </c>
      <c r="K7" s="2539"/>
      <c r="L7" s="253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2051</v>
      </c>
      <c r="F9" s="2011"/>
      <c r="G9" s="2011"/>
      <c r="H9" s="2011"/>
      <c r="I9" s="2012" t="s">
        <v>2052</v>
      </c>
      <c r="J9" s="2011"/>
      <c r="K9" s="2011"/>
      <c r="L9" s="2013"/>
      <c r="M9" s="899"/>
      <c r="N9" s="1997"/>
    </row>
    <row r="10" spans="1:14" x14ac:dyDescent="0.25">
      <c r="A10" s="1995"/>
      <c r="B10" s="899"/>
      <c r="C10" s="1987"/>
      <c r="D10" s="2014"/>
      <c r="E10" s="2015" t="s">
        <v>422</v>
      </c>
      <c r="F10" s="2016" t="s">
        <v>423</v>
      </c>
      <c r="G10" s="2017" t="s">
        <v>429</v>
      </c>
      <c r="H10" s="2018"/>
      <c r="I10" s="2016" t="s">
        <v>422</v>
      </c>
      <c r="J10" s="2016" t="s">
        <v>423</v>
      </c>
      <c r="K10" s="2017" t="s">
        <v>429</v>
      </c>
      <c r="L10" s="2016"/>
      <c r="M10" s="899"/>
      <c r="N10" s="1997"/>
    </row>
    <row r="11" spans="1:14" ht="51" x14ac:dyDescent="0.25">
      <c r="A11" s="2540" t="s">
        <v>478</v>
      </c>
      <c r="B11" s="2541"/>
      <c r="C11" s="2542"/>
      <c r="D11" s="2019" t="s">
        <v>866</v>
      </c>
      <c r="E11" s="2019" t="s">
        <v>64</v>
      </c>
      <c r="F11" s="2019" t="s">
        <v>6</v>
      </c>
      <c r="G11" s="2020" t="s">
        <v>2053</v>
      </c>
      <c r="H11" s="2021" t="s">
        <v>155</v>
      </c>
      <c r="I11" s="2019" t="s">
        <v>64</v>
      </c>
      <c r="J11" s="2019" t="s">
        <v>6</v>
      </c>
      <c r="K11" s="2020" t="s">
        <v>2001</v>
      </c>
      <c r="L11" s="2021" t="s">
        <v>155</v>
      </c>
      <c r="M11" s="899"/>
      <c r="N11" s="1997"/>
    </row>
    <row r="12" spans="1:14" x14ac:dyDescent="0.25">
      <c r="A12" s="2022">
        <v>1</v>
      </c>
      <c r="B12" s="2023" t="s">
        <v>813</v>
      </c>
      <c r="C12" s="2024"/>
      <c r="D12" s="2025">
        <v>2320</v>
      </c>
      <c r="E12" s="2026">
        <f>'Expenditures 15-22'!K50</f>
        <v>214634</v>
      </c>
      <c r="F12" s="2027"/>
      <c r="G12" s="2028">
        <f>G68</f>
        <v>0</v>
      </c>
      <c r="H12" s="2029">
        <f t="shared" ref="H12:H18" si="0">SUM(E12:G12)</f>
        <v>214634</v>
      </c>
      <c r="I12" s="2030">
        <v>206789</v>
      </c>
      <c r="J12" s="2027"/>
      <c r="K12" s="2030"/>
      <c r="L12" s="2029">
        <f t="shared" ref="L12:L18" si="1">SUM(I12:K12)</f>
        <v>206789</v>
      </c>
      <c r="M12" s="899"/>
      <c r="N12" s="1997"/>
    </row>
    <row r="13" spans="1:14" x14ac:dyDescent="0.25">
      <c r="A13" s="2022">
        <v>2</v>
      </c>
      <c r="B13" s="2023" t="s">
        <v>42</v>
      </c>
      <c r="C13" s="2024"/>
      <c r="D13" s="2025">
        <v>2330</v>
      </c>
      <c r="E13" s="2026">
        <f>'Expenditures 15-22'!K51</f>
        <v>39984</v>
      </c>
      <c r="F13" s="2027"/>
      <c r="G13" s="2028">
        <f>H68</f>
        <v>0</v>
      </c>
      <c r="H13" s="2029">
        <f t="shared" si="0"/>
        <v>39984</v>
      </c>
      <c r="I13" s="2030">
        <v>31250</v>
      </c>
      <c r="J13" s="2027"/>
      <c r="K13" s="2030"/>
      <c r="L13" s="2029">
        <f t="shared" si="1"/>
        <v>31250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43" t="s">
        <v>7</v>
      </c>
      <c r="C18" s="2543"/>
      <c r="D18" s="2544"/>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254618</v>
      </c>
      <c r="F19" s="2035">
        <f t="shared" si="2"/>
        <v>0</v>
      </c>
      <c r="G19" s="2035">
        <f t="shared" ref="G19" si="3">SUM(G12:G17)-G18</f>
        <v>0</v>
      </c>
      <c r="H19" s="2035">
        <f t="shared" si="2"/>
        <v>254618</v>
      </c>
      <c r="I19" s="2035">
        <f t="shared" si="2"/>
        <v>238039</v>
      </c>
      <c r="J19" s="2035">
        <f t="shared" si="2"/>
        <v>0</v>
      </c>
      <c r="K19" s="2035">
        <f t="shared" si="2"/>
        <v>0</v>
      </c>
      <c r="L19" s="2035">
        <f t="shared" si="2"/>
        <v>238039</v>
      </c>
      <c r="M19" s="899"/>
      <c r="N19" s="1997"/>
    </row>
    <row r="20" spans="1:14" ht="15.75" thickTop="1" x14ac:dyDescent="0.25">
      <c r="A20" s="2022">
        <v>9</v>
      </c>
      <c r="B20" s="2532" t="s">
        <v>2054</v>
      </c>
      <c r="C20" s="2532"/>
      <c r="D20" s="2533"/>
      <c r="E20" s="2036"/>
      <c r="F20" s="2036"/>
      <c r="G20" s="2036"/>
      <c r="H20" s="2036"/>
      <c r="I20" s="2036"/>
      <c r="J20" s="2036"/>
      <c r="K20" s="2036"/>
      <c r="L20" s="2037">
        <f>IF(AND(H19&gt;0,L19&gt;0),(((L19-H19)/H19)),"Enter Budget Data")</f>
        <v>-6.5113228444179119E-2</v>
      </c>
      <c r="M20" s="899"/>
      <c r="N20" s="1997"/>
    </row>
    <row r="21" spans="1:14" x14ac:dyDescent="0.25">
      <c r="A21" s="2038" t="s">
        <v>194</v>
      </c>
      <c r="B21" s="294" t="s">
        <v>2055</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2056</v>
      </c>
      <c r="B24" s="2046"/>
      <c r="C24" s="2047"/>
      <c r="D24" s="2047"/>
      <c r="E24" s="2047"/>
      <c r="F24" s="2047"/>
      <c r="G24" s="2047"/>
      <c r="H24" s="2047"/>
      <c r="I24" s="2047"/>
      <c r="J24" s="2047"/>
      <c r="K24" s="2047"/>
      <c r="L24" s="899"/>
      <c r="M24" s="899"/>
      <c r="N24" s="1997"/>
    </row>
    <row r="25" spans="1:14" x14ac:dyDescent="0.25">
      <c r="A25" s="2045" t="s">
        <v>2057</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18"/>
      <c r="D27" s="2518"/>
      <c r="E27" s="2049"/>
      <c r="F27" s="2519"/>
      <c r="G27" s="2519"/>
      <c r="H27" s="2519"/>
      <c r="I27" s="899"/>
      <c r="J27" s="899"/>
      <c r="K27" s="899"/>
      <c r="L27" s="899"/>
      <c r="M27" s="899"/>
      <c r="N27" s="1997"/>
    </row>
    <row r="28" spans="1:14" x14ac:dyDescent="0.25">
      <c r="A28" s="1995"/>
      <c r="B28" s="2043"/>
      <c r="C28" s="2050" t="s">
        <v>1026</v>
      </c>
      <c r="D28" s="2051"/>
      <c r="E28" s="2052"/>
      <c r="F28" s="2520" t="s">
        <v>1495</v>
      </c>
      <c r="G28" s="2520"/>
      <c r="H28" s="2520"/>
      <c r="I28" s="899"/>
      <c r="J28" s="899"/>
      <c r="K28" s="899"/>
      <c r="L28" s="899"/>
      <c r="M28" s="899"/>
      <c r="N28" s="1997"/>
    </row>
    <row r="29" spans="1:14" x14ac:dyDescent="0.25">
      <c r="A29" s="1995"/>
      <c r="B29" s="2043"/>
      <c r="C29" s="2521"/>
      <c r="D29" s="2521"/>
      <c r="E29" s="898"/>
      <c r="F29" s="2521"/>
      <c r="G29" s="2521"/>
      <c r="H29" s="2521"/>
      <c r="I29" s="899"/>
      <c r="J29" s="899"/>
      <c r="K29" s="899"/>
      <c r="L29" s="899"/>
      <c r="M29" s="899"/>
      <c r="N29" s="1997"/>
    </row>
    <row r="30" spans="1:14" x14ac:dyDescent="0.25">
      <c r="A30" s="1995"/>
      <c r="B30" s="2043"/>
      <c r="C30" s="2053" t="s">
        <v>1547</v>
      </c>
      <c r="D30" s="899"/>
      <c r="E30" s="2054"/>
      <c r="F30" s="2522" t="s">
        <v>1496</v>
      </c>
      <c r="G30" s="2522"/>
      <c r="H30" s="252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23" t="s">
        <v>2058</v>
      </c>
      <c r="D34" s="2523"/>
      <c r="E34" s="2523"/>
      <c r="F34" s="2523"/>
      <c r="G34" s="2523"/>
      <c r="H34" s="2523"/>
      <c r="I34" s="2523"/>
      <c r="J34" s="2523"/>
      <c r="K34" s="2059"/>
      <c r="L34" s="899"/>
      <c r="M34" s="899"/>
      <c r="N34" s="1997"/>
    </row>
    <row r="35" spans="1:14" x14ac:dyDescent="0.25">
      <c r="A35" s="1995"/>
      <c r="B35" s="899"/>
      <c r="C35" s="2523"/>
      <c r="D35" s="2523"/>
      <c r="E35" s="2523"/>
      <c r="F35" s="2523"/>
      <c r="G35" s="2523"/>
      <c r="H35" s="2523"/>
      <c r="I35" s="2523"/>
      <c r="J35" s="252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23" t="s">
        <v>2059</v>
      </c>
      <c r="D37" s="2523"/>
      <c r="E37" s="2523"/>
      <c r="F37" s="2523"/>
      <c r="G37" s="2523"/>
      <c r="H37" s="2523"/>
      <c r="I37" s="2523"/>
      <c r="J37" s="2523"/>
      <c r="K37" s="2059"/>
      <c r="L37" s="887"/>
      <c r="M37" s="899"/>
      <c r="N37" s="1997"/>
    </row>
    <row r="38" spans="1:14" x14ac:dyDescent="0.25">
      <c r="A38" s="1995"/>
      <c r="B38" s="899"/>
      <c r="C38" s="2523"/>
      <c r="D38" s="2523"/>
      <c r="E38" s="2523"/>
      <c r="F38" s="2523"/>
      <c r="G38" s="2523"/>
      <c r="H38" s="2523"/>
      <c r="I38" s="2523"/>
      <c r="J38" s="252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24" t="s">
        <v>2060</v>
      </c>
      <c r="D40" s="2525"/>
      <c r="E40" s="2525"/>
      <c r="F40" s="2525"/>
      <c r="G40" s="2525"/>
      <c r="H40" s="2525"/>
      <c r="I40" s="2525"/>
      <c r="J40" s="252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26" t="s">
        <v>2061</v>
      </c>
      <c r="B43" s="2527"/>
      <c r="C43" s="2527"/>
      <c r="D43" s="2527"/>
      <c r="E43" s="2527"/>
      <c r="F43" s="2527"/>
      <c r="G43" s="2527"/>
      <c r="H43" s="2527"/>
      <c r="I43" s="2527"/>
      <c r="J43" s="2527"/>
      <c r="K43" s="2527"/>
      <c r="L43" s="2527"/>
      <c r="M43" s="2527"/>
      <c r="N43" s="252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2062</v>
      </c>
      <c r="B45" s="2068"/>
      <c r="C45" s="2068"/>
      <c r="D45" s="2068"/>
      <c r="E45" s="2068"/>
      <c r="F45" s="2068"/>
      <c r="G45" s="2068"/>
      <c r="H45" s="2068"/>
      <c r="I45" s="2068"/>
      <c r="J45" s="2068"/>
      <c r="K45" s="2068"/>
      <c r="L45" s="2068"/>
      <c r="M45" s="2068"/>
      <c r="N45" s="2069"/>
    </row>
    <row r="46" spans="1:14" x14ac:dyDescent="0.25">
      <c r="A46" s="2529" t="s">
        <v>2063</v>
      </c>
      <c r="B46" s="2530"/>
      <c r="C46" s="2530"/>
      <c r="D46" s="2530"/>
      <c r="E46" s="2530"/>
      <c r="F46" s="2530"/>
      <c r="G46" s="2530"/>
      <c r="H46" s="2530"/>
      <c r="I46" s="2530"/>
      <c r="J46" s="2530"/>
      <c r="K46" s="2530"/>
      <c r="L46" s="2530"/>
      <c r="M46" s="2530"/>
      <c r="N46" s="2531"/>
    </row>
    <row r="47" spans="1:14" x14ac:dyDescent="0.25">
      <c r="A47" s="2529"/>
      <c r="B47" s="2530"/>
      <c r="C47" s="2530"/>
      <c r="D47" s="2530"/>
      <c r="E47" s="2530"/>
      <c r="F47" s="2530"/>
      <c r="G47" s="2530"/>
      <c r="H47" s="2530"/>
      <c r="I47" s="2530"/>
      <c r="J47" s="2530"/>
      <c r="K47" s="2530"/>
      <c r="L47" s="2530"/>
      <c r="M47" s="2530"/>
      <c r="N47" s="253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2064</v>
      </c>
      <c r="B49" s="2074"/>
      <c r="C49" s="2074"/>
      <c r="D49" s="2075"/>
      <c r="E49" s="2075"/>
      <c r="F49" s="2075"/>
      <c r="G49" s="2075"/>
      <c r="H49" s="2075"/>
      <c r="I49" s="2075"/>
      <c r="J49" s="2075"/>
      <c r="K49" s="2075"/>
      <c r="L49" s="2075"/>
      <c r="M49" s="2075"/>
      <c r="N49" s="2076"/>
    </row>
    <row r="50" spans="1:14" x14ac:dyDescent="0.25">
      <c r="A50" s="2073" t="s">
        <v>2065</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16" t="str">
        <f>J6</f>
        <v xml:space="preserve">  Sandwich CUSD 430</v>
      </c>
      <c r="M52" s="2516"/>
      <c r="N52" s="2517"/>
    </row>
    <row r="53" spans="1:14" x14ac:dyDescent="0.25">
      <c r="A53" s="2067"/>
      <c r="B53" s="2068"/>
      <c r="C53" s="2068"/>
      <c r="D53" s="2068"/>
      <c r="E53" s="2068"/>
      <c r="F53" s="2068"/>
      <c r="G53" s="2068"/>
      <c r="H53" s="2068"/>
      <c r="I53" s="2068"/>
      <c r="J53" s="2068"/>
      <c r="K53" s="2000" t="s">
        <v>369</v>
      </c>
      <c r="L53" s="2503">
        <f>J7</f>
        <v>16019430026</v>
      </c>
      <c r="M53" s="2503"/>
      <c r="N53" s="2504"/>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05"/>
      <c r="B55" s="2506"/>
      <c r="C55" s="2506"/>
      <c r="D55" s="2077"/>
      <c r="E55" s="2077"/>
      <c r="F55" s="2077"/>
      <c r="G55" s="2507" t="s">
        <v>2066</v>
      </c>
      <c r="H55" s="2507"/>
      <c r="I55" s="2507"/>
      <c r="J55" s="2507"/>
      <c r="K55" s="2507"/>
      <c r="L55" s="2507"/>
      <c r="M55" s="2507"/>
      <c r="N55" s="2508"/>
    </row>
    <row r="56" spans="1:14" ht="64.5" x14ac:dyDescent="0.25">
      <c r="A56" s="2509" t="s">
        <v>2067</v>
      </c>
      <c r="B56" s="2510"/>
      <c r="C56" s="2511"/>
      <c r="D56" s="2078" t="s">
        <v>2068</v>
      </c>
      <c r="E56" s="2078" t="s">
        <v>2069</v>
      </c>
      <c r="F56" s="2079"/>
      <c r="G56" s="2078" t="s">
        <v>2070</v>
      </c>
      <c r="H56" s="2078" t="s">
        <v>2071</v>
      </c>
      <c r="I56" s="2078" t="s">
        <v>2072</v>
      </c>
      <c r="J56" s="2078" t="s">
        <v>2073</v>
      </c>
      <c r="K56" s="2078" t="s">
        <v>2074</v>
      </c>
      <c r="L56" s="2078" t="s">
        <v>2075</v>
      </c>
      <c r="M56" s="2078" t="s">
        <v>2076</v>
      </c>
      <c r="N56" s="2080" t="s">
        <v>2077</v>
      </c>
    </row>
    <row r="57" spans="1:14" ht="24" customHeight="1" x14ac:dyDescent="0.25">
      <c r="A57" s="2512" t="s">
        <v>296</v>
      </c>
      <c r="B57" s="2513"/>
      <c r="C57" s="2513"/>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14" t="s">
        <v>2078</v>
      </c>
      <c r="B58" s="2515"/>
      <c r="C58" s="2515"/>
      <c r="D58" s="2087">
        <v>2362</v>
      </c>
      <c r="E58" s="2088">
        <f>'Expenditures 15-22'!K320</f>
        <v>0</v>
      </c>
      <c r="F58" s="2083"/>
      <c r="G58" s="2089"/>
      <c r="H58" s="2090"/>
      <c r="I58" s="2090"/>
      <c r="J58" s="2090"/>
      <c r="K58" s="2090"/>
      <c r="L58" s="2090"/>
      <c r="M58" s="2090"/>
      <c r="N58" s="2086">
        <f>IF((SUM(G58:M58))=E58,SUM(G58:M58),"Column N does not agree with Column E")</f>
        <v>0</v>
      </c>
    </row>
    <row r="59" spans="1:14" ht="24.75" customHeight="1" x14ac:dyDescent="0.25">
      <c r="A59" s="2496" t="s">
        <v>297</v>
      </c>
      <c r="B59" s="2497"/>
      <c r="C59" s="2497"/>
      <c r="D59" s="2087">
        <v>2363</v>
      </c>
      <c r="E59" s="2088">
        <f>'Expenditures 15-22'!K321</f>
        <v>0</v>
      </c>
      <c r="F59" s="2083"/>
      <c r="G59" s="2089"/>
      <c r="H59" s="2090"/>
      <c r="I59" s="2090"/>
      <c r="J59" s="2090"/>
      <c r="K59" s="2090"/>
      <c r="L59" s="2090"/>
      <c r="M59" s="2090"/>
      <c r="N59" s="2086">
        <f t="shared" ref="N59:N67" si="4">IF((SUM(G59:M59))=E59,SUM(G59:M59),"Column N does not agree with Column E")</f>
        <v>0</v>
      </c>
    </row>
    <row r="60" spans="1:14" ht="24.75" customHeight="1" x14ac:dyDescent="0.25">
      <c r="A60" s="2496" t="s">
        <v>236</v>
      </c>
      <c r="B60" s="2497"/>
      <c r="C60" s="2497"/>
      <c r="D60" s="2087">
        <v>2364</v>
      </c>
      <c r="E60" s="2088">
        <f>'Expenditures 15-22'!K322</f>
        <v>0</v>
      </c>
      <c r="F60" s="2083"/>
      <c r="G60" s="2089"/>
      <c r="H60" s="2090"/>
      <c r="I60" s="2090"/>
      <c r="J60" s="2090"/>
      <c r="K60" s="2090"/>
      <c r="L60" s="2090"/>
      <c r="M60" s="2090"/>
      <c r="N60" s="2086">
        <f t="shared" si="4"/>
        <v>0</v>
      </c>
    </row>
    <row r="61" spans="1:14" ht="24.75" customHeight="1" x14ac:dyDescent="0.25">
      <c r="A61" s="2496" t="s">
        <v>697</v>
      </c>
      <c r="B61" s="2497"/>
      <c r="C61" s="2497"/>
      <c r="D61" s="2087">
        <v>2365</v>
      </c>
      <c r="E61" s="2088">
        <f>'Expenditures 15-22'!K323</f>
        <v>0</v>
      </c>
      <c r="F61" s="2083"/>
      <c r="G61" s="2089"/>
      <c r="H61" s="2090"/>
      <c r="I61" s="2090"/>
      <c r="J61" s="2090"/>
      <c r="K61" s="2090"/>
      <c r="L61" s="2090"/>
      <c r="M61" s="2090"/>
      <c r="N61" s="2086">
        <f t="shared" si="4"/>
        <v>0</v>
      </c>
    </row>
    <row r="62" spans="1:14" ht="24.75" customHeight="1" x14ac:dyDescent="0.25">
      <c r="A62" s="2496" t="s">
        <v>237</v>
      </c>
      <c r="B62" s="2497"/>
      <c r="C62" s="2497"/>
      <c r="D62" s="2087">
        <v>2366</v>
      </c>
      <c r="E62" s="2088">
        <f>'Expenditures 15-22'!K324</f>
        <v>0</v>
      </c>
      <c r="F62" s="2083"/>
      <c r="G62" s="2089"/>
      <c r="H62" s="2090"/>
      <c r="I62" s="2090"/>
      <c r="J62" s="2090"/>
      <c r="K62" s="2090"/>
      <c r="L62" s="2090"/>
      <c r="M62" s="2090"/>
      <c r="N62" s="2086">
        <f t="shared" si="4"/>
        <v>0</v>
      </c>
    </row>
    <row r="63" spans="1:14" ht="24.75" customHeight="1" x14ac:dyDescent="0.25">
      <c r="A63" s="2514" t="s">
        <v>1022</v>
      </c>
      <c r="B63" s="2515"/>
      <c r="C63" s="2515"/>
      <c r="D63" s="2087">
        <v>2367</v>
      </c>
      <c r="E63" s="2088">
        <f>'Expenditures 15-22'!K325</f>
        <v>0</v>
      </c>
      <c r="F63" s="2083"/>
      <c r="G63" s="2089"/>
      <c r="H63" s="2090"/>
      <c r="I63" s="2090"/>
      <c r="J63" s="2090"/>
      <c r="K63" s="2090"/>
      <c r="L63" s="2090"/>
      <c r="M63" s="2090"/>
      <c r="N63" s="2086">
        <f t="shared" si="4"/>
        <v>0</v>
      </c>
    </row>
    <row r="64" spans="1:14" ht="24.75" customHeight="1" x14ac:dyDescent="0.25">
      <c r="A64" s="2496" t="s">
        <v>1023</v>
      </c>
      <c r="B64" s="2497"/>
      <c r="C64" s="2497"/>
      <c r="D64" s="2087">
        <v>2368</v>
      </c>
      <c r="E64" s="2088">
        <f>'Expenditures 15-22'!K326</f>
        <v>0</v>
      </c>
      <c r="F64" s="2083"/>
      <c r="G64" s="2089"/>
      <c r="H64" s="2090"/>
      <c r="I64" s="2090"/>
      <c r="J64" s="2090"/>
      <c r="K64" s="2090"/>
      <c r="L64" s="2090"/>
      <c r="M64" s="2090"/>
      <c r="N64" s="2086">
        <f t="shared" si="4"/>
        <v>0</v>
      </c>
    </row>
    <row r="65" spans="1:14" ht="24" customHeight="1" x14ac:dyDescent="0.25">
      <c r="A65" s="2496" t="s">
        <v>965</v>
      </c>
      <c r="B65" s="2497"/>
      <c r="C65" s="2497"/>
      <c r="D65" s="2087">
        <v>2369</v>
      </c>
      <c r="E65" s="2088">
        <f>'Expenditures 15-22'!K327</f>
        <v>0</v>
      </c>
      <c r="F65" s="2083"/>
      <c r="G65" s="2089"/>
      <c r="H65" s="2090"/>
      <c r="I65" s="2090"/>
      <c r="J65" s="2090"/>
      <c r="K65" s="2090"/>
      <c r="L65" s="2090"/>
      <c r="M65" s="2090"/>
      <c r="N65" s="2086">
        <f t="shared" si="4"/>
        <v>0</v>
      </c>
    </row>
    <row r="66" spans="1:14" ht="24.75" customHeight="1" x14ac:dyDescent="0.25">
      <c r="A66" s="2496" t="s">
        <v>469</v>
      </c>
      <c r="B66" s="2497"/>
      <c r="C66" s="2497"/>
      <c r="D66" s="2087">
        <v>2371</v>
      </c>
      <c r="E66" s="2088">
        <f>'Expenditures 15-22'!K328</f>
        <v>0</v>
      </c>
      <c r="F66" s="2083"/>
      <c r="G66" s="2089"/>
      <c r="H66" s="2090"/>
      <c r="I66" s="2090"/>
      <c r="J66" s="2090"/>
      <c r="K66" s="2090"/>
      <c r="L66" s="2090"/>
      <c r="M66" s="2090"/>
      <c r="N66" s="2086">
        <f t="shared" si="4"/>
        <v>0</v>
      </c>
    </row>
    <row r="67" spans="1:14" ht="24.75" customHeight="1" x14ac:dyDescent="0.25">
      <c r="A67" s="2498" t="s">
        <v>2079</v>
      </c>
      <c r="B67" s="2499"/>
      <c r="C67" s="2499"/>
      <c r="D67" s="2091">
        <v>2372</v>
      </c>
      <c r="E67" s="2092">
        <f>'Expenditures 15-22'!K329</f>
        <v>0</v>
      </c>
      <c r="F67" s="2083"/>
      <c r="G67" s="2093"/>
      <c r="H67" s="2094"/>
      <c r="I67" s="2094"/>
      <c r="J67" s="2094"/>
      <c r="K67" s="2094"/>
      <c r="L67" s="2094"/>
      <c r="M67" s="2094"/>
      <c r="N67" s="2086">
        <f t="shared" si="4"/>
        <v>0</v>
      </c>
    </row>
    <row r="68" spans="1:14" x14ac:dyDescent="0.25">
      <c r="A68" s="2500" t="s">
        <v>1153</v>
      </c>
      <c r="B68" s="2501"/>
      <c r="C68" s="2501"/>
      <c r="D68" s="2077"/>
      <c r="E68" s="2095">
        <f>SUM(E57:E67)</f>
        <v>0</v>
      </c>
      <c r="F68" s="2096"/>
      <c r="G68" s="2095">
        <f t="shared" ref="G68:N68" si="5">SUM(G57:G67)</f>
        <v>0</v>
      </c>
      <c r="H68" s="2095">
        <f t="shared" si="5"/>
        <v>0</v>
      </c>
      <c r="I68" s="2095">
        <f t="shared" si="5"/>
        <v>0</v>
      </c>
      <c r="J68" s="2095">
        <f t="shared" si="5"/>
        <v>0</v>
      </c>
      <c r="K68" s="2095">
        <f t="shared" si="5"/>
        <v>0</v>
      </c>
      <c r="L68" s="2095">
        <f t="shared" si="5"/>
        <v>0</v>
      </c>
      <c r="M68" s="2095">
        <f t="shared" si="5"/>
        <v>0</v>
      </c>
      <c r="N68" s="2097">
        <f t="shared" si="5"/>
        <v>0</v>
      </c>
    </row>
    <row r="69" spans="1:14" x14ac:dyDescent="0.25">
      <c r="A69" s="2098"/>
      <c r="B69" s="2099"/>
      <c r="C69" s="2099"/>
      <c r="D69" s="2099"/>
      <c r="E69" s="2099"/>
      <c r="F69" s="2099"/>
      <c r="G69" s="2099"/>
      <c r="H69" s="2100" t="s">
        <v>2080</v>
      </c>
      <c r="I69" s="2099"/>
      <c r="J69" s="2099"/>
      <c r="K69" s="2099"/>
      <c r="L69" s="2100" t="s">
        <v>2081</v>
      </c>
      <c r="M69" s="2099"/>
      <c r="N69" s="2101"/>
    </row>
    <row r="70" spans="1:14" ht="46.5" customHeight="1" x14ac:dyDescent="0.25">
      <c r="A70" s="2102" t="s">
        <v>2082</v>
      </c>
      <c r="B70" s="2099"/>
      <c r="C70" s="2099"/>
      <c r="D70" s="2099"/>
      <c r="E70" s="2099"/>
      <c r="F70" s="2099"/>
      <c r="G70" s="2099"/>
      <c r="H70" s="2492" t="s">
        <v>2083</v>
      </c>
      <c r="I70" s="2492"/>
      <c r="J70" s="2492"/>
      <c r="K70" s="2099"/>
      <c r="L70" s="2492" t="s">
        <v>2084</v>
      </c>
      <c r="M70" s="2492"/>
      <c r="N70" s="2502"/>
    </row>
    <row r="71" spans="1:14" ht="42.75" customHeight="1" x14ac:dyDescent="0.25">
      <c r="A71" s="2098"/>
      <c r="B71" s="2099"/>
      <c r="C71" s="2099"/>
      <c r="D71" s="2099"/>
      <c r="E71" s="2099"/>
      <c r="F71" s="2099"/>
      <c r="G71" s="2099"/>
      <c r="H71" s="2492" t="s">
        <v>2085</v>
      </c>
      <c r="I71" s="2492"/>
      <c r="J71" s="2492"/>
      <c r="K71" s="2099"/>
      <c r="L71" s="2493" t="s">
        <v>2086</v>
      </c>
      <c r="M71" s="2493"/>
      <c r="N71" s="2494"/>
    </row>
    <row r="72" spans="1:14" ht="52.5" customHeight="1" thickBot="1" x14ac:dyDescent="0.3">
      <c r="A72" s="2103"/>
      <c r="B72" s="2104"/>
      <c r="C72" s="2104"/>
      <c r="D72" s="2104"/>
      <c r="E72" s="2104"/>
      <c r="F72" s="2104"/>
      <c r="G72" s="2104"/>
      <c r="H72" s="2495" t="s">
        <v>2087</v>
      </c>
      <c r="I72" s="2495"/>
      <c r="J72" s="2495"/>
      <c r="K72" s="2104"/>
      <c r="L72" s="2104"/>
      <c r="M72" s="2104"/>
      <c r="N72" s="210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9686355B-DA0F-40E4-A574-4C632AEC6A4B}"/>
    <dataValidation allowBlank="1" showInputMessage="1" showErrorMessage="1" prompt="Link cell K328 from &quot;Expenditures 15-22&quot; tab" sqref="E66" xr:uid="{9ACA4D2B-BD20-4D9F-979B-85E1F86FF892}"/>
    <dataValidation allowBlank="1" showInputMessage="1" showErrorMessage="1" prompt="Link cell K327 from &quot;Expenditures 15-22&quot; tab" sqref="E65" xr:uid="{52281C12-8C73-4046-9824-42D86DCD74F7}"/>
    <dataValidation allowBlank="1" showInputMessage="1" showErrorMessage="1" prompt="Link cell K326 from &quot;Expenditures 15-22&quot; tab" sqref="E64" xr:uid="{71AEC618-FFDD-4CD8-ACF6-4BE236884B8C}"/>
    <dataValidation allowBlank="1" showInputMessage="1" showErrorMessage="1" prompt="Link cell K325 from &quot;Expenditures 15-22&quot; tab" sqref="E63" xr:uid="{8CDE04EA-4410-463F-9904-2FAB866DC51D}"/>
    <dataValidation allowBlank="1" showInputMessage="1" showErrorMessage="1" prompt="Link cell K324 from &quot;Expenditures 15-22&quot; tab" sqref="E62" xr:uid="{501CBC41-45D1-4816-BEDA-FB71DD2C4B14}"/>
    <dataValidation allowBlank="1" showInputMessage="1" showErrorMessage="1" prompt="Link cell K323 from &quot;Expenditures 15-22&quot; tab" sqref="E61" xr:uid="{295615DB-35C1-404D-97E4-0526DCAE6576}"/>
    <dataValidation allowBlank="1" showInputMessage="1" showErrorMessage="1" prompt="Link cell K322 from &quot;Expenditures 15-22&quot; tab" sqref="E60" xr:uid="{9124E329-A48C-4ED4-91AC-1CC5AF0D4B5F}"/>
    <dataValidation allowBlank="1" showInputMessage="1" showErrorMessage="1" prompt="Link cell K321 from &quot;Expenditures 15-22&quot; tab" sqref="E59" xr:uid="{0FE7FA27-E324-4511-ACDF-EA46DA369857}"/>
    <dataValidation allowBlank="1" showInputMessage="1" showErrorMessage="1" prompt="Link cell K320 from &quot;Expenditures 15-22&quot; tab" sqref="E58" xr:uid="{5AE5E8A5-AC1C-446C-BAF7-0E683A555BD6}"/>
    <dataValidation allowBlank="1" showInputMessage="1" showErrorMessage="1" prompt="Link cell K319 from &quot;Expenditures 15-22&quot; tab" sqref="E57" xr:uid="{150410C7-9964-4780-AE62-95878881C23D}"/>
    <dataValidation allowBlank="1" showInputMessage="1" showErrorMessage="1" prompt="Link cell K122 from &quot;Expenditures 15-22&quot; tab" sqref="F15" xr:uid="{30BC709B-D653-4470-9347-F33EEABE67A8}"/>
    <dataValidation allowBlank="1" showInputMessage="1" showErrorMessage="1" prompt="Link cell K67 from &quot;Expenditures 15-22&quot; tab" sqref="E17" xr:uid="{539EF1D4-090E-488B-9052-5D5850D3F695}"/>
    <dataValidation allowBlank="1" showInputMessage="1" showErrorMessage="1" prompt="Link cell K64 from &quot;Expenditures 15-22&quot; tab" sqref="E16" xr:uid="{1877C0F7-5D3D-480F-8F12-0415F1153717}"/>
    <dataValidation allowBlank="1" showInputMessage="1" showErrorMessage="1" prompt="Link cell K59 from &quot;Expenditures 15-22&quot; tab" sqref="E15" xr:uid="{9EEED706-A423-4D82-A3AA-A18F82C0CEC0}"/>
    <dataValidation allowBlank="1" showInputMessage="1" showErrorMessage="1" prompt="Link cell K56 from &quot;Expenditures 15-22&quot; tab" sqref="E14" xr:uid="{A511B433-6B98-4CA1-862B-B66B4027FDD5}"/>
    <dataValidation allowBlank="1" showInputMessage="1" showErrorMessage="1" prompt="Link cell K51 from &quot;Expenditures 15-22&quot; tab" sqref="E13" xr:uid="{BD09931C-3F4C-4148-8C7C-210F47D0456E}"/>
    <dataValidation allowBlank="1" showInputMessage="1" showErrorMessage="1" prompt="Link cell K50 from &quot;Expenditures 15-22&quot; tab " sqref="E12" xr:uid="{7E7336BA-90E7-4EB3-A6EB-232EE8BA70F6}"/>
    <dataValidation allowBlank="1" showInputMessage="1" showErrorMessage="1" prompt="Link cell A13 from &quot;Cover&quot; tab" sqref="J7:L7" xr:uid="{F984E321-8145-4009-AF04-303EA8BE2316}"/>
    <dataValidation allowBlank="1" showInputMessage="1" showErrorMessage="1" prompt="Link cell A17 from &quot;Cover&quot; tab" sqref="J6:L6" xr:uid="{3A976981-45FA-4CF4-9886-DA1C923CEA74}"/>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N28" sqref="N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50" t="str">
        <f>COVER!A17</f>
        <v xml:space="preserve">  Sandwich CUSD 430</v>
      </c>
      <c r="J6" s="2551"/>
      <c r="K6" s="2552"/>
      <c r="R6" s="1426"/>
    </row>
    <row r="7" spans="1:18" x14ac:dyDescent="0.2">
      <c r="A7" s="2553" t="s">
        <v>864</v>
      </c>
      <c r="B7" s="2554"/>
      <c r="C7" s="2554"/>
      <c r="D7" s="2554"/>
      <c r="E7" s="2555"/>
      <c r="F7" s="847"/>
      <c r="G7" s="839"/>
      <c r="H7" s="846" t="s">
        <v>369</v>
      </c>
      <c r="I7" s="2556">
        <f>COVER!A13</f>
        <v>16019430026</v>
      </c>
      <c r="J7" s="2556"/>
      <c r="K7" s="2556"/>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57" t="s">
        <v>478</v>
      </c>
      <c r="B11" s="2558"/>
      <c r="C11" s="2559"/>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2">
        <f>'Expenditures 15-22'!K50</f>
        <v>214634</v>
      </c>
      <c r="F12" s="1863"/>
      <c r="G12" s="1862">
        <f t="shared" ref="G12:G18" si="0">SUM(E12:F12)</f>
        <v>214634</v>
      </c>
      <c r="H12" s="1864"/>
      <c r="I12" s="1863"/>
      <c r="J12" s="1864"/>
      <c r="K12" s="1862">
        <f t="shared" ref="K12:K18" si="1">SUM(H12:J12)</f>
        <v>0</v>
      </c>
    </row>
    <row r="13" spans="1:18" ht="15" customHeight="1" x14ac:dyDescent="0.2">
      <c r="A13" s="863">
        <v>2</v>
      </c>
      <c r="B13" s="864" t="s">
        <v>42</v>
      </c>
      <c r="C13" s="865"/>
      <c r="D13" s="866">
        <v>2330</v>
      </c>
      <c r="E13" s="1862">
        <f>'Expenditures 15-22'!K51</f>
        <v>39984</v>
      </c>
      <c r="F13" s="1863"/>
      <c r="G13" s="1862">
        <f t="shared" si="0"/>
        <v>39984</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60" t="s">
        <v>7</v>
      </c>
      <c r="C18" s="2543"/>
      <c r="D18" s="2544"/>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254618</v>
      </c>
      <c r="F19" s="1867">
        <f t="shared" si="2"/>
        <v>0</v>
      </c>
      <c r="G19" s="1867">
        <f t="shared" si="2"/>
        <v>254618</v>
      </c>
      <c r="H19" s="1867">
        <f t="shared" si="2"/>
        <v>0</v>
      </c>
      <c r="I19" s="1867">
        <f t="shared" si="2"/>
        <v>0</v>
      </c>
      <c r="J19" s="1867">
        <f t="shared" si="2"/>
        <v>0</v>
      </c>
      <c r="K19" s="1867">
        <f t="shared" si="2"/>
        <v>0</v>
      </c>
    </row>
    <row r="20" spans="1:11" ht="13.5" thickTop="1" x14ac:dyDescent="0.2">
      <c r="A20" s="863">
        <v>9</v>
      </c>
      <c r="B20" s="2561" t="str">
        <f>"Percent Increase (Decrease) for FY"&amp;'AFR20'!E2+1&amp;" (Budgeted) over FY"&amp;'AFR20'!E2&amp;" (Actual)"</f>
        <v>Percent Increase (Decrease) for FY2021 (Budgeted) over FY2020 (Actual)</v>
      </c>
      <c r="C20" s="2561"/>
      <c r="D20" s="2562"/>
      <c r="E20" s="1868"/>
      <c r="F20" s="1868"/>
      <c r="G20" s="1868"/>
      <c r="H20" s="1868"/>
      <c r="I20" s="1868"/>
      <c r="J20" s="1977"/>
      <c r="K20" s="1869" t="str">
        <f>IF(AND(G19&gt;0,K19&gt;0),(((K19-G19)/G19)),"Enter Budget Data")</f>
        <v>Enter Budget Data</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66"/>
      <c r="D26" s="2566"/>
      <c r="E26" s="874"/>
      <c r="F26" s="2519"/>
      <c r="G26" s="2519"/>
    </row>
    <row r="27" spans="1:11" x14ac:dyDescent="0.2">
      <c r="B27" s="871"/>
      <c r="C27" s="875" t="s">
        <v>1026</v>
      </c>
      <c r="D27" s="876"/>
      <c r="E27" s="877"/>
      <c r="F27" s="2563" t="s">
        <v>1495</v>
      </c>
      <c r="G27" s="2563"/>
    </row>
    <row r="28" spans="1:11" ht="28.5" customHeight="1" x14ac:dyDescent="0.2">
      <c r="B28" s="871"/>
      <c r="C28" s="2565"/>
      <c r="D28" s="2565"/>
      <c r="E28" s="878"/>
      <c r="F28" s="2565"/>
      <c r="G28" s="2565"/>
    </row>
    <row r="29" spans="1:11" x14ac:dyDescent="0.2">
      <c r="B29" s="871"/>
      <c r="C29" s="879" t="s">
        <v>1547</v>
      </c>
      <c r="E29" s="880"/>
      <c r="F29" s="2564" t="s">
        <v>1496</v>
      </c>
      <c r="G29" s="256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4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48"/>
      <c r="E33" s="2548"/>
      <c r="F33" s="2548"/>
      <c r="G33" s="2548"/>
      <c r="H33" s="2548"/>
      <c r="I33" s="2548"/>
      <c r="J33" s="1975"/>
    </row>
    <row r="34" spans="1:11" ht="10.35" customHeight="1" x14ac:dyDescent="0.2">
      <c r="C34" s="2548"/>
      <c r="D34" s="2548"/>
      <c r="E34" s="2548"/>
      <c r="F34" s="2548"/>
      <c r="G34" s="2548"/>
      <c r="H34" s="2548"/>
      <c r="I34" s="2548"/>
      <c r="J34" s="1975"/>
    </row>
    <row r="35" spans="1:11" ht="7.5" customHeight="1" x14ac:dyDescent="0.2">
      <c r="C35" s="886"/>
    </row>
    <row r="36" spans="1:11" ht="13.5" customHeight="1" x14ac:dyDescent="0.2">
      <c r="B36" s="885"/>
      <c r="C36" s="254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48"/>
      <c r="E36" s="2548"/>
      <c r="F36" s="2548"/>
      <c r="G36" s="2548"/>
      <c r="H36" s="2548"/>
      <c r="I36" s="2548"/>
      <c r="J36" s="1975"/>
      <c r="K36" s="887"/>
    </row>
    <row r="37" spans="1:11" ht="22.5" customHeight="1" x14ac:dyDescent="0.2">
      <c r="C37" s="2548"/>
      <c r="D37" s="2548"/>
      <c r="E37" s="2548"/>
      <c r="F37" s="2548"/>
      <c r="G37" s="2548"/>
      <c r="H37" s="2548"/>
      <c r="I37" s="2548"/>
      <c r="J37" s="1975"/>
      <c r="K37" s="887"/>
    </row>
    <row r="38" spans="1:11" ht="7.5" customHeight="1" x14ac:dyDescent="0.2">
      <c r="C38" s="886"/>
      <c r="D38" s="888"/>
      <c r="E38" s="889"/>
      <c r="F38" s="890"/>
      <c r="G38" s="889"/>
    </row>
    <row r="39" spans="1:11" ht="13.5" customHeight="1" x14ac:dyDescent="0.2">
      <c r="B39" s="885"/>
      <c r="C39" s="2545" t="str">
        <f>"The district will amend their budget to become in compliance with the limitation."</f>
        <v>The district will amend their budget to become in compliance with the limitation.</v>
      </c>
      <c r="D39" s="2546"/>
      <c r="E39" s="2546"/>
      <c r="F39" s="2546"/>
      <c r="G39" s="2546"/>
      <c r="H39" s="2546"/>
      <c r="I39" s="2546"/>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U51" sqref="U5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6" t="s">
        <v>1058</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686</v>
      </c>
      <c r="B40" s="2223"/>
      <c r="C40" s="2223"/>
      <c r="D40" s="2223"/>
      <c r="E40" s="2223"/>
    </row>
    <row r="41" spans="1:5" x14ac:dyDescent="0.2">
      <c r="A41" s="2224" t="s">
        <v>1594</v>
      </c>
      <c r="B41" s="2224"/>
      <c r="C41" s="2224"/>
      <c r="D41" s="2224"/>
      <c r="E41" s="2224"/>
    </row>
    <row r="42" spans="1:5" ht="12.75" customHeight="1" x14ac:dyDescent="0.2">
      <c r="A42" s="2225" t="s">
        <v>1015</v>
      </c>
      <c r="B42" s="2225"/>
      <c r="C42" s="2225"/>
      <c r="D42" s="2225"/>
      <c r="E42" s="222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2088</v>
      </c>
    </row>
    <row r="6" spans="1:2" x14ac:dyDescent="0.2">
      <c r="A6" s="892">
        <v>2</v>
      </c>
      <c r="B6" s="307" t="s">
        <v>2089</v>
      </c>
    </row>
    <row r="7" spans="1:2" x14ac:dyDescent="0.2">
      <c r="A7" s="892">
        <v>3</v>
      </c>
      <c r="B7" s="307" t="s">
        <v>2090</v>
      </c>
    </row>
    <row r="8" spans="1:2" x14ac:dyDescent="0.2">
      <c r="A8" s="892">
        <v>4</v>
      </c>
      <c r="B8" s="307" t="s">
        <v>2091</v>
      </c>
    </row>
    <row r="9" spans="1:2" x14ac:dyDescent="0.2">
      <c r="A9" s="892">
        <v>5</v>
      </c>
      <c r="B9" s="307" t="s">
        <v>2092</v>
      </c>
    </row>
    <row r="10" spans="1:2" x14ac:dyDescent="0.2">
      <c r="A10" s="892">
        <v>6</v>
      </c>
      <c r="B10" s="307" t="s">
        <v>2093</v>
      </c>
    </row>
    <row r="11" spans="1:2" x14ac:dyDescent="0.2">
      <c r="A11" s="892">
        <v>7</v>
      </c>
      <c r="B11" s="307" t="s">
        <v>2095</v>
      </c>
    </row>
    <row r="12" spans="1:2" x14ac:dyDescent="0.2">
      <c r="A12" s="892">
        <v>8</v>
      </c>
      <c r="B12" s="307" t="s">
        <v>2094</v>
      </c>
    </row>
    <row r="13" spans="1:2" x14ac:dyDescent="0.2">
      <c r="A13" s="892">
        <v>9</v>
      </c>
      <c r="B13" s="307" t="s">
        <v>2096</v>
      </c>
    </row>
    <row r="14" spans="1:2" x14ac:dyDescent="0.2">
      <c r="A14" s="892">
        <v>10</v>
      </c>
      <c r="B14" s="307" t="s">
        <v>2097</v>
      </c>
    </row>
    <row r="15" spans="1:2" x14ac:dyDescent="0.2">
      <c r="A15" s="892">
        <v>11</v>
      </c>
      <c r="B15" s="307" t="s">
        <v>2102</v>
      </c>
    </row>
    <row r="16" spans="1:2" x14ac:dyDescent="0.2">
      <c r="A16" s="892">
        <v>12</v>
      </c>
      <c r="B16" s="307" t="s">
        <v>2103</v>
      </c>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Sandwich CUSD 430</v>
      </c>
    </row>
    <row r="65" spans="2:2" x14ac:dyDescent="0.2">
      <c r="B65" s="894">
        <f>COVER!A13</f>
        <v>16019430026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67" t="s">
        <v>1668</v>
      </c>
      <c r="B18" s="25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5060"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8" t="s">
        <v>1672</v>
      </c>
      <c r="B1" s="2569"/>
      <c r="C1" s="2569"/>
      <c r="D1" s="2569"/>
      <c r="E1" s="2569"/>
      <c r="F1" s="2570"/>
    </row>
    <row r="2" spans="1:8" ht="45" customHeight="1" x14ac:dyDescent="0.2">
      <c r="A2" s="25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9"/>
      <c r="C2" s="2579"/>
      <c r="D2" s="2579"/>
      <c r="E2" s="2579"/>
      <c r="F2" s="2580"/>
      <c r="G2" s="898"/>
      <c r="H2" s="898"/>
    </row>
    <row r="3" spans="1:8" ht="57" customHeight="1" x14ac:dyDescent="0.2">
      <c r="A3" s="2581" t="s">
        <v>1972</v>
      </c>
      <c r="B3" s="2582"/>
      <c r="C3" s="2582"/>
      <c r="D3" s="2582"/>
      <c r="E3" s="2582"/>
      <c r="F3" s="2583"/>
      <c r="G3" s="898"/>
      <c r="H3" s="898"/>
    </row>
    <row r="4" spans="1:8" ht="14.25" customHeight="1" x14ac:dyDescent="0.2">
      <c r="A4" s="25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8"/>
      <c r="C4" s="2588"/>
      <c r="D4" s="2588"/>
      <c r="E4" s="2588"/>
      <c r="F4" s="2589"/>
      <c r="G4" s="898"/>
      <c r="H4" s="898"/>
    </row>
    <row r="5" spans="1:8" ht="14.25" customHeight="1" x14ac:dyDescent="0.2">
      <c r="A5" s="25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1"/>
      <c r="C5" s="2591"/>
      <c r="D5" s="2591"/>
      <c r="E5" s="2591"/>
      <c r="F5" s="2592"/>
      <c r="G5" s="898"/>
      <c r="H5" s="898"/>
    </row>
    <row r="6" spans="1:8" s="899" customFormat="1" ht="41.25" customHeight="1" x14ac:dyDescent="0.2">
      <c r="A6" s="2584" t="s">
        <v>1673</v>
      </c>
      <c r="B6" s="2585"/>
      <c r="C6" s="2585"/>
      <c r="D6" s="2585"/>
      <c r="E6" s="2585"/>
      <c r="F6" s="258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0">
        <f>'Acct Summary 7-8'!C8</f>
        <v>20135568</v>
      </c>
      <c r="C8" s="1870">
        <f>'Acct Summary 7-8'!D8</f>
        <v>2118480</v>
      </c>
      <c r="D8" s="1870">
        <f>'Acct Summary 7-8'!F8</f>
        <v>1369416</v>
      </c>
      <c r="E8" s="1870">
        <f>'Acct Summary 7-8'!I8</f>
        <v>389</v>
      </c>
      <c r="F8" s="1870">
        <f>SUM(B8:E8)</f>
        <v>23623853</v>
      </c>
    </row>
    <row r="9" spans="1:8" s="903" customFormat="1" ht="14.25" customHeight="1" thickBot="1" x14ac:dyDescent="0.25">
      <c r="A9" s="902" t="s">
        <v>1355</v>
      </c>
      <c r="B9" s="1871">
        <f>'Acct Summary 7-8'!C17</f>
        <v>21276337</v>
      </c>
      <c r="C9" s="1871">
        <f>'Acct Summary 7-8'!D17</f>
        <v>2261381</v>
      </c>
      <c r="D9" s="1871">
        <f>'Acct Summary 7-8'!F17</f>
        <v>1458051</v>
      </c>
      <c r="E9" s="1870"/>
      <c r="F9" s="1870">
        <f>SUM(B9:E9)</f>
        <v>24995769</v>
      </c>
    </row>
    <row r="10" spans="1:8" s="903" customFormat="1" ht="14.25" thickTop="1" thickBot="1" x14ac:dyDescent="0.25">
      <c r="A10" s="904" t="s">
        <v>1356</v>
      </c>
      <c r="B10" s="1872">
        <f>(B8-B9)</f>
        <v>-1140769</v>
      </c>
      <c r="C10" s="1872">
        <f>(C8-C9)</f>
        <v>-142901</v>
      </c>
      <c r="D10" s="1872">
        <f>(D8-D9)</f>
        <v>-88635</v>
      </c>
      <c r="E10" s="1871">
        <f>(E8-E9)</f>
        <v>389</v>
      </c>
      <c r="F10" s="1873">
        <f>SUM(F8-F9)</f>
        <v>-1371916</v>
      </c>
    </row>
    <row r="11" spans="1:8" s="903" customFormat="1" ht="14.25" thickTop="1" thickBot="1" x14ac:dyDescent="0.25">
      <c r="A11" s="905" t="s">
        <v>1903</v>
      </c>
      <c r="B11" s="1874">
        <f>'Acct Summary 7-8'!C81</f>
        <v>100000</v>
      </c>
      <c r="C11" s="1874">
        <f>'Acct Summary 7-8'!D81</f>
        <v>6500</v>
      </c>
      <c r="D11" s="1874">
        <f>'Acct Summary 7-8'!F81</f>
        <v>4300</v>
      </c>
      <c r="E11" s="1874">
        <f>'Acct Summary 7-8'!I81</f>
        <v>752535</v>
      </c>
      <c r="F11" s="1875">
        <f>SUM(B11:E11)</f>
        <v>863335</v>
      </c>
    </row>
    <row r="12" spans="1:8" ht="16.5" customHeight="1" thickTop="1" x14ac:dyDescent="0.2">
      <c r="A12" s="906"/>
      <c r="B12" s="907"/>
      <c r="C12" s="25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73"/>
      <c r="E12" s="2573"/>
      <c r="F12" s="2574"/>
    </row>
    <row r="13" spans="1:8" ht="19.5" customHeight="1" x14ac:dyDescent="0.2">
      <c r="A13" s="908"/>
      <c r="B13" s="909"/>
      <c r="C13" s="2572"/>
      <c r="D13" s="2573"/>
      <c r="E13" s="2573"/>
      <c r="F13" s="2574"/>
      <c r="H13" s="898"/>
    </row>
    <row r="14" spans="1:8" ht="19.5" customHeight="1" x14ac:dyDescent="0.2">
      <c r="A14" s="908"/>
      <c r="B14" s="909"/>
      <c r="C14" s="2572"/>
      <c r="D14" s="2573"/>
      <c r="E14" s="2573"/>
      <c r="F14" s="2574"/>
      <c r="H14" s="898"/>
    </row>
    <row r="15" spans="1:8" ht="17.25" customHeight="1" x14ac:dyDescent="0.2">
      <c r="A15" s="908"/>
      <c r="B15" s="909"/>
      <c r="C15" s="2575"/>
      <c r="D15" s="2576"/>
      <c r="E15" s="2576"/>
      <c r="F15" s="2577"/>
      <c r="H15" s="898"/>
    </row>
    <row r="16" spans="1:8" s="288" customFormat="1" ht="51.75" hidden="1" customHeight="1" x14ac:dyDescent="0.2">
      <c r="A16" s="2571" t="s">
        <v>1669</v>
      </c>
      <c r="B16" s="2571"/>
      <c r="C16" s="2571"/>
      <c r="D16" s="2571"/>
      <c r="E16" s="257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76" sqref="C76"/>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69"/>
      <c r="B2" s="1570"/>
      <c r="C2" s="1571"/>
      <c r="D2" s="1572"/>
    </row>
    <row r="3" spans="1:4" ht="36" customHeight="1" x14ac:dyDescent="0.2">
      <c r="A3" s="2593" t="s">
        <v>660</v>
      </c>
      <c r="B3" s="2594"/>
      <c r="C3" s="2594"/>
      <c r="D3" s="2595"/>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4" t="s">
        <v>1490</v>
      </c>
      <c r="D7" s="2605"/>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6" t="s">
        <v>1001</v>
      </c>
      <c r="B15" s="2597"/>
      <c r="C15" s="2597"/>
      <c r="D15" s="2598"/>
    </row>
    <row r="16" spans="1:4" s="542" customFormat="1" ht="24" customHeight="1" x14ac:dyDescent="0.2">
      <c r="A16" s="2599" t="s">
        <v>658</v>
      </c>
      <c r="B16" s="2600"/>
      <c r="C16" s="2600"/>
      <c r="D16" s="2601"/>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8" t="s">
        <v>311</v>
      </c>
      <c r="D21" s="2609"/>
    </row>
    <row r="22" spans="1:10" ht="12.75" x14ac:dyDescent="0.2">
      <c r="A22" s="963"/>
      <c r="B22" s="964">
        <v>2</v>
      </c>
      <c r="C22" s="2606" t="s">
        <v>1510</v>
      </c>
      <c r="D22" s="260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0" t="s">
        <v>533</v>
      </c>
      <c r="D43" s="261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2" t="s">
        <v>779</v>
      </c>
      <c r="D56" s="260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ERROR!</v>
      </c>
    </row>
    <row r="69" spans="1:4" x14ac:dyDescent="0.2">
      <c r="A69" s="924"/>
      <c r="B69" s="934"/>
      <c r="C69" s="926" t="s">
        <v>1882</v>
      </c>
      <c r="D69" s="948" t="str">
        <f>IF('Expenditures 15-22'!H170&lt;&gt;'Short-Term Long-Term Debt 24'!H49,"ERROR!","OK")</f>
        <v>ERROR!</v>
      </c>
    </row>
    <row r="70" spans="1:4" x14ac:dyDescent="0.2">
      <c r="A70" s="922"/>
      <c r="B70" s="944">
        <f>B66+1</f>
        <v>9</v>
      </c>
      <c r="C70" s="2602" t="s">
        <v>1677</v>
      </c>
      <c r="D70" s="260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ENTRY IS REQUIRED!</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62" t="s">
        <v>1978</v>
      </c>
    </row>
    <row r="2" spans="1:7" ht="15.75" x14ac:dyDescent="0.25">
      <c r="A2" t="s">
        <v>260</v>
      </c>
      <c r="B2" s="135">
        <f>COVER!A13</f>
        <v>16019430026</v>
      </c>
      <c r="E2" s="1591">
        <v>2020</v>
      </c>
      <c r="F2" s="1591">
        <v>1</v>
      </c>
      <c r="G2" s="1961">
        <v>101000300</v>
      </c>
    </row>
    <row r="3" spans="1:7" ht="15" x14ac:dyDescent="0.25">
      <c r="A3" t="s">
        <v>950</v>
      </c>
      <c r="B3" s="135" t="str">
        <f>COVER!A15</f>
        <v>DeKalb / LaSalle / Kendall</v>
      </c>
      <c r="E3" s="1887" t="s">
        <v>1971</v>
      </c>
      <c r="F3" s="1887" t="s">
        <v>1970</v>
      </c>
      <c r="G3" s="1961">
        <v>101000400</v>
      </c>
    </row>
    <row r="4" spans="1:7" ht="15" x14ac:dyDescent="0.25">
      <c r="A4" t="s">
        <v>1000</v>
      </c>
      <c r="B4" s="135" t="str">
        <f>COVER!A17</f>
        <v xml:space="preserve">  Sandwich CUSD 430</v>
      </c>
      <c r="E4" s="1885">
        <v>44119</v>
      </c>
      <c r="F4" s="1886">
        <v>44151</v>
      </c>
      <c r="G4" s="1961">
        <v>101000600</v>
      </c>
    </row>
    <row r="5" spans="1:7" ht="15" x14ac:dyDescent="0.25">
      <c r="A5" t="s">
        <v>699</v>
      </c>
      <c r="B5" s="135" t="str">
        <f>COVER!A38</f>
        <v>Rick Schmitt</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Yes</v>
      </c>
      <c r="G14" s="1961">
        <v>402100300</v>
      </c>
    </row>
    <row r="15" spans="1:7" ht="15" x14ac:dyDescent="0.25">
      <c r="A15" t="s">
        <v>573</v>
      </c>
      <c r="B15" s="135" t="str">
        <f>COVER!T23</f>
        <v>066-005100</v>
      </c>
      <c r="G15" s="1961">
        <v>402100400</v>
      </c>
    </row>
    <row r="16" spans="1:7" ht="15" x14ac:dyDescent="0.25">
      <c r="A16" t="s">
        <v>419</v>
      </c>
      <c r="B16" s="135" t="str">
        <f>COVER!T13</f>
        <v>Mack &amp; Associates, P.C.</v>
      </c>
      <c r="G16" s="1961">
        <v>402100600</v>
      </c>
    </row>
    <row r="17" spans="1:7" ht="15" x14ac:dyDescent="0.25">
      <c r="A17" t="s">
        <v>878</v>
      </c>
      <c r="B17" s="135" t="str">
        <f>COVER!T15</f>
        <v>Tawnya Mack, CPA</v>
      </c>
      <c r="G17" s="1961">
        <v>402100800</v>
      </c>
    </row>
    <row r="18" spans="1:7" ht="15" x14ac:dyDescent="0.25">
      <c r="A18" t="s">
        <v>1142</v>
      </c>
      <c r="B18" s="135" t="str">
        <f>COVER!T17</f>
        <v>116 E Washington St., Suite 1</v>
      </c>
      <c r="G18" s="1961">
        <v>102200300</v>
      </c>
    </row>
    <row r="19" spans="1:7" ht="15" x14ac:dyDescent="0.25">
      <c r="A19" t="s">
        <v>880</v>
      </c>
      <c r="B19" s="135" t="str">
        <f>COVER!T25</f>
        <v>tmack@mackcpas.com</v>
      </c>
      <c r="G19" s="1961">
        <v>102200400</v>
      </c>
    </row>
    <row r="20" spans="1:7" ht="15" x14ac:dyDescent="0.25">
      <c r="A20" t="s">
        <v>881</v>
      </c>
      <c r="B20" s="135" t="str">
        <f>COVER!T19</f>
        <v>Morris</v>
      </c>
      <c r="G20" s="1961">
        <v>102200600</v>
      </c>
    </row>
    <row r="21" spans="1:7" ht="15" x14ac:dyDescent="0.25">
      <c r="A21" t="s">
        <v>476</v>
      </c>
      <c r="B21" s="135" t="str">
        <f>COVER!X19</f>
        <v>IL</v>
      </c>
      <c r="G21" s="1961">
        <v>102200800</v>
      </c>
    </row>
    <row r="22" spans="1:7" ht="15" x14ac:dyDescent="0.25">
      <c r="A22" t="s">
        <v>882</v>
      </c>
      <c r="B22" s="135">
        <f>COVER!Z19</f>
        <v>60450</v>
      </c>
      <c r="G22" s="1961">
        <v>102300300</v>
      </c>
    </row>
    <row r="23" spans="1:7" ht="15" x14ac:dyDescent="0.25">
      <c r="A23" t="s">
        <v>1144</v>
      </c>
      <c r="B23" s="135" t="str">
        <f>COVER!T21</f>
        <v>815-942-3306</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Yes</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Yes</v>
      </c>
      <c r="G49" s="1961">
        <v>102540800</v>
      </c>
    </row>
    <row r="50" spans="1:7" ht="15" x14ac:dyDescent="0.25">
      <c r="A50" s="1" t="s">
        <v>1466</v>
      </c>
      <c r="B50" s="146">
        <f>'Aud Quest 2'!H53</f>
        <v>36526</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4142774</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4042774</v>
      </c>
      <c r="C91" s="2" t="s">
        <v>569</v>
      </c>
      <c r="D91" s="2" t="str">
        <f t="shared" si="0"/>
        <v>Error?</v>
      </c>
      <c r="G91" s="1961">
        <v>102640400</v>
      </c>
    </row>
    <row r="92" spans="1:7" ht="15" x14ac:dyDescent="0.25">
      <c r="A92" s="5">
        <v>31</v>
      </c>
      <c r="B92" s="1889">
        <f>'Assets-Liab 5-6'!C39</f>
        <v>-889744</v>
      </c>
      <c r="D92" s="2" t="str">
        <f t="shared" si="0"/>
        <v>Error?</v>
      </c>
      <c r="G92" s="1961">
        <v>102640600</v>
      </c>
    </row>
    <row r="93" spans="1:7" ht="15" x14ac:dyDescent="0.25">
      <c r="A93" s="5">
        <v>32</v>
      </c>
      <c r="B93" s="1889">
        <f>'Assets-Liab 5-6'!C41</f>
        <v>4142774</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6500</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569</v>
      </c>
      <c r="D122" s="2" t="str">
        <f t="shared" si="0"/>
        <v>Error?</v>
      </c>
      <c r="G122" s="1961">
        <v>203000300</v>
      </c>
    </row>
    <row r="123" spans="1:7" ht="15" x14ac:dyDescent="0.25">
      <c r="A123" s="5">
        <v>62</v>
      </c>
      <c r="B123" s="1889">
        <f>'Assets-Liab 5-6'!D39</f>
        <v>6500</v>
      </c>
      <c r="D123" s="2" t="str">
        <f t="shared" si="0"/>
        <v>Error?</v>
      </c>
      <c r="G123" s="1961">
        <v>203000400</v>
      </c>
    </row>
    <row r="124" spans="1:7" ht="15" x14ac:dyDescent="0.25">
      <c r="A124" s="5">
        <v>63</v>
      </c>
      <c r="B124" s="1889">
        <f>'Assets-Liab 5-6'!D41</f>
        <v>6500</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266588</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0</v>
      </c>
      <c r="D140" s="2" t="str">
        <f t="shared" si="1"/>
        <v>Error?</v>
      </c>
    </row>
    <row r="141" spans="1:7" x14ac:dyDescent="0.2">
      <c r="A141" s="5">
        <v>80</v>
      </c>
      <c r="B141" s="1889">
        <f>'Assets-Liab 5-6'!E41</f>
        <v>266588</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4300</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4300</v>
      </c>
      <c r="D170" s="2" t="str">
        <f t="shared" si="1"/>
        <v>Error?</v>
      </c>
    </row>
    <row r="171" spans="1:4" x14ac:dyDescent="0.2">
      <c r="A171" s="5">
        <v>110</v>
      </c>
      <c r="B171" s="1889">
        <f>'Assets-Liab 5-6'!F41</f>
        <v>4300</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0</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0</v>
      </c>
      <c r="D189" s="2" t="str">
        <f t="shared" si="1"/>
        <v>Error?</v>
      </c>
    </row>
    <row r="190" spans="1:4" x14ac:dyDescent="0.2">
      <c r="A190" s="5">
        <v>129</v>
      </c>
      <c r="B190" s="1889">
        <f>'Assets-Liab 5-6'!G41</f>
        <v>0</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3614067</v>
      </c>
      <c r="D273" s="2" t="str">
        <f t="shared" si="3"/>
        <v>Error?</v>
      </c>
    </row>
    <row r="274" spans="1:4" x14ac:dyDescent="0.2">
      <c r="A274" s="5">
        <v>213</v>
      </c>
      <c r="B274" s="1889">
        <f>'Assets-Liab 5-6'!M17</f>
        <v>10742615</v>
      </c>
      <c r="D274" s="2" t="str">
        <f t="shared" si="3"/>
        <v>Error?</v>
      </c>
    </row>
    <row r="275" spans="1:4" x14ac:dyDescent="0.2">
      <c r="A275" s="5">
        <v>214</v>
      </c>
      <c r="B275" s="1889">
        <f>'Assets-Liab 5-6'!M18</f>
        <v>158375</v>
      </c>
      <c r="D275" s="2" t="str">
        <f t="shared" si="3"/>
        <v>Error?</v>
      </c>
    </row>
    <row r="276" spans="1:4" x14ac:dyDescent="0.2">
      <c r="A276" s="5">
        <v>215</v>
      </c>
      <c r="B276" s="1889">
        <f>'Assets-Liab 5-6'!M19</f>
        <v>494989</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15010046</v>
      </c>
      <c r="C279" s="2" t="s">
        <v>569</v>
      </c>
      <c r="D279" s="2" t="str">
        <f t="shared" si="3"/>
        <v>Error?</v>
      </c>
    </row>
    <row r="280" spans="1:4" x14ac:dyDescent="0.2">
      <c r="A280" s="5">
        <v>219</v>
      </c>
      <c r="B280" s="1889">
        <f>'Assets-Liab 5-6'!M40</f>
        <v>15010046</v>
      </c>
      <c r="D280" s="2" t="str">
        <f t="shared" si="3"/>
        <v>Error?</v>
      </c>
    </row>
    <row r="281" spans="1:4" x14ac:dyDescent="0.2">
      <c r="A281" s="5">
        <v>220</v>
      </c>
      <c r="B281" s="1889">
        <f>'Assets-Liab 5-6'!M41</f>
        <v>15010046</v>
      </c>
      <c r="C281" s="2" t="s">
        <v>569</v>
      </c>
      <c r="D281" s="2" t="str">
        <f t="shared" si="3"/>
        <v>Error?</v>
      </c>
    </row>
    <row r="282" spans="1:4" x14ac:dyDescent="0.2">
      <c r="A282" s="5">
        <v>221</v>
      </c>
      <c r="B282" s="1889">
        <f>'Assets-Liab 5-6'!N21</f>
        <v>266588</v>
      </c>
      <c r="D282" s="2" t="str">
        <f t="shared" si="3"/>
        <v>Error?</v>
      </c>
    </row>
    <row r="283" spans="1:4" x14ac:dyDescent="0.2">
      <c r="A283" s="5">
        <v>222</v>
      </c>
      <c r="B283" s="1889">
        <f>'Assets-Liab 5-6'!N22</f>
        <v>2353924</v>
      </c>
      <c r="D283" s="2" t="str">
        <f t="shared" si="3"/>
        <v>Error?</v>
      </c>
    </row>
    <row r="284" spans="1:4" x14ac:dyDescent="0.2">
      <c r="A284" s="5">
        <v>223</v>
      </c>
      <c r="B284" s="1889">
        <f>'Assets-Liab 5-6'!N23</f>
        <v>2620512</v>
      </c>
      <c r="C284" s="2" t="s">
        <v>569</v>
      </c>
      <c r="D284" s="2" t="str">
        <f t="shared" si="3"/>
        <v>Error?</v>
      </c>
    </row>
    <row r="285" spans="1:4" x14ac:dyDescent="0.2">
      <c r="A285" s="5">
        <v>224</v>
      </c>
      <c r="B285" s="1889">
        <f>'Assets-Liab 5-6'!N36</f>
        <v>2620512</v>
      </c>
      <c r="D285" s="2" t="str">
        <f t="shared" si="3"/>
        <v>Error?</v>
      </c>
    </row>
    <row r="286" spans="1:4" x14ac:dyDescent="0.2">
      <c r="A286" s="10">
        <v>225</v>
      </c>
      <c r="B286" s="1889"/>
      <c r="D286" s="2" t="str">
        <f t="shared" si="3"/>
        <v>OK</v>
      </c>
    </row>
    <row r="287" spans="1:4" x14ac:dyDescent="0.2">
      <c r="A287" s="5">
        <v>226</v>
      </c>
      <c r="B287" s="1889">
        <f>'Assets-Liab 5-6'!N37</f>
        <v>2620512</v>
      </c>
      <c r="C287" s="2" t="s">
        <v>569</v>
      </c>
      <c r="D287" s="2" t="str">
        <f t="shared" si="3"/>
        <v>Error?</v>
      </c>
    </row>
    <row r="288" spans="1:4" x14ac:dyDescent="0.2">
      <c r="A288" s="5">
        <v>227</v>
      </c>
      <c r="B288" s="1889">
        <f>'Assets-Liab 5-6'!N41</f>
        <v>2620512</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7707828</v>
      </c>
      <c r="D705" s="2" t="str">
        <f t="shared" si="10"/>
        <v>Error?</v>
      </c>
    </row>
    <row r="706" spans="1:4" x14ac:dyDescent="0.2">
      <c r="A706" s="5">
        <v>645</v>
      </c>
      <c r="B706" s="1889">
        <f>'Expenditures 15-22'!C16</f>
        <v>92258</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94171</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134364</v>
      </c>
      <c r="D717" s="2" t="str">
        <f t="shared" si="10"/>
        <v>Error?</v>
      </c>
    </row>
    <row r="718" spans="1:4" x14ac:dyDescent="0.2">
      <c r="A718" s="5">
        <v>657</v>
      </c>
      <c r="B718" s="1889">
        <f>'Expenditures 15-22'!C14</f>
        <v>419487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11162903</v>
      </c>
      <c r="C720" s="2" t="s">
        <v>569</v>
      </c>
      <c r="D720" s="2" t="str">
        <f t="shared" si="10"/>
        <v>Error?</v>
      </c>
    </row>
    <row r="721" spans="1:4" x14ac:dyDescent="0.2">
      <c r="A721" s="5">
        <v>660</v>
      </c>
      <c r="B721" s="1889">
        <f>'Expenditures 15-22'!C36</f>
        <v>292493</v>
      </c>
      <c r="D721" s="2" t="str">
        <f t="shared" si="10"/>
        <v>Error?</v>
      </c>
    </row>
    <row r="722" spans="1:4" x14ac:dyDescent="0.2">
      <c r="A722" s="5">
        <v>661</v>
      </c>
      <c r="B722" s="1889">
        <f>'Expenditures 15-22'!C37</f>
        <v>206474</v>
      </c>
      <c r="D722" s="2" t="str">
        <f t="shared" si="10"/>
        <v>Error?</v>
      </c>
    </row>
    <row r="723" spans="1:4" x14ac:dyDescent="0.2">
      <c r="A723" s="5">
        <v>662</v>
      </c>
      <c r="B723" s="1889">
        <f>'Expenditures 15-22'!C38</f>
        <v>183884</v>
      </c>
      <c r="D723" s="2" t="str">
        <f t="shared" si="10"/>
        <v>Error?</v>
      </c>
    </row>
    <row r="724" spans="1:4" x14ac:dyDescent="0.2">
      <c r="A724" s="5">
        <v>663</v>
      </c>
      <c r="B724" s="1889">
        <f>'Expenditures 15-22'!C39</f>
        <v>138615</v>
      </c>
      <c r="D724" s="2" t="str">
        <f t="shared" si="10"/>
        <v>Error?</v>
      </c>
    </row>
    <row r="725" spans="1:4" x14ac:dyDescent="0.2">
      <c r="A725" s="5">
        <v>664</v>
      </c>
      <c r="B725" s="1889">
        <f>'Expenditures 15-22'!C40</f>
        <v>147540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969006</v>
      </c>
      <c r="C727" s="2" t="s">
        <v>569</v>
      </c>
      <c r="D727" s="2" t="str">
        <f t="shared" si="10"/>
        <v>Error?</v>
      </c>
    </row>
    <row r="728" spans="1:4" x14ac:dyDescent="0.2">
      <c r="A728" s="5">
        <v>667</v>
      </c>
      <c r="B728" s="1889">
        <f>'Expenditures 15-22'!C44</f>
        <v>12980</v>
      </c>
      <c r="D728" s="2" t="str">
        <f t="shared" si="10"/>
        <v>Error?</v>
      </c>
    </row>
    <row r="729" spans="1:4" x14ac:dyDescent="0.2">
      <c r="A729" s="5">
        <v>668</v>
      </c>
      <c r="B729" s="1889">
        <f>'Expenditures 15-22'!C45</f>
        <v>14890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27870</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130871</v>
      </c>
      <c r="D733" s="2" t="str">
        <f t="shared" si="10"/>
        <v>Error?</v>
      </c>
    </row>
    <row r="734" spans="1:4" x14ac:dyDescent="0.2">
      <c r="A734" s="5">
        <v>673</v>
      </c>
      <c r="B734" s="1889">
        <f>'Expenditures 15-22'!C53</f>
        <v>168797</v>
      </c>
      <c r="C734" s="2" t="s">
        <v>569</v>
      </c>
      <c r="D734" s="2" t="str">
        <f t="shared" si="10"/>
        <v>Error?</v>
      </c>
    </row>
    <row r="735" spans="1:4" x14ac:dyDescent="0.2">
      <c r="A735" s="5">
        <v>674</v>
      </c>
      <c r="B735" s="1889">
        <f>'Expenditures 15-22'!C55</f>
        <v>1410805</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1410805</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143131</v>
      </c>
      <c r="D739" s="2" t="str">
        <f t="shared" si="10"/>
        <v>Error?</v>
      </c>
    </row>
    <row r="740" spans="1:4" x14ac:dyDescent="0.2">
      <c r="A740" s="5">
        <v>679</v>
      </c>
      <c r="B740" s="1889">
        <f>'Expenditures 15-22'!C61</f>
        <v>38733</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0</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181864</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132765</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132765</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2891107</v>
      </c>
      <c r="C755" s="2" t="s">
        <v>569</v>
      </c>
      <c r="D755" s="2" t="str">
        <f t="shared" si="10"/>
        <v>Error?</v>
      </c>
    </row>
    <row r="756" spans="1:4" x14ac:dyDescent="0.2">
      <c r="A756" s="5">
        <v>695</v>
      </c>
      <c r="B756" s="1889">
        <f>'Expenditures 15-22'!C75</f>
        <v>9435</v>
      </c>
      <c r="D756" s="2" t="str">
        <f t="shared" si="10"/>
        <v>Error?</v>
      </c>
    </row>
    <row r="757" spans="1:4" x14ac:dyDescent="0.2">
      <c r="A757" s="5">
        <v>696</v>
      </c>
      <c r="B757" s="1889">
        <f>'Expenditures 15-22'!C114</f>
        <v>14063445</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2994140</v>
      </c>
      <c r="D763" s="2" t="str">
        <f t="shared" si="10"/>
        <v>Error?</v>
      </c>
    </row>
    <row r="764" spans="1:4" x14ac:dyDescent="0.2">
      <c r="A764" s="5">
        <v>703</v>
      </c>
      <c r="B764" s="1889">
        <f>'Expenditures 15-22'!D16</f>
        <v>1286</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7011</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15589</v>
      </c>
      <c r="D775" s="2" t="str">
        <f t="shared" si="11"/>
        <v>Error?</v>
      </c>
    </row>
    <row r="776" spans="1:4" x14ac:dyDescent="0.2">
      <c r="A776" s="5">
        <v>715</v>
      </c>
      <c r="B776" s="1889">
        <f>'Expenditures 15-22'!D14</f>
        <v>41235</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3282704</v>
      </c>
      <c r="C778" s="2" t="s">
        <v>569</v>
      </c>
      <c r="D778" s="2" t="str">
        <f t="shared" si="11"/>
        <v>Error?</v>
      </c>
    </row>
    <row r="779" spans="1:4" x14ac:dyDescent="0.2">
      <c r="A779" s="5">
        <v>718</v>
      </c>
      <c r="B779" s="1889">
        <f>'Expenditures 15-22'!D36</f>
        <v>33889</v>
      </c>
      <c r="D779" s="2" t="str">
        <f t="shared" si="11"/>
        <v>Error?</v>
      </c>
    </row>
    <row r="780" spans="1:4" x14ac:dyDescent="0.2">
      <c r="A780" s="5">
        <v>719</v>
      </c>
      <c r="B780" s="1889">
        <f>'Expenditures 15-22'!D37</f>
        <v>24954</v>
      </c>
      <c r="D780" s="2" t="str">
        <f t="shared" si="11"/>
        <v>Error?</v>
      </c>
    </row>
    <row r="781" spans="1:4" x14ac:dyDescent="0.2">
      <c r="A781" s="5">
        <v>720</v>
      </c>
      <c r="B781" s="1889">
        <f>'Expenditures 15-22'!D38</f>
        <v>1102</v>
      </c>
      <c r="D781" s="2" t="str">
        <f t="shared" si="11"/>
        <v>Error?</v>
      </c>
    </row>
    <row r="782" spans="1:4" x14ac:dyDescent="0.2">
      <c r="A782" s="5">
        <v>721</v>
      </c>
      <c r="B782" s="1889">
        <f>'Expenditures 15-22'!D39</f>
        <v>17837</v>
      </c>
      <c r="D782" s="2" t="str">
        <f t="shared" si="11"/>
        <v>Error?</v>
      </c>
    </row>
    <row r="783" spans="1:4" x14ac:dyDescent="0.2">
      <c r="A783" s="5">
        <v>722</v>
      </c>
      <c r="B783" s="1889">
        <f>'Expenditures 15-22'!D40</f>
        <v>17531</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95313</v>
      </c>
      <c r="C785" s="2" t="s">
        <v>569</v>
      </c>
      <c r="D785" s="2" t="str">
        <f t="shared" si="11"/>
        <v>Error?</v>
      </c>
    </row>
    <row r="786" spans="1:4" x14ac:dyDescent="0.2">
      <c r="A786" s="5">
        <v>725</v>
      </c>
      <c r="B786" s="1889">
        <f>'Expenditures 15-22'!D44</f>
        <v>957</v>
      </c>
      <c r="D786" s="2" t="str">
        <f t="shared" si="11"/>
        <v>Error?</v>
      </c>
    </row>
    <row r="787" spans="1:4" x14ac:dyDescent="0.2">
      <c r="A787" s="5">
        <v>726</v>
      </c>
      <c r="B787" s="1889">
        <f>'Expenditures 15-22'!D45</f>
        <v>1344</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2301</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22275</v>
      </c>
      <c r="D791" s="2" t="str">
        <f t="shared" si="11"/>
        <v>Error?</v>
      </c>
    </row>
    <row r="792" spans="1:4" x14ac:dyDescent="0.2">
      <c r="A792" s="5">
        <v>731</v>
      </c>
      <c r="B792" s="1889">
        <f>'Expenditures 15-22'!D53</f>
        <v>22275</v>
      </c>
      <c r="C792" s="2" t="s">
        <v>569</v>
      </c>
      <c r="D792" s="2" t="str">
        <f t="shared" si="11"/>
        <v>Error?</v>
      </c>
    </row>
    <row r="793" spans="1:4" x14ac:dyDescent="0.2">
      <c r="A793" s="5">
        <v>732</v>
      </c>
      <c r="B793" s="1889">
        <f>'Expenditures 15-22'!D55</f>
        <v>107928</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107928</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6222</v>
      </c>
      <c r="D797" s="2" t="str">
        <f t="shared" si="11"/>
        <v>Error?</v>
      </c>
    </row>
    <row r="798" spans="1:4" x14ac:dyDescent="0.2">
      <c r="A798" s="5">
        <v>737</v>
      </c>
      <c r="B798" s="1889">
        <f>'Expenditures 15-22'!D61</f>
        <v>2584</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8806</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236623</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3519327</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166171</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68736</v>
      </c>
      <c r="D833" s="2" t="str">
        <f t="shared" si="12"/>
        <v>Error?</v>
      </c>
    </row>
    <row r="834" spans="1:4" x14ac:dyDescent="0.2">
      <c r="A834" s="5">
        <v>773</v>
      </c>
      <c r="B834" s="1889">
        <f>'Expenditures 15-22'!E14</f>
        <v>94834</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504306</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2000</v>
      </c>
      <c r="D838" s="2" t="str">
        <f t="shared" si="12"/>
        <v>Error?</v>
      </c>
    </row>
    <row r="839" spans="1:4" x14ac:dyDescent="0.2">
      <c r="A839" s="5">
        <v>778</v>
      </c>
      <c r="B839" s="1889">
        <f>'Expenditures 15-22'!E38</f>
        <v>29151</v>
      </c>
      <c r="D839" s="2" t="str">
        <f t="shared" si="12"/>
        <v>Error?</v>
      </c>
    </row>
    <row r="840" spans="1:4" x14ac:dyDescent="0.2">
      <c r="A840" s="5">
        <v>779</v>
      </c>
      <c r="B840" s="1889">
        <f>'Expenditures 15-22'!E39</f>
        <v>47584</v>
      </c>
      <c r="D840" s="2" t="str">
        <f t="shared" si="12"/>
        <v>Error?</v>
      </c>
    </row>
    <row r="841" spans="1:4" x14ac:dyDescent="0.2">
      <c r="A841" s="5">
        <v>780</v>
      </c>
      <c r="B841" s="1889">
        <f>'Expenditures 15-22'!E40</f>
        <v>4770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83505</v>
      </c>
      <c r="C843" s="2" t="s">
        <v>569</v>
      </c>
      <c r="D843" s="2" t="str">
        <f t="shared" si="12"/>
        <v>Error?</v>
      </c>
    </row>
    <row r="844" spans="1:4" x14ac:dyDescent="0.2">
      <c r="A844" s="5">
        <v>783</v>
      </c>
      <c r="B844" s="1889">
        <f>'Expenditures 15-22'!E44</f>
        <v>61425</v>
      </c>
      <c r="D844" s="2" t="str">
        <f t="shared" si="12"/>
        <v>Error?</v>
      </c>
    </row>
    <row r="845" spans="1:4" x14ac:dyDescent="0.2">
      <c r="A845" s="5">
        <v>784</v>
      </c>
      <c r="B845" s="1889">
        <f>'Expenditures 15-22'!E45</f>
        <v>13212</v>
      </c>
      <c r="D845" s="2" t="str">
        <f t="shared" si="12"/>
        <v>Error?</v>
      </c>
    </row>
    <row r="846" spans="1:4" x14ac:dyDescent="0.2">
      <c r="A846" s="5">
        <v>785</v>
      </c>
      <c r="B846" s="1889">
        <f>'Expenditures 15-22'!E46</f>
        <v>24626</v>
      </c>
      <c r="D846" s="2" t="str">
        <f t="shared" si="12"/>
        <v>Error?</v>
      </c>
    </row>
    <row r="847" spans="1:4" x14ac:dyDescent="0.2">
      <c r="A847" s="5">
        <v>786</v>
      </c>
      <c r="B847" s="1889">
        <f>'Expenditures 15-22'!E47</f>
        <v>99263</v>
      </c>
      <c r="C847" s="2" t="s">
        <v>569</v>
      </c>
      <c r="D847" s="2" t="str">
        <f t="shared" si="12"/>
        <v>Error?</v>
      </c>
    </row>
    <row r="848" spans="1:4" x14ac:dyDescent="0.2">
      <c r="A848" s="5">
        <v>787</v>
      </c>
      <c r="B848" s="1889">
        <f>'Expenditures 15-22'!E49</f>
        <v>200978</v>
      </c>
      <c r="D848" s="2" t="str">
        <f t="shared" si="12"/>
        <v>Error?</v>
      </c>
    </row>
    <row r="849" spans="1:4" x14ac:dyDescent="0.2">
      <c r="A849" s="5">
        <v>788</v>
      </c>
      <c r="B849" s="1889">
        <f>'Expenditures 15-22'!E50</f>
        <v>54419</v>
      </c>
      <c r="D849" s="2" t="str">
        <f t="shared" si="12"/>
        <v>Error?</v>
      </c>
    </row>
    <row r="850" spans="1:4" x14ac:dyDescent="0.2">
      <c r="A850" s="5">
        <v>789</v>
      </c>
      <c r="B850" s="1889">
        <f>'Expenditures 15-22'!E53</f>
        <v>255397</v>
      </c>
      <c r="C850" s="2" t="s">
        <v>569</v>
      </c>
      <c r="D850" s="2" t="str">
        <f t="shared" si="12"/>
        <v>Error?</v>
      </c>
    </row>
    <row r="851" spans="1:4" x14ac:dyDescent="0.2">
      <c r="A851" s="5">
        <v>790</v>
      </c>
      <c r="B851" s="1889">
        <f>'Expenditures 15-22'!E55</f>
        <v>3268</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3268</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46216</v>
      </c>
      <c r="D855" s="2" t="str">
        <f t="shared" si="12"/>
        <v>Error?</v>
      </c>
    </row>
    <row r="856" spans="1:4" x14ac:dyDescent="0.2">
      <c r="A856" s="5">
        <v>795</v>
      </c>
      <c r="B856" s="1889">
        <f>'Expenditures 15-22'!E61</f>
        <v>106494</v>
      </c>
      <c r="D856" s="2" t="str">
        <f t="shared" si="12"/>
        <v>Error?</v>
      </c>
    </row>
    <row r="857" spans="1:4" x14ac:dyDescent="0.2">
      <c r="A857" s="5">
        <v>796</v>
      </c>
      <c r="B857" s="1889">
        <f>'Expenditures 15-22'!E62</f>
        <v>7158</v>
      </c>
      <c r="D857" s="2" t="str">
        <f t="shared" si="12"/>
        <v>Error?</v>
      </c>
    </row>
    <row r="858" spans="1:4" x14ac:dyDescent="0.2">
      <c r="A858" s="5">
        <v>797</v>
      </c>
      <c r="B858" s="1889">
        <f>'Expenditures 15-22'!E63</f>
        <v>428721</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588589</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1737</v>
      </c>
      <c r="D865" s="2" t="str">
        <f t="shared" si="12"/>
        <v>Error?</v>
      </c>
    </row>
    <row r="866" spans="1:4" x14ac:dyDescent="0.2">
      <c r="A866" s="10">
        <v>805</v>
      </c>
      <c r="B866" s="1889"/>
      <c r="D866" s="2" t="str">
        <f t="shared" si="12"/>
        <v>OK</v>
      </c>
    </row>
    <row r="867" spans="1:4" x14ac:dyDescent="0.2">
      <c r="A867" s="5">
        <v>806</v>
      </c>
      <c r="B867" s="1889">
        <f>'Expenditures 15-22'!E71</f>
        <v>54301</v>
      </c>
      <c r="D867" s="2" t="str">
        <f t="shared" si="12"/>
        <v>Error?</v>
      </c>
    </row>
    <row r="868" spans="1:4" x14ac:dyDescent="0.2">
      <c r="A868" s="10">
        <v>807</v>
      </c>
      <c r="B868" s="1889"/>
      <c r="D868" s="2" t="str">
        <f t="shared" si="12"/>
        <v>OK</v>
      </c>
    </row>
    <row r="869" spans="1:4" x14ac:dyDescent="0.2">
      <c r="A869" s="5">
        <v>808</v>
      </c>
      <c r="B869" s="1889">
        <f>'Expenditures 15-22'!E72</f>
        <v>56038</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1086060</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1597623</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303902</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35466</v>
      </c>
      <c r="D891" s="2" t="str">
        <f t="shared" si="12"/>
        <v>Error?</v>
      </c>
    </row>
    <row r="892" spans="1:4" x14ac:dyDescent="0.2">
      <c r="A892" s="5">
        <v>831</v>
      </c>
      <c r="B892" s="1889">
        <f>'Expenditures 15-22'!F14</f>
        <v>63443</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414460</v>
      </c>
      <c r="C894" s="2" t="s">
        <v>569</v>
      </c>
      <c r="D894" s="2" t="str">
        <f t="shared" si="12"/>
        <v>Error?</v>
      </c>
    </row>
    <row r="895" spans="1:4" x14ac:dyDescent="0.2">
      <c r="A895" s="5">
        <v>834</v>
      </c>
      <c r="B895" s="1889">
        <f>'Expenditures 15-22'!F36</f>
        <v>230</v>
      </c>
      <c r="D895" s="2" t="str">
        <f t="shared" ref="D895:D958" si="13">IF(ISBLANK(B895),"OK",IF(A895-B895=0,"OK","Error?"))</f>
        <v>Error?</v>
      </c>
    </row>
    <row r="896" spans="1:4" x14ac:dyDescent="0.2">
      <c r="A896" s="5">
        <v>835</v>
      </c>
      <c r="B896" s="1889">
        <f>'Expenditures 15-22'!F37</f>
        <v>1057</v>
      </c>
      <c r="D896" s="2" t="str">
        <f t="shared" si="13"/>
        <v>Error?</v>
      </c>
    </row>
    <row r="897" spans="1:4" x14ac:dyDescent="0.2">
      <c r="A897" s="5">
        <v>836</v>
      </c>
      <c r="B897" s="1889">
        <f>'Expenditures 15-22'!F38</f>
        <v>4152</v>
      </c>
      <c r="D897" s="2" t="str">
        <f t="shared" si="13"/>
        <v>Error?</v>
      </c>
    </row>
    <row r="898" spans="1:4" x14ac:dyDescent="0.2">
      <c r="A898" s="5">
        <v>837</v>
      </c>
      <c r="B898" s="1889">
        <f>'Expenditures 15-22'!F39</f>
        <v>404</v>
      </c>
      <c r="D898" s="2" t="str">
        <f t="shared" si="13"/>
        <v>Error?</v>
      </c>
    </row>
    <row r="899" spans="1:4" x14ac:dyDescent="0.2">
      <c r="A899" s="5">
        <v>838</v>
      </c>
      <c r="B899" s="1889">
        <f>'Expenditures 15-22'!F40</f>
        <v>5340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11183</v>
      </c>
      <c r="C901" s="2" t="s">
        <v>569</v>
      </c>
      <c r="D901" s="2" t="str">
        <f t="shared" si="13"/>
        <v>Error?</v>
      </c>
    </row>
    <row r="902" spans="1:4" x14ac:dyDescent="0.2">
      <c r="A902" s="5">
        <v>841</v>
      </c>
      <c r="B902" s="1889">
        <f>'Expenditures 15-22'!F44</f>
        <v>1382</v>
      </c>
      <c r="D902" s="2" t="str">
        <f t="shared" si="13"/>
        <v>Error?</v>
      </c>
    </row>
    <row r="903" spans="1:4" x14ac:dyDescent="0.2">
      <c r="A903" s="5">
        <v>842</v>
      </c>
      <c r="B903" s="1889">
        <f>'Expenditures 15-22'!F45</f>
        <v>21011</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22393</v>
      </c>
      <c r="C905" s="2" t="s">
        <v>569</v>
      </c>
      <c r="D905" s="2" t="str">
        <f t="shared" si="13"/>
        <v>Error?</v>
      </c>
    </row>
    <row r="906" spans="1:4" x14ac:dyDescent="0.2">
      <c r="A906" s="5">
        <v>845</v>
      </c>
      <c r="B906" s="1889">
        <f>'Expenditures 15-22'!F49</f>
        <v>0</v>
      </c>
      <c r="D906" s="2" t="str">
        <f t="shared" si="13"/>
        <v>Error?</v>
      </c>
    </row>
    <row r="907" spans="1:4" x14ac:dyDescent="0.2">
      <c r="A907" s="5">
        <v>846</v>
      </c>
      <c r="B907" s="1889">
        <f>'Expenditures 15-22'!F50</f>
        <v>7069</v>
      </c>
      <c r="D907" s="2" t="str">
        <f t="shared" si="13"/>
        <v>Error?</v>
      </c>
    </row>
    <row r="908" spans="1:4" x14ac:dyDescent="0.2">
      <c r="A908" s="5">
        <v>847</v>
      </c>
      <c r="B908" s="1889">
        <f>'Expenditures 15-22'!F53</f>
        <v>9127</v>
      </c>
      <c r="C908" s="2" t="s">
        <v>569</v>
      </c>
      <c r="D908" s="2" t="str">
        <f t="shared" si="13"/>
        <v>Error?</v>
      </c>
    </row>
    <row r="909" spans="1:4" x14ac:dyDescent="0.2">
      <c r="A909" s="5">
        <v>848</v>
      </c>
      <c r="B909" s="1889">
        <f>'Expenditures 15-22'!F55</f>
        <v>10741</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10741</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1769</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2365</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4134</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57578</v>
      </c>
      <c r="C929" s="2" t="s">
        <v>569</v>
      </c>
      <c r="D929" s="2" t="str">
        <f t="shared" si="13"/>
        <v>Error?</v>
      </c>
    </row>
    <row r="930" spans="1:4" x14ac:dyDescent="0.2">
      <c r="A930" s="5">
        <v>869</v>
      </c>
      <c r="B930" s="1889">
        <f>'Expenditures 15-22'!F75</f>
        <v>377</v>
      </c>
      <c r="D930" s="2" t="str">
        <f t="shared" si="13"/>
        <v>Error?</v>
      </c>
    </row>
    <row r="931" spans="1:4" x14ac:dyDescent="0.2">
      <c r="A931" s="5">
        <v>870</v>
      </c>
      <c r="B931" s="1889">
        <f>'Expenditures 15-22'!F114</f>
        <v>472415</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23901</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2780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26681</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2604</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2604</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2604</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29285</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750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6900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1155562</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8988</v>
      </c>
      <c r="D1022" s="2" t="str">
        <f t="shared" si="14"/>
        <v>Error?</v>
      </c>
    </row>
    <row r="1023" spans="1:4" x14ac:dyDescent="0.2">
      <c r="A1023" s="5">
        <v>962</v>
      </c>
      <c r="B1023" s="1889">
        <f>'Expenditures 15-22'!H50</f>
        <v>0</v>
      </c>
      <c r="D1023" s="2" t="str">
        <f t="shared" ref="D1023:D1086" si="15">IF(ISBLANK(B1023),"OK",IF(A1023-B1023=0,"OK","Error?"))</f>
        <v>Error?</v>
      </c>
    </row>
    <row r="1024" spans="1:4" x14ac:dyDescent="0.2">
      <c r="A1024" s="5">
        <v>963</v>
      </c>
      <c r="B1024" s="1889">
        <f>'Expenditures 15-22'!H53</f>
        <v>8988</v>
      </c>
      <c r="C1024" s="2" t="s">
        <v>569</v>
      </c>
      <c r="D1024" s="2" t="str">
        <f t="shared" si="15"/>
        <v>Error?</v>
      </c>
    </row>
    <row r="1025" spans="1:4" x14ac:dyDescent="0.2">
      <c r="A1025" s="5">
        <v>964</v>
      </c>
      <c r="B1025" s="1889">
        <f>'Expenditures 15-22'!H55</f>
        <v>9597</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9597</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7087</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7087</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25672</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348052</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41055</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41055</v>
      </c>
      <c r="C1053" s="2" t="s">
        <v>569</v>
      </c>
      <c r="D1053" s="2" t="str">
        <f t="shared" si="15"/>
        <v>Error?</v>
      </c>
    </row>
    <row r="1054" spans="1:5" x14ac:dyDescent="0.2">
      <c r="A1054" s="5">
        <v>993</v>
      </c>
      <c r="B1054" s="1889">
        <f>'Expenditures 15-22'!H114</f>
        <v>1570341</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11196692</v>
      </c>
      <c r="C1093" s="2" t="s">
        <v>569</v>
      </c>
      <c r="D1093" s="2" t="str">
        <f t="shared" si="16"/>
        <v>Error?</v>
      </c>
    </row>
    <row r="1094" spans="1:4" x14ac:dyDescent="0.2">
      <c r="A1094" s="5">
        <v>1033</v>
      </c>
      <c r="B1094" s="1889">
        <f>'Expenditures 15-22'!K16</f>
        <v>93544</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101182</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256935</v>
      </c>
      <c r="C1105" s="2" t="s">
        <v>569</v>
      </c>
      <c r="D1105" s="2" t="str">
        <f t="shared" si="16"/>
        <v>Error?</v>
      </c>
    </row>
    <row r="1106" spans="1:4" x14ac:dyDescent="0.2">
      <c r="A1106" s="5">
        <v>1045</v>
      </c>
      <c r="B1106" s="1889">
        <f>'Expenditures 15-22'!K14</f>
        <v>649800</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16570517</v>
      </c>
      <c r="C1108" s="2" t="s">
        <v>569</v>
      </c>
      <c r="D1108" s="2" t="str">
        <f t="shared" si="16"/>
        <v>Error?</v>
      </c>
    </row>
    <row r="1109" spans="1:4" x14ac:dyDescent="0.2">
      <c r="A1109" s="5">
        <v>1048</v>
      </c>
      <c r="B1109" s="1889">
        <f>'Expenditures 15-22'!K36</f>
        <v>326612</v>
      </c>
      <c r="C1109" s="2" t="s">
        <v>569</v>
      </c>
      <c r="D1109" s="2" t="str">
        <f t="shared" si="16"/>
        <v>Error?</v>
      </c>
    </row>
    <row r="1110" spans="1:4" x14ac:dyDescent="0.2">
      <c r="A1110" s="5">
        <v>1049</v>
      </c>
      <c r="B1110" s="1889">
        <f>'Expenditures 15-22'!K37</f>
        <v>234485</v>
      </c>
      <c r="C1110" s="2" t="s">
        <v>569</v>
      </c>
      <c r="D1110" s="2" t="str">
        <f t="shared" si="16"/>
        <v>Error?</v>
      </c>
    </row>
    <row r="1111" spans="1:4" x14ac:dyDescent="0.2">
      <c r="A1111" s="5">
        <v>1050</v>
      </c>
      <c r="B1111" s="1889">
        <f>'Expenditures 15-22'!K38</f>
        <v>218289</v>
      </c>
      <c r="C1111" s="2" t="s">
        <v>569</v>
      </c>
      <c r="D1111" s="2" t="str">
        <f t="shared" si="16"/>
        <v>Error?</v>
      </c>
    </row>
    <row r="1112" spans="1:4" x14ac:dyDescent="0.2">
      <c r="A1112" s="5">
        <v>1051</v>
      </c>
      <c r="B1112" s="1889">
        <f>'Expenditures 15-22'!K39</f>
        <v>204440</v>
      </c>
      <c r="C1112" s="2" t="s">
        <v>569</v>
      </c>
      <c r="D1112" s="2" t="str">
        <f t="shared" si="16"/>
        <v>Error?</v>
      </c>
    </row>
    <row r="1113" spans="1:4" x14ac:dyDescent="0.2">
      <c r="A1113" s="5">
        <v>1052</v>
      </c>
      <c r="B1113" s="1889">
        <f>'Expenditures 15-22'!K40</f>
        <v>175181</v>
      </c>
      <c r="C1113" s="2" t="s">
        <v>569</v>
      </c>
      <c r="D1113" s="2" t="str">
        <f t="shared" si="16"/>
        <v>Error?</v>
      </c>
    </row>
    <row r="1114" spans="1:4" x14ac:dyDescent="0.2">
      <c r="A1114" s="5">
        <v>1053</v>
      </c>
      <c r="B1114" s="1889">
        <f>'Expenditures 15-22'!K41</f>
        <v>0</v>
      </c>
      <c r="C1114" s="2" t="s">
        <v>569</v>
      </c>
      <c r="D1114" s="2" t="str">
        <f t="shared" si="16"/>
        <v>Error?</v>
      </c>
    </row>
    <row r="1115" spans="1:4" x14ac:dyDescent="0.2">
      <c r="A1115" s="5">
        <v>1054</v>
      </c>
      <c r="B1115" s="1889">
        <f>'Expenditures 15-22'!K42</f>
        <v>1159007</v>
      </c>
      <c r="C1115" s="2" t="s">
        <v>569</v>
      </c>
      <c r="D1115" s="2" t="str">
        <f t="shared" si="16"/>
        <v>Error?</v>
      </c>
    </row>
    <row r="1116" spans="1:4" x14ac:dyDescent="0.2">
      <c r="A1116" s="5">
        <v>1055</v>
      </c>
      <c r="B1116" s="1889">
        <f>'Expenditures 15-22'!K44</f>
        <v>76744</v>
      </c>
      <c r="C1116" s="2" t="s">
        <v>569</v>
      </c>
      <c r="D1116" s="2" t="str">
        <f t="shared" si="16"/>
        <v>Error?</v>
      </c>
    </row>
    <row r="1117" spans="1:4" x14ac:dyDescent="0.2">
      <c r="A1117" s="5">
        <v>1056</v>
      </c>
      <c r="B1117" s="1889">
        <f>'Expenditures 15-22'!K45</f>
        <v>50457</v>
      </c>
      <c r="C1117" s="2" t="s">
        <v>569</v>
      </c>
      <c r="D1117" s="2" t="str">
        <f t="shared" si="16"/>
        <v>Error?</v>
      </c>
    </row>
    <row r="1118" spans="1:4" x14ac:dyDescent="0.2">
      <c r="A1118" s="5">
        <v>1057</v>
      </c>
      <c r="B1118" s="1889">
        <f>'Expenditures 15-22'!K46</f>
        <v>24626</v>
      </c>
      <c r="C1118" s="2" t="s">
        <v>569</v>
      </c>
      <c r="D1118" s="2" t="str">
        <f t="shared" si="16"/>
        <v>Error?</v>
      </c>
    </row>
    <row r="1119" spans="1:4" x14ac:dyDescent="0.2">
      <c r="A1119" s="5">
        <v>1058</v>
      </c>
      <c r="B1119" s="1889">
        <f>'Expenditures 15-22'!K47</f>
        <v>151827</v>
      </c>
      <c r="C1119" s="2" t="s">
        <v>569</v>
      </c>
      <c r="D1119" s="2" t="str">
        <f t="shared" si="16"/>
        <v>Error?</v>
      </c>
    </row>
    <row r="1120" spans="1:4" x14ac:dyDescent="0.2">
      <c r="A1120" s="5">
        <v>1059</v>
      </c>
      <c r="B1120" s="1889">
        <f>'Expenditures 15-22'!K49</f>
        <v>209966</v>
      </c>
      <c r="C1120" s="2" t="s">
        <v>569</v>
      </c>
      <c r="D1120" s="2" t="str">
        <f t="shared" si="16"/>
        <v>Error?</v>
      </c>
    </row>
    <row r="1121" spans="1:4" x14ac:dyDescent="0.2">
      <c r="A1121" s="5">
        <v>1060</v>
      </c>
      <c r="B1121" s="1889">
        <f>'Expenditures 15-22'!K50</f>
        <v>214634</v>
      </c>
      <c r="C1121" s="2" t="s">
        <v>569</v>
      </c>
      <c r="D1121" s="2" t="str">
        <f t="shared" si="16"/>
        <v>Error?</v>
      </c>
    </row>
    <row r="1122" spans="1:4" x14ac:dyDescent="0.2">
      <c r="A1122" s="5">
        <v>1061</v>
      </c>
      <c r="B1122" s="1889">
        <f>'Expenditures 15-22'!K53</f>
        <v>464584</v>
      </c>
      <c r="C1122" s="2" t="s">
        <v>569</v>
      </c>
      <c r="D1122" s="2" t="str">
        <f t="shared" si="16"/>
        <v>Error?</v>
      </c>
    </row>
    <row r="1123" spans="1:4" x14ac:dyDescent="0.2">
      <c r="A1123" s="5">
        <v>1062</v>
      </c>
      <c r="B1123" s="1889">
        <f>'Expenditures 15-22'!K55</f>
        <v>1544943</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1544943</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204425</v>
      </c>
      <c r="C1127" s="2" t="s">
        <v>569</v>
      </c>
      <c r="D1127" s="2" t="str">
        <f t="shared" si="16"/>
        <v>Error?</v>
      </c>
    </row>
    <row r="1128" spans="1:4" x14ac:dyDescent="0.2">
      <c r="A1128" s="5">
        <v>1067</v>
      </c>
      <c r="B1128" s="1889">
        <f>'Expenditures 15-22'!K61</f>
        <v>147811</v>
      </c>
      <c r="C1128" s="2" t="s">
        <v>569</v>
      </c>
      <c r="D1128" s="2" t="str">
        <f t="shared" si="16"/>
        <v>Error?</v>
      </c>
    </row>
    <row r="1129" spans="1:4" x14ac:dyDescent="0.2">
      <c r="A1129" s="5">
        <v>1068</v>
      </c>
      <c r="B1129" s="1889">
        <f>'Expenditures 15-22'!K62</f>
        <v>7158</v>
      </c>
      <c r="C1129" s="2" t="s">
        <v>569</v>
      </c>
      <c r="D1129" s="2" t="str">
        <f t="shared" si="16"/>
        <v>Error?</v>
      </c>
    </row>
    <row r="1130" spans="1:4" x14ac:dyDescent="0.2">
      <c r="A1130" s="5">
        <v>1069</v>
      </c>
      <c r="B1130" s="1889">
        <f>'Expenditures 15-22'!K63</f>
        <v>431086</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790480</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132765</v>
      </c>
      <c r="C1136" s="2" t="s">
        <v>569</v>
      </c>
      <c r="D1136" s="2" t="str">
        <f t="shared" si="16"/>
        <v>Error?</v>
      </c>
    </row>
    <row r="1137" spans="1:4" x14ac:dyDescent="0.2">
      <c r="A1137" s="5">
        <v>1076</v>
      </c>
      <c r="B1137" s="1889">
        <f>'Expenditures 15-22'!K70</f>
        <v>1737</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54301</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188803</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4299644</v>
      </c>
      <c r="C1143" s="2" t="s">
        <v>569</v>
      </c>
      <c r="D1143" s="2" t="str">
        <f t="shared" si="16"/>
        <v>Error?</v>
      </c>
    </row>
    <row r="1144" spans="1:4" x14ac:dyDescent="0.2">
      <c r="A1144" s="5">
        <v>1083</v>
      </c>
      <c r="B1144" s="1889">
        <f>'Expenditures 15-22'!K75</f>
        <v>9812</v>
      </c>
      <c r="C1144" s="2" t="s">
        <v>569</v>
      </c>
      <c r="D1144" s="2" t="str">
        <f t="shared" si="16"/>
        <v>Error?</v>
      </c>
    </row>
    <row r="1145" spans="1:4" x14ac:dyDescent="0.2">
      <c r="A1145" s="5">
        <v>1084</v>
      </c>
      <c r="B1145" s="1889">
        <f>'Expenditures 15-22'!K102</f>
        <v>355309</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41055</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41055</v>
      </c>
      <c r="C1151" s="2" t="s">
        <v>569</v>
      </c>
      <c r="D1151" s="2" t="str">
        <f t="shared" ref="D1151:D1214" si="17">IF(ISBLANK(B1151),"OK",IF(A1151-B1151=0,"OK","Error?"))</f>
        <v>Error?</v>
      </c>
    </row>
    <row r="1152" spans="1:4" x14ac:dyDescent="0.2">
      <c r="A1152" s="5">
        <v>1091</v>
      </c>
      <c r="B1152" s="1889">
        <f>'Expenditures 15-22'!K114</f>
        <v>21276337</v>
      </c>
      <c r="C1152" s="2" t="s">
        <v>569</v>
      </c>
      <c r="D1152" s="2" t="str">
        <f t="shared" si="17"/>
        <v>Error?</v>
      </c>
    </row>
    <row r="1153" spans="1:4" x14ac:dyDescent="0.2">
      <c r="A1153" s="5">
        <v>1092</v>
      </c>
      <c r="B1153" s="1889">
        <f>'Expenditures 15-22'!K115</f>
        <v>-1140769</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794191</v>
      </c>
      <c r="D1221" s="2" t="str">
        <f t="shared" si="18"/>
        <v>Error?</v>
      </c>
    </row>
    <row r="1222" spans="1:4" x14ac:dyDescent="0.2">
      <c r="A1222" s="10">
        <v>1161</v>
      </c>
      <c r="B1222" s="1889"/>
      <c r="D1222" s="2" t="str">
        <f t="shared" si="18"/>
        <v>OK</v>
      </c>
    </row>
    <row r="1223" spans="1:4" x14ac:dyDescent="0.2">
      <c r="A1223" s="5">
        <v>1162</v>
      </c>
      <c r="B1223" s="1889">
        <f>'Expenditures 15-22'!C127</f>
        <v>794191</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794191</v>
      </c>
      <c r="C1225" s="2" t="s">
        <v>569</v>
      </c>
      <c r="D1225" s="2" t="str">
        <f t="shared" si="18"/>
        <v>Error?</v>
      </c>
    </row>
    <row r="1226" spans="1:4" x14ac:dyDescent="0.2">
      <c r="A1226" s="5">
        <v>1165</v>
      </c>
      <c r="B1226" s="1889">
        <f>'Expenditures 15-22'!C151</f>
        <v>794191</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113730</v>
      </c>
      <c r="D1229" s="2" t="str">
        <f t="shared" si="18"/>
        <v>Error?</v>
      </c>
    </row>
    <row r="1230" spans="1:4" x14ac:dyDescent="0.2">
      <c r="A1230" s="10">
        <v>1169</v>
      </c>
      <c r="B1230" s="1889"/>
      <c r="D1230" s="2" t="str">
        <f t="shared" si="18"/>
        <v>OK</v>
      </c>
    </row>
    <row r="1231" spans="1:4" x14ac:dyDescent="0.2">
      <c r="A1231" s="5">
        <v>1170</v>
      </c>
      <c r="B1231" s="1889">
        <f>'Expenditures 15-22'!D127</f>
        <v>113730</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113730</v>
      </c>
      <c r="C1233" s="2" t="s">
        <v>569</v>
      </c>
      <c r="D1233" s="2" t="str">
        <f t="shared" si="18"/>
        <v>Error?</v>
      </c>
    </row>
    <row r="1234" spans="1:4" x14ac:dyDescent="0.2">
      <c r="A1234" s="5">
        <v>1173</v>
      </c>
      <c r="B1234" s="1889">
        <f>'Expenditures 15-22'!D151</f>
        <v>113730</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770616</v>
      </c>
      <c r="D1237" s="2" t="str">
        <f t="shared" si="18"/>
        <v>Error?</v>
      </c>
    </row>
    <row r="1238" spans="1:4" x14ac:dyDescent="0.2">
      <c r="A1238" s="10">
        <v>1177</v>
      </c>
      <c r="B1238" s="1889"/>
      <c r="D1238" s="2" t="str">
        <f t="shared" si="18"/>
        <v>OK</v>
      </c>
    </row>
    <row r="1239" spans="1:4" x14ac:dyDescent="0.2">
      <c r="A1239" s="5">
        <v>1178</v>
      </c>
      <c r="B1239" s="1889">
        <f>'Expenditures 15-22'!E127</f>
        <v>770616</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770616</v>
      </c>
      <c r="C1241" s="2" t="s">
        <v>569</v>
      </c>
      <c r="D1241" s="2" t="str">
        <f t="shared" si="18"/>
        <v>Error?</v>
      </c>
    </row>
    <row r="1242" spans="1:4" x14ac:dyDescent="0.2">
      <c r="A1242" s="5">
        <v>1181</v>
      </c>
      <c r="B1242" s="1889">
        <f>'Expenditures 15-22'!E151</f>
        <v>770616</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572545</v>
      </c>
      <c r="D1245" s="2" t="str">
        <f t="shared" si="18"/>
        <v>Error?</v>
      </c>
    </row>
    <row r="1246" spans="1:4" x14ac:dyDescent="0.2">
      <c r="A1246" s="10">
        <v>1185</v>
      </c>
      <c r="B1246" s="1889"/>
      <c r="D1246" s="2" t="str">
        <f t="shared" si="18"/>
        <v>OK</v>
      </c>
    </row>
    <row r="1247" spans="1:4" x14ac:dyDescent="0.2">
      <c r="A1247" s="5">
        <v>1186</v>
      </c>
      <c r="B1247" s="1889">
        <f>'Expenditures 15-22'!F127</f>
        <v>572545</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572545</v>
      </c>
      <c r="C1249" s="2" t="s">
        <v>569</v>
      </c>
      <c r="D1249" s="2" t="str">
        <f t="shared" si="18"/>
        <v>Error?</v>
      </c>
    </row>
    <row r="1250" spans="1:4" x14ac:dyDescent="0.2">
      <c r="A1250" s="5">
        <v>1189</v>
      </c>
      <c r="B1250" s="1889">
        <f>'Expenditures 15-22'!F151</f>
        <v>572545</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5000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5000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5000</v>
      </c>
      <c r="C1258" s="2" t="s">
        <v>569</v>
      </c>
      <c r="D1258" s="2" t="str">
        <f t="shared" si="18"/>
        <v>Error?</v>
      </c>
    </row>
    <row r="1259" spans="1:4" x14ac:dyDescent="0.2">
      <c r="A1259" s="5">
        <v>1198</v>
      </c>
      <c r="B1259" s="1889">
        <f>'Expenditures 15-22'!G151</f>
        <v>5000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2261381</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2261381</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2261381</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2261381</v>
      </c>
      <c r="C1288" s="2" t="s">
        <v>569</v>
      </c>
      <c r="D1288" s="2" t="str">
        <f t="shared" si="19"/>
        <v>Error?</v>
      </c>
    </row>
    <row r="1289" spans="1:4" x14ac:dyDescent="0.2">
      <c r="A1289" s="5">
        <v>1228</v>
      </c>
      <c r="B1289" s="1889">
        <f>'Expenditures 15-22'!K152</f>
        <v>-142901</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255391</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575090</v>
      </c>
      <c r="D1315" s="2" t="str">
        <f t="shared" si="19"/>
        <v>Error?</v>
      </c>
    </row>
    <row r="1316" spans="1:4" x14ac:dyDescent="0.2">
      <c r="A1316" s="5">
        <v>1255</v>
      </c>
      <c r="B1316" s="1889">
        <f>'Expenditures 15-22'!H171</f>
        <v>5300</v>
      </c>
      <c r="D1316" s="2" t="str">
        <f t="shared" si="19"/>
        <v>Error?</v>
      </c>
    </row>
    <row r="1317" spans="1:4" x14ac:dyDescent="0.2">
      <c r="A1317" s="5">
        <v>1256</v>
      </c>
      <c r="B1317" s="1889">
        <f>'Expenditures 15-22'!H172</f>
        <v>835781</v>
      </c>
      <c r="C1317" s="2" t="s">
        <v>569</v>
      </c>
      <c r="D1317" s="2" t="str">
        <f t="shared" si="19"/>
        <v>Error?</v>
      </c>
    </row>
    <row r="1318" spans="1:4" x14ac:dyDescent="0.2">
      <c r="A1318" s="5">
        <v>1257</v>
      </c>
      <c r="B1318" s="1889">
        <f>'Expenditures 15-22'!H174</f>
        <v>835781</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255391</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575090</v>
      </c>
      <c r="C1329" s="2" t="s">
        <v>569</v>
      </c>
      <c r="D1329" s="2" t="str">
        <f t="shared" si="19"/>
        <v>Error?</v>
      </c>
    </row>
    <row r="1330" spans="1:4" x14ac:dyDescent="0.2">
      <c r="A1330" s="5">
        <v>1269</v>
      </c>
      <c r="B1330" s="1889">
        <f>'Expenditures 15-22'!K171</f>
        <v>5300</v>
      </c>
      <c r="C1330" s="2" t="s">
        <v>569</v>
      </c>
      <c r="D1330" s="2" t="str">
        <f t="shared" si="19"/>
        <v>Error?</v>
      </c>
    </row>
    <row r="1331" spans="1:4" x14ac:dyDescent="0.2">
      <c r="A1331" s="5">
        <v>1270</v>
      </c>
      <c r="B1331" s="1889">
        <f>'Expenditures 15-22'!K172</f>
        <v>835781</v>
      </c>
      <c r="C1331" s="2" t="s">
        <v>569</v>
      </c>
      <c r="D1331" s="2" t="str">
        <f t="shared" si="19"/>
        <v>Error?</v>
      </c>
    </row>
    <row r="1332" spans="1:4" x14ac:dyDescent="0.2">
      <c r="A1332" s="5">
        <v>1271</v>
      </c>
      <c r="B1332" s="1889">
        <f>'Expenditures 15-22'!K174</f>
        <v>835781</v>
      </c>
      <c r="C1332" s="2" t="s">
        <v>569</v>
      </c>
      <c r="D1332" s="2" t="str">
        <f t="shared" si="19"/>
        <v>Error?</v>
      </c>
    </row>
    <row r="1333" spans="1:4" x14ac:dyDescent="0.2">
      <c r="A1333" s="5">
        <v>1272</v>
      </c>
      <c r="B1333" s="1889">
        <f>'Expenditures 15-22'!K175</f>
        <v>60106</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663467</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663467</v>
      </c>
      <c r="C1339" s="2" t="s">
        <v>569</v>
      </c>
      <c r="D1339" s="2" t="str">
        <f t="shared" si="19"/>
        <v>Error?</v>
      </c>
    </row>
    <row r="1340" spans="1:4" x14ac:dyDescent="0.2">
      <c r="A1340" s="5">
        <v>1279</v>
      </c>
      <c r="B1340" s="1889">
        <f>'Expenditures 15-22'!C210</f>
        <v>663467</v>
      </c>
      <c r="C1340" s="2" t="s">
        <v>569</v>
      </c>
      <c r="D1340" s="2" t="str">
        <f t="shared" si="19"/>
        <v>Error?</v>
      </c>
    </row>
    <row r="1341" spans="1:4" x14ac:dyDescent="0.2">
      <c r="A1341" s="5">
        <v>1280</v>
      </c>
      <c r="B1341" s="1889">
        <f>'Expenditures 15-22'!D182</f>
        <v>62167</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62167</v>
      </c>
      <c r="C1345" s="2" t="s">
        <v>569</v>
      </c>
      <c r="D1345" s="2" t="str">
        <f t="shared" si="20"/>
        <v>Error?</v>
      </c>
    </row>
    <row r="1346" spans="1:4" x14ac:dyDescent="0.2">
      <c r="A1346" s="5">
        <v>1285</v>
      </c>
      <c r="B1346" s="1889">
        <f>'Expenditures 15-22'!D210</f>
        <v>62167</v>
      </c>
      <c r="C1346" s="2" t="s">
        <v>569</v>
      </c>
      <c r="D1346" s="2" t="str">
        <f t="shared" si="20"/>
        <v>Error?</v>
      </c>
    </row>
    <row r="1347" spans="1:4" x14ac:dyDescent="0.2">
      <c r="A1347" s="5">
        <v>1286</v>
      </c>
      <c r="B1347" s="1889">
        <f>'Expenditures 15-22'!E182</f>
        <v>410009</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410009</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410009</v>
      </c>
      <c r="C1353" s="2" t="s">
        <v>569</v>
      </c>
      <c r="D1353" s="2" t="str">
        <f t="shared" si="20"/>
        <v>Error?</v>
      </c>
    </row>
    <row r="1354" spans="1:4" x14ac:dyDescent="0.2">
      <c r="A1354" s="5">
        <v>1293</v>
      </c>
      <c r="B1354" s="1889">
        <f>'Expenditures 15-22'!F182</f>
        <v>171874</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171874</v>
      </c>
      <c r="C1358" s="2" t="s">
        <v>569</v>
      </c>
      <c r="D1358" s="2" t="str">
        <f t="shared" si="20"/>
        <v>Error?</v>
      </c>
    </row>
    <row r="1359" spans="1:4" x14ac:dyDescent="0.2">
      <c r="A1359" s="5">
        <v>1298</v>
      </c>
      <c r="B1359" s="1889">
        <f>'Expenditures 15-22'!F210</f>
        <v>171874</v>
      </c>
      <c r="C1359" s="2" t="s">
        <v>569</v>
      </c>
      <c r="D1359" s="2" t="str">
        <f t="shared" si="20"/>
        <v>Error?</v>
      </c>
    </row>
    <row r="1360" spans="1:4" x14ac:dyDescent="0.2">
      <c r="A1360" s="5">
        <v>1299</v>
      </c>
      <c r="B1360" s="1889">
        <f>'Expenditures 15-22'!G182</f>
        <v>83254</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83254</v>
      </c>
      <c r="C1364" s="2" t="s">
        <v>569</v>
      </c>
      <c r="D1364" s="2" t="str">
        <f t="shared" si="20"/>
        <v>Error?</v>
      </c>
    </row>
    <row r="1365" spans="1:4" x14ac:dyDescent="0.2">
      <c r="A1365" s="5">
        <v>1304</v>
      </c>
      <c r="B1365" s="1889">
        <f>'Expenditures 15-22'!G210</f>
        <v>83254</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67280</v>
      </c>
      <c r="C1375" s="2" t="s">
        <v>569</v>
      </c>
      <c r="D1375" s="2" t="str">
        <f t="shared" si="20"/>
        <v>Error?</v>
      </c>
    </row>
    <row r="1376" spans="1:4" x14ac:dyDescent="0.2">
      <c r="A1376" s="5">
        <v>1315</v>
      </c>
      <c r="B1376" s="1889">
        <f>'Expenditures 15-22'!H210</f>
        <v>67280</v>
      </c>
      <c r="C1376" s="2" t="s">
        <v>569</v>
      </c>
      <c r="D1376" s="2" t="str">
        <f t="shared" si="20"/>
        <v>Error?</v>
      </c>
    </row>
    <row r="1377" spans="1:4" x14ac:dyDescent="0.2">
      <c r="A1377" s="5">
        <v>1316</v>
      </c>
      <c r="B1377" s="1889">
        <f>'Expenditures 15-22'!K182</f>
        <v>1390771</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1390771</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67280</v>
      </c>
      <c r="C1387" s="2" t="s">
        <v>569</v>
      </c>
      <c r="D1387" s="2" t="str">
        <f t="shared" si="20"/>
        <v>Error?</v>
      </c>
    </row>
    <row r="1388" spans="1:4" x14ac:dyDescent="0.2">
      <c r="A1388" s="5">
        <v>1327</v>
      </c>
      <c r="B1388" s="1889">
        <f>'Expenditures 15-22'!K210</f>
        <v>1458051</v>
      </c>
      <c r="C1388" s="2" t="s">
        <v>569</v>
      </c>
      <c r="D1388" s="2" t="str">
        <f t="shared" si="20"/>
        <v>Error?</v>
      </c>
    </row>
    <row r="1389" spans="1:4" x14ac:dyDescent="0.2">
      <c r="A1389" s="5">
        <v>1328</v>
      </c>
      <c r="B1389" s="1889">
        <f>'Expenditures 15-22'!K211</f>
        <v>-88635</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1338</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4536</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1942</v>
      </c>
      <c r="D1407" s="2" t="str">
        <f t="shared" ref="D1407:D1470" si="21">IF(ISBLANK(B1407),"OK",IF(A1407-B1407=0,"OK","Error?"))</f>
        <v>Error?</v>
      </c>
    </row>
    <row r="1408" spans="1:4" x14ac:dyDescent="0.2">
      <c r="A1408" s="5">
        <v>1347</v>
      </c>
      <c r="B1408" s="1889">
        <f>'Expenditures 15-22'!D223</f>
        <v>11828</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336299</v>
      </c>
      <c r="C1410" s="2" t="s">
        <v>569</v>
      </c>
      <c r="D1410" s="2" t="str">
        <f t="shared" si="21"/>
        <v>Error?</v>
      </c>
    </row>
    <row r="1411" spans="1:4" x14ac:dyDescent="0.2">
      <c r="A1411" s="5">
        <v>1350</v>
      </c>
      <c r="B1411" s="1889">
        <f>'Expenditures 15-22'!D232</f>
        <v>4241</v>
      </c>
      <c r="D1411" s="2" t="str">
        <f t="shared" si="21"/>
        <v>Error?</v>
      </c>
    </row>
    <row r="1412" spans="1:4" x14ac:dyDescent="0.2">
      <c r="A1412" s="5">
        <v>1351</v>
      </c>
      <c r="B1412" s="1889">
        <f>'Expenditures 15-22'!D233</f>
        <v>3006</v>
      </c>
      <c r="D1412" s="2" t="str">
        <f t="shared" si="21"/>
        <v>Error?</v>
      </c>
    </row>
    <row r="1413" spans="1:4" x14ac:dyDescent="0.2">
      <c r="A1413" s="5">
        <v>1352</v>
      </c>
      <c r="B1413" s="1889">
        <f>'Expenditures 15-22'!D234</f>
        <v>18582</v>
      </c>
      <c r="D1413" s="2" t="str">
        <f t="shared" si="21"/>
        <v>Error?</v>
      </c>
    </row>
    <row r="1414" spans="1:4" x14ac:dyDescent="0.2">
      <c r="A1414" s="5">
        <v>1353</v>
      </c>
      <c r="B1414" s="1889">
        <f>'Expenditures 15-22'!D235</f>
        <v>3462</v>
      </c>
      <c r="D1414" s="2" t="str">
        <f t="shared" si="21"/>
        <v>Error?</v>
      </c>
    </row>
    <row r="1415" spans="1:4" x14ac:dyDescent="0.2">
      <c r="A1415" s="5">
        <v>1354</v>
      </c>
      <c r="B1415" s="1889">
        <f>'Expenditures 15-22'!D236</f>
        <v>1876</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31167</v>
      </c>
      <c r="C1417" s="2" t="s">
        <v>569</v>
      </c>
      <c r="D1417" s="2" t="str">
        <f t="shared" si="21"/>
        <v>Error?</v>
      </c>
    </row>
    <row r="1418" spans="1:4" x14ac:dyDescent="0.2">
      <c r="A1418" s="5">
        <v>1357</v>
      </c>
      <c r="B1418" s="1889">
        <f>'Expenditures 15-22'!D240</f>
        <v>1049</v>
      </c>
      <c r="D1418" s="2" t="str">
        <f t="shared" si="21"/>
        <v>Error?</v>
      </c>
    </row>
    <row r="1419" spans="1:4" x14ac:dyDescent="0.2">
      <c r="A1419" s="5">
        <v>1358</v>
      </c>
      <c r="B1419" s="1889">
        <f>'Expenditures 15-22'!D241</f>
        <v>844</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1893</v>
      </c>
      <c r="C1421" s="2" t="s">
        <v>569</v>
      </c>
      <c r="D1421" s="2" t="str">
        <f t="shared" si="21"/>
        <v>Error?</v>
      </c>
    </row>
    <row r="1422" spans="1:4" x14ac:dyDescent="0.2">
      <c r="A1422" s="5">
        <v>1361</v>
      </c>
      <c r="B1422" s="1889">
        <f>'Expenditures 15-22'!D245</f>
        <v>270</v>
      </c>
      <c r="D1422" s="2" t="str">
        <f t="shared" si="21"/>
        <v>Error?</v>
      </c>
    </row>
    <row r="1423" spans="1:4" x14ac:dyDescent="0.2">
      <c r="A1423" s="5">
        <v>1362</v>
      </c>
      <c r="B1423" s="1889">
        <f>'Expenditures 15-22'!D246</f>
        <v>12617</v>
      </c>
      <c r="D1423" s="2" t="str">
        <f t="shared" si="21"/>
        <v>Error?</v>
      </c>
    </row>
    <row r="1424" spans="1:4" x14ac:dyDescent="0.2">
      <c r="A1424" s="5">
        <v>1363</v>
      </c>
      <c r="B1424" s="1889">
        <f>'Expenditures 15-22'!D257</f>
        <v>19640</v>
      </c>
      <c r="C1424" s="2" t="s">
        <v>569</v>
      </c>
      <c r="D1424" s="2" t="str">
        <f t="shared" si="21"/>
        <v>Error?</v>
      </c>
    </row>
    <row r="1425" spans="1:4" x14ac:dyDescent="0.2">
      <c r="A1425" s="5">
        <v>1364</v>
      </c>
      <c r="B1425" s="1889">
        <f>'Expenditures 15-22'!D259</f>
        <v>88748</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88748</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16885</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140745</v>
      </c>
      <c r="D1431" s="2" t="str">
        <f t="shared" si="21"/>
        <v>Error?</v>
      </c>
    </row>
    <row r="1432" spans="1:4" x14ac:dyDescent="0.2">
      <c r="A1432" s="5">
        <v>1371</v>
      </c>
      <c r="B1432" s="1889">
        <f>'Expenditures 15-22'!D267</f>
        <v>103292</v>
      </c>
      <c r="D1432" s="2" t="str">
        <f t="shared" si="21"/>
        <v>Error?</v>
      </c>
    </row>
    <row r="1433" spans="1:4" x14ac:dyDescent="0.2">
      <c r="A1433" s="5">
        <v>1372</v>
      </c>
      <c r="B1433" s="1889">
        <f>'Expenditures 15-22'!D268</f>
        <v>0</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260922</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28517</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28517</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430887</v>
      </c>
      <c r="C1446" s="2" t="s">
        <v>569</v>
      </c>
      <c r="D1446" s="2" t="str">
        <f t="shared" si="21"/>
        <v>Error?</v>
      </c>
    </row>
    <row r="1447" spans="1:4" x14ac:dyDescent="0.2">
      <c r="A1447" s="5">
        <v>1386</v>
      </c>
      <c r="B1447" s="1889">
        <f>'Expenditures 15-22'!D280</f>
        <v>722</v>
      </c>
      <c r="D1447" s="2" t="str">
        <f t="shared" si="21"/>
        <v>Error?</v>
      </c>
    </row>
    <row r="1448" spans="1:4" x14ac:dyDescent="0.2">
      <c r="A1448" s="5">
        <v>1387</v>
      </c>
      <c r="B1448" s="1889">
        <f>'Expenditures 15-22'!D295</f>
        <v>767908</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1338</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4536</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1942</v>
      </c>
      <c r="C1471" s="2" t="s">
        <v>569</v>
      </c>
      <c r="D1471" s="2" t="str">
        <f t="shared" ref="D1471:D1534" si="22">IF(ISBLANK(B1471),"OK",IF(A1471-B1471=0,"OK","Error?"))</f>
        <v>Error?</v>
      </c>
    </row>
    <row r="1472" spans="1:4" x14ac:dyDescent="0.2">
      <c r="A1472" s="5">
        <v>1411</v>
      </c>
      <c r="B1472" s="1889">
        <f>'Expenditures 15-22'!K223</f>
        <v>11828</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336299</v>
      </c>
      <c r="C1474" s="2" t="s">
        <v>569</v>
      </c>
      <c r="D1474" s="2" t="str">
        <f t="shared" si="22"/>
        <v>Error?</v>
      </c>
    </row>
    <row r="1475" spans="1:4" x14ac:dyDescent="0.2">
      <c r="A1475" s="5">
        <v>1414</v>
      </c>
      <c r="B1475" s="1889">
        <f>'Expenditures 15-22'!K232</f>
        <v>4241</v>
      </c>
      <c r="C1475" s="2" t="s">
        <v>569</v>
      </c>
      <c r="D1475" s="2" t="str">
        <f t="shared" si="22"/>
        <v>Error?</v>
      </c>
    </row>
    <row r="1476" spans="1:4" x14ac:dyDescent="0.2">
      <c r="A1476" s="5">
        <v>1415</v>
      </c>
      <c r="B1476" s="1889">
        <f>'Expenditures 15-22'!K233</f>
        <v>3006</v>
      </c>
      <c r="C1476" s="2" t="s">
        <v>569</v>
      </c>
      <c r="D1476" s="2" t="str">
        <f t="shared" si="22"/>
        <v>Error?</v>
      </c>
    </row>
    <row r="1477" spans="1:4" x14ac:dyDescent="0.2">
      <c r="A1477" s="5">
        <v>1416</v>
      </c>
      <c r="B1477" s="1889">
        <f>'Expenditures 15-22'!K234</f>
        <v>18582</v>
      </c>
      <c r="C1477" s="2" t="s">
        <v>569</v>
      </c>
      <c r="D1477" s="2" t="str">
        <f t="shared" si="22"/>
        <v>Error?</v>
      </c>
    </row>
    <row r="1478" spans="1:4" x14ac:dyDescent="0.2">
      <c r="A1478" s="5">
        <v>1417</v>
      </c>
      <c r="B1478" s="1889">
        <f>'Expenditures 15-22'!K235</f>
        <v>3462</v>
      </c>
      <c r="C1478" s="2" t="s">
        <v>569</v>
      </c>
      <c r="D1478" s="2" t="str">
        <f t="shared" si="22"/>
        <v>Error?</v>
      </c>
    </row>
    <row r="1479" spans="1:4" x14ac:dyDescent="0.2">
      <c r="A1479" s="5">
        <v>1418</v>
      </c>
      <c r="B1479" s="1889">
        <f>'Expenditures 15-22'!K236</f>
        <v>1876</v>
      </c>
      <c r="C1479" s="2" t="s">
        <v>569</v>
      </c>
      <c r="D1479" s="2" t="str">
        <f t="shared" si="22"/>
        <v>Error?</v>
      </c>
    </row>
    <row r="1480" spans="1:4" x14ac:dyDescent="0.2">
      <c r="A1480" s="5">
        <v>1419</v>
      </c>
      <c r="B1480" s="1889">
        <f>'Expenditures 15-22'!K237</f>
        <v>0</v>
      </c>
      <c r="C1480" s="2" t="s">
        <v>569</v>
      </c>
      <c r="D1480" s="2" t="str">
        <f t="shared" si="22"/>
        <v>Error?</v>
      </c>
    </row>
    <row r="1481" spans="1:4" x14ac:dyDescent="0.2">
      <c r="A1481" s="5">
        <v>1420</v>
      </c>
      <c r="B1481" s="1889">
        <f>'Expenditures 15-22'!K238</f>
        <v>31167</v>
      </c>
      <c r="C1481" s="2" t="s">
        <v>569</v>
      </c>
      <c r="D1481" s="2" t="str">
        <f t="shared" si="22"/>
        <v>Error?</v>
      </c>
    </row>
    <row r="1482" spans="1:4" x14ac:dyDescent="0.2">
      <c r="A1482" s="5">
        <v>1421</v>
      </c>
      <c r="B1482" s="1889">
        <f>'Expenditures 15-22'!K240</f>
        <v>1049</v>
      </c>
      <c r="C1482" s="2" t="s">
        <v>569</v>
      </c>
      <c r="D1482" s="2" t="str">
        <f t="shared" si="22"/>
        <v>Error?</v>
      </c>
    </row>
    <row r="1483" spans="1:4" x14ac:dyDescent="0.2">
      <c r="A1483" s="5">
        <v>1422</v>
      </c>
      <c r="B1483" s="1889">
        <f>'Expenditures 15-22'!K241</f>
        <v>844</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1893</v>
      </c>
      <c r="C1485" s="2" t="s">
        <v>569</v>
      </c>
      <c r="D1485" s="2" t="str">
        <f t="shared" si="22"/>
        <v>Error?</v>
      </c>
    </row>
    <row r="1486" spans="1:4" x14ac:dyDescent="0.2">
      <c r="A1486" s="5">
        <v>1425</v>
      </c>
      <c r="B1486" s="1889">
        <f>'Expenditures 15-22'!K245</f>
        <v>270</v>
      </c>
      <c r="C1486" s="2" t="s">
        <v>569</v>
      </c>
      <c r="D1486" s="2" t="str">
        <f t="shared" si="22"/>
        <v>Error?</v>
      </c>
    </row>
    <row r="1487" spans="1:4" x14ac:dyDescent="0.2">
      <c r="A1487" s="5">
        <v>1426</v>
      </c>
      <c r="B1487" s="1889">
        <f>'Expenditures 15-22'!K246</f>
        <v>12617</v>
      </c>
      <c r="C1487" s="2" t="s">
        <v>569</v>
      </c>
      <c r="D1487" s="2" t="str">
        <f t="shared" si="22"/>
        <v>Error?</v>
      </c>
    </row>
    <row r="1488" spans="1:4" x14ac:dyDescent="0.2">
      <c r="A1488" s="5">
        <v>1427</v>
      </c>
      <c r="B1488" s="1889">
        <f>'Expenditures 15-22'!K257</f>
        <v>19640</v>
      </c>
      <c r="C1488" s="2" t="s">
        <v>569</v>
      </c>
      <c r="D1488" s="2" t="str">
        <f t="shared" si="22"/>
        <v>Error?</v>
      </c>
    </row>
    <row r="1489" spans="1:4" x14ac:dyDescent="0.2">
      <c r="A1489" s="5">
        <v>1428</v>
      </c>
      <c r="B1489" s="1889">
        <f>'Expenditures 15-22'!K259</f>
        <v>88748</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88748</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16885</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140745</v>
      </c>
      <c r="C1495" s="2" t="s">
        <v>569</v>
      </c>
      <c r="D1495" s="2" t="str">
        <f t="shared" si="22"/>
        <v>Error?</v>
      </c>
    </row>
    <row r="1496" spans="1:4" x14ac:dyDescent="0.2">
      <c r="A1496" s="5">
        <v>1435</v>
      </c>
      <c r="B1496" s="1889">
        <f>'Expenditures 15-22'!K267</f>
        <v>103292</v>
      </c>
      <c r="C1496" s="2" t="s">
        <v>569</v>
      </c>
      <c r="D1496" s="2" t="str">
        <f t="shared" si="22"/>
        <v>Error?</v>
      </c>
    </row>
    <row r="1497" spans="1:4" x14ac:dyDescent="0.2">
      <c r="A1497" s="5">
        <v>1436</v>
      </c>
      <c r="B1497" s="1889">
        <f>'Expenditures 15-22'!K268</f>
        <v>0</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260922</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28517</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28517</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430887</v>
      </c>
      <c r="C1510" s="2" t="s">
        <v>569</v>
      </c>
      <c r="D1510" s="2" t="str">
        <f t="shared" si="22"/>
        <v>Error?</v>
      </c>
    </row>
    <row r="1511" spans="1:4" x14ac:dyDescent="0.2">
      <c r="A1511" s="5">
        <v>1450</v>
      </c>
      <c r="B1511" s="1889">
        <f>'Expenditures 15-22'!K280</f>
        <v>722</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767908</v>
      </c>
      <c r="C1517" s="2" t="s">
        <v>569</v>
      </c>
      <c r="D1517" s="2" t="str">
        <f t="shared" si="22"/>
        <v>Error?</v>
      </c>
    </row>
    <row r="1518" spans="1:4" x14ac:dyDescent="0.2">
      <c r="A1518" s="5">
        <v>1457</v>
      </c>
      <c r="B1518" s="1889">
        <f>'Expenditures 15-22'!K296</f>
        <v>-703</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297242</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100000</v>
      </c>
      <c r="C1630" s="2" t="s">
        <v>569</v>
      </c>
      <c r="D1630" s="2" t="str">
        <f t="shared" si="24"/>
        <v>Error?</v>
      </c>
    </row>
    <row r="1631" spans="1:4" x14ac:dyDescent="0.2">
      <c r="A1631" s="5">
        <v>1570</v>
      </c>
      <c r="B1631" s="1889">
        <f>'Acct Summary 7-8'!D79</f>
        <v>149401</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6500</v>
      </c>
      <c r="C1644" s="2" t="s">
        <v>569</v>
      </c>
      <c r="D1644" s="2" t="str">
        <f t="shared" si="24"/>
        <v>Error?</v>
      </c>
    </row>
    <row r="1645" spans="1:4" x14ac:dyDescent="0.2">
      <c r="A1645" s="5">
        <v>1584</v>
      </c>
      <c r="B1645" s="1889">
        <f>'Acct Summary 7-8'!E79</f>
        <v>206482</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266588</v>
      </c>
      <c r="C1658" s="2" t="s">
        <v>569</v>
      </c>
      <c r="D1658" s="2" t="str">
        <f t="shared" si="24"/>
        <v>Error?</v>
      </c>
    </row>
    <row r="1659" spans="1:4" x14ac:dyDescent="0.2">
      <c r="A1659" s="5">
        <v>1598</v>
      </c>
      <c r="B1659" s="1889">
        <f>'Acct Summary 7-8'!F79</f>
        <v>27935</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4300</v>
      </c>
      <c r="C1672" s="2" t="s">
        <v>569</v>
      </c>
      <c r="D1672" s="2" t="str">
        <f t="shared" si="25"/>
        <v>Error?</v>
      </c>
    </row>
    <row r="1673" spans="1:4" x14ac:dyDescent="0.2">
      <c r="A1673" s="5">
        <v>1612</v>
      </c>
      <c r="B1673" s="1889">
        <f>'Acct Summary 7-8'!G79</f>
        <v>703</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0</v>
      </c>
      <c r="C1686" s="2" t="s">
        <v>569</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12220563</v>
      </c>
      <c r="C1744" s="2" t="s">
        <v>569</v>
      </c>
      <c r="D1744" s="2" t="str">
        <f t="shared" si="26"/>
        <v>Error?</v>
      </c>
    </row>
    <row r="1745" spans="1:5" x14ac:dyDescent="0.2">
      <c r="A1745" s="5">
        <v>1684</v>
      </c>
      <c r="B1745" s="1889">
        <f>'Tax Sched 23'!B5</f>
        <v>1624960</v>
      </c>
      <c r="C1745" s="2" t="s">
        <v>569</v>
      </c>
      <c r="D1745" s="2" t="str">
        <f t="shared" si="26"/>
        <v>Error?</v>
      </c>
    </row>
    <row r="1746" spans="1:5" x14ac:dyDescent="0.2">
      <c r="A1746" s="5">
        <v>1685</v>
      </c>
      <c r="B1746" s="1889">
        <f>'Tax Sched 23'!B6</f>
        <v>784198</v>
      </c>
      <c r="C1746" s="2" t="s">
        <v>569</v>
      </c>
      <c r="D1746" s="2" t="str">
        <f t="shared" si="26"/>
        <v>Error?</v>
      </c>
    </row>
    <row r="1747" spans="1:5" x14ac:dyDescent="0.2">
      <c r="A1747" s="5">
        <v>1686</v>
      </c>
      <c r="B1747" s="1889">
        <f>'Tax Sched 23'!B7</f>
        <v>163741</v>
      </c>
      <c r="C1747" s="2" t="s">
        <v>569</v>
      </c>
      <c r="D1747" s="2" t="str">
        <f t="shared" si="26"/>
        <v>Error?</v>
      </c>
    </row>
    <row r="1748" spans="1:5" x14ac:dyDescent="0.2">
      <c r="A1748" s="5">
        <v>1687</v>
      </c>
      <c r="B1748" s="1889">
        <f>'Tax Sched 23'!B8</f>
        <v>207589</v>
      </c>
      <c r="C1748" s="2" t="s">
        <v>569</v>
      </c>
      <c r="D1748" s="2" t="str">
        <f t="shared" si="26"/>
        <v>Error?</v>
      </c>
    </row>
    <row r="1749" spans="1:5" x14ac:dyDescent="0.2">
      <c r="A1749" s="5">
        <v>1688</v>
      </c>
      <c r="B1749" s="1889">
        <f>'Tax Sched 23'!B10</f>
        <v>353</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353</v>
      </c>
      <c r="C1752" s="2" t="s">
        <v>569</v>
      </c>
      <c r="D1752" s="2" t="str">
        <f t="shared" si="26"/>
        <v>Error?</v>
      </c>
    </row>
    <row r="1753" spans="1:5" x14ac:dyDescent="0.2">
      <c r="A1753" s="5">
        <v>1692</v>
      </c>
      <c r="B1753" s="1889">
        <f>'Tax Sched 23'!B12</f>
        <v>3348</v>
      </c>
      <c r="C1753" s="2" t="s">
        <v>569</v>
      </c>
      <c r="D1753" s="2" t="str">
        <f t="shared" si="26"/>
        <v>Error?</v>
      </c>
    </row>
    <row r="1754" spans="1:5" x14ac:dyDescent="0.2">
      <c r="A1754" s="5">
        <v>1693</v>
      </c>
      <c r="B1754" s="1889">
        <f>'Tax Sched 23'!B14</f>
        <v>530953</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15743999</v>
      </c>
      <c r="C1759" s="2" t="s">
        <v>569</v>
      </c>
      <c r="D1759" s="2" t="str">
        <f t="shared" si="26"/>
        <v>Error?</v>
      </c>
    </row>
    <row r="1760" spans="1:5" x14ac:dyDescent="0.2">
      <c r="A1760" s="5">
        <v>1699</v>
      </c>
      <c r="B1760" s="1889">
        <f>'Tax Sched 23'!D4</f>
        <v>7568641</v>
      </c>
      <c r="C1760" s="2" t="s">
        <v>569</v>
      </c>
      <c r="D1760" s="2" t="str">
        <f t="shared" si="26"/>
        <v>Error?</v>
      </c>
    </row>
    <row r="1761" spans="1:7" x14ac:dyDescent="0.2">
      <c r="A1761" s="5">
        <v>1700</v>
      </c>
      <c r="B1761" s="1889">
        <f>'Tax Sched 23'!D5</f>
        <v>1037037</v>
      </c>
      <c r="C1761" s="2" t="s">
        <v>569</v>
      </c>
      <c r="D1761" s="2" t="str">
        <f t="shared" si="26"/>
        <v>Error?</v>
      </c>
    </row>
    <row r="1762" spans="1:7" s="8" customFormat="1" x14ac:dyDescent="0.2">
      <c r="A1762" s="5">
        <v>1701</v>
      </c>
      <c r="B1762" s="1889">
        <f>'Tax Sched 23'!D6</f>
        <v>492028</v>
      </c>
      <c r="C1762" s="2" t="s">
        <v>569</v>
      </c>
      <c r="D1762" s="2" t="str">
        <f t="shared" si="26"/>
        <v>Error?</v>
      </c>
      <c r="E1762" s="9"/>
      <c r="G1762"/>
    </row>
    <row r="1763" spans="1:7" x14ac:dyDescent="0.2">
      <c r="A1763" s="5">
        <v>1702</v>
      </c>
      <c r="B1763" s="1889">
        <f>'Tax Sched 23'!D7</f>
        <v>97131</v>
      </c>
      <c r="C1763" s="2" t="s">
        <v>569</v>
      </c>
      <c r="D1763" s="2" t="str">
        <f t="shared" si="26"/>
        <v>Error?</v>
      </c>
    </row>
    <row r="1764" spans="1:7" x14ac:dyDescent="0.2">
      <c r="A1764" s="5">
        <v>1703</v>
      </c>
      <c r="B1764" s="1889">
        <f>'Tax Sched 23'!D8</f>
        <v>128962</v>
      </c>
      <c r="C1764" s="2" t="s">
        <v>569</v>
      </c>
      <c r="D1764" s="2" t="str">
        <f t="shared" si="26"/>
        <v>Error?</v>
      </c>
    </row>
    <row r="1765" spans="1:7" x14ac:dyDescent="0.2">
      <c r="A1765" s="5">
        <v>1704</v>
      </c>
      <c r="B1765" s="1889">
        <f>'Tax Sched 23'!D10</f>
        <v>212</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212</v>
      </c>
      <c r="C1768" s="2" t="s">
        <v>569</v>
      </c>
      <c r="D1768" s="2" t="str">
        <f t="shared" si="26"/>
        <v>Error?</v>
      </c>
    </row>
    <row r="1769" spans="1:7" x14ac:dyDescent="0.2">
      <c r="A1769" s="5">
        <v>1708</v>
      </c>
      <c r="B1769" s="1889">
        <f>'Tax Sched 23'!D12</f>
        <v>2569</v>
      </c>
      <c r="C1769" s="2" t="s">
        <v>569</v>
      </c>
      <c r="D1769" s="2" t="str">
        <f t="shared" si="26"/>
        <v>Error?</v>
      </c>
    </row>
    <row r="1770" spans="1:7" x14ac:dyDescent="0.2">
      <c r="A1770" s="5">
        <v>1709</v>
      </c>
      <c r="B1770" s="1889">
        <f>'Tax Sched 23'!D14</f>
        <v>329853</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9785818</v>
      </c>
      <c r="C1775" s="2" t="s">
        <v>569</v>
      </c>
      <c r="D1775" s="2" t="str">
        <f t="shared" si="26"/>
        <v>Error?</v>
      </c>
    </row>
    <row r="1776" spans="1:7" x14ac:dyDescent="0.2">
      <c r="A1776" s="5">
        <v>1715</v>
      </c>
      <c r="B1776" s="1889">
        <f>'Tax Sched 23'!C4</f>
        <v>4651922</v>
      </c>
      <c r="D1776" s="2" t="str">
        <f t="shared" si="26"/>
        <v>Error?</v>
      </c>
    </row>
    <row r="1777" spans="1:4" x14ac:dyDescent="0.2">
      <c r="A1777" s="5">
        <v>1716</v>
      </c>
      <c r="B1777" s="1889">
        <f>'Tax Sched 23'!C5</f>
        <v>587923</v>
      </c>
      <c r="D1777" s="2" t="str">
        <f t="shared" si="26"/>
        <v>Error?</v>
      </c>
    </row>
    <row r="1778" spans="1:4" x14ac:dyDescent="0.2">
      <c r="A1778" s="5">
        <v>1717</v>
      </c>
      <c r="B1778" s="1889">
        <f>'Tax Sched 23'!C6</f>
        <v>292170</v>
      </c>
      <c r="D1778" s="2" t="str">
        <f t="shared" si="26"/>
        <v>Error?</v>
      </c>
    </row>
    <row r="1779" spans="1:4" x14ac:dyDescent="0.2">
      <c r="A1779" s="5">
        <v>1718</v>
      </c>
      <c r="B1779" s="1889">
        <f>'Tax Sched 23'!C7</f>
        <v>66610</v>
      </c>
      <c r="D1779" s="2" t="str">
        <f t="shared" si="26"/>
        <v>Error?</v>
      </c>
    </row>
    <row r="1780" spans="1:4" x14ac:dyDescent="0.2">
      <c r="A1780" s="5">
        <v>1719</v>
      </c>
      <c r="B1780" s="1889">
        <f>'Tax Sched 23'!C8</f>
        <v>78627</v>
      </c>
      <c r="D1780" s="2" t="str">
        <f t="shared" si="26"/>
        <v>Error?</v>
      </c>
    </row>
    <row r="1781" spans="1:4" x14ac:dyDescent="0.2">
      <c r="A1781" s="5">
        <v>1720</v>
      </c>
      <c r="B1781" s="1889">
        <f>'Tax Sched 23'!C10</f>
        <v>141</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141</v>
      </c>
      <c r="D1784" s="2" t="str">
        <f t="shared" si="26"/>
        <v>Error?</v>
      </c>
    </row>
    <row r="1785" spans="1:4" x14ac:dyDescent="0.2">
      <c r="A1785" s="5">
        <v>1724</v>
      </c>
      <c r="B1785" s="1889">
        <f>'Tax Sched 23'!C12</f>
        <v>779</v>
      </c>
      <c r="D1785" s="2" t="str">
        <f t="shared" si="26"/>
        <v>Error?</v>
      </c>
    </row>
    <row r="1786" spans="1:4" x14ac:dyDescent="0.2">
      <c r="A1786" s="5">
        <v>1725</v>
      </c>
      <c r="B1786" s="1889">
        <f>'Tax Sched 23'!C14</f>
        <v>201100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5958181</v>
      </c>
      <c r="C1791" s="2" t="s">
        <v>569</v>
      </c>
      <c r="D1791" s="2" t="str">
        <f t="shared" ref="D1791:D1854" si="27">IF(ISBLANK(B1791),"OK",IF(A1791-B1791=0,"OK","Error?"))</f>
        <v>Error?</v>
      </c>
    </row>
    <row r="1792" spans="1:4" x14ac:dyDescent="0.2">
      <c r="A1792" s="5">
        <v>1731</v>
      </c>
      <c r="B1792" s="1889">
        <f>'Tax Sched 23'!F4</f>
        <v>8091188</v>
      </c>
      <c r="C1792" s="2" t="s">
        <v>569</v>
      </c>
      <c r="D1792" s="2" t="str">
        <f t="shared" si="27"/>
        <v>Error?</v>
      </c>
    </row>
    <row r="1793" spans="1:4" x14ac:dyDescent="0.2">
      <c r="A1793" s="5">
        <v>1732</v>
      </c>
      <c r="B1793" s="1889">
        <f>'Tax Sched 23'!F5</f>
        <v>1022584</v>
      </c>
      <c r="C1793" s="2" t="s">
        <v>569</v>
      </c>
      <c r="D1793" s="2" t="str">
        <f t="shared" si="27"/>
        <v>Error?</v>
      </c>
    </row>
    <row r="1794" spans="1:4" x14ac:dyDescent="0.2">
      <c r="A1794" s="5">
        <v>1733</v>
      </c>
      <c r="B1794" s="1889">
        <f>'Tax Sched 23'!F6</f>
        <v>505649</v>
      </c>
      <c r="C1794" s="2" t="s">
        <v>569</v>
      </c>
      <c r="D1794" s="2" t="str">
        <f t="shared" si="27"/>
        <v>Error?</v>
      </c>
    </row>
    <row r="1795" spans="1:4" x14ac:dyDescent="0.2">
      <c r="A1795" s="5">
        <v>1734</v>
      </c>
      <c r="B1795" s="1889">
        <f>'Tax Sched 23'!F7</f>
        <v>115845</v>
      </c>
      <c r="C1795" s="2" t="s">
        <v>569</v>
      </c>
      <c r="D1795" s="2" t="str">
        <f t="shared" si="27"/>
        <v>Error?</v>
      </c>
    </row>
    <row r="1796" spans="1:4" x14ac:dyDescent="0.2">
      <c r="A1796" s="5">
        <v>1735</v>
      </c>
      <c r="B1796" s="1889">
        <f>'Tax Sched 23'!F8</f>
        <v>136761</v>
      </c>
      <c r="C1796" s="2" t="s">
        <v>569</v>
      </c>
      <c r="D1796" s="2" t="str">
        <f t="shared" si="27"/>
        <v>Error?</v>
      </c>
    </row>
    <row r="1797" spans="1:4" x14ac:dyDescent="0.2">
      <c r="A1797" s="5">
        <v>1736</v>
      </c>
      <c r="B1797" s="1889">
        <f>'Tax Sched 23'!F10</f>
        <v>237</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237</v>
      </c>
      <c r="C1800" s="2" t="s">
        <v>569</v>
      </c>
      <c r="D1800" s="2" t="str">
        <f t="shared" si="27"/>
        <v>Error?</v>
      </c>
    </row>
    <row r="1801" spans="1:4" x14ac:dyDescent="0.2">
      <c r="A1801" s="5">
        <v>1740</v>
      </c>
      <c r="B1801" s="1889">
        <f>'Tax Sched 23'!F12</f>
        <v>1351</v>
      </c>
      <c r="C1801" s="2" t="s">
        <v>569</v>
      </c>
      <c r="D1801" s="2" t="str">
        <f t="shared" si="27"/>
        <v>Error?</v>
      </c>
    </row>
    <row r="1802" spans="1:4" x14ac:dyDescent="0.2">
      <c r="A1802" s="5">
        <v>1741</v>
      </c>
      <c r="B1802" s="1889">
        <f>'Tax Sched 23'!F14</f>
        <v>349770</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10360620</v>
      </c>
      <c r="C1807" s="2" t="s">
        <v>569</v>
      </c>
      <c r="D1807" s="2" t="str">
        <f t="shared" si="27"/>
        <v>Error?</v>
      </c>
    </row>
    <row r="1808" spans="1:4" x14ac:dyDescent="0.2">
      <c r="A1808" s="5">
        <v>1747</v>
      </c>
      <c r="B1808" s="1889">
        <f>'Tax Sched 23'!E4</f>
        <v>12743110</v>
      </c>
      <c r="D1808" s="2" t="str">
        <f t="shared" si="27"/>
        <v>Error?</v>
      </c>
    </row>
    <row r="1809" spans="1:4" x14ac:dyDescent="0.2">
      <c r="A1809" s="5">
        <v>1748</v>
      </c>
      <c r="B1809" s="1889">
        <f>'Tax Sched 23'!E5</f>
        <v>1610507</v>
      </c>
      <c r="D1809" s="2" t="str">
        <f t="shared" si="27"/>
        <v>Error?</v>
      </c>
    </row>
    <row r="1810" spans="1:4" x14ac:dyDescent="0.2">
      <c r="A1810" s="5">
        <v>1749</v>
      </c>
      <c r="B1810" s="1889">
        <f>'Tax Sched 23'!E6</f>
        <v>797819</v>
      </c>
      <c r="D1810" s="2" t="str">
        <f t="shared" si="27"/>
        <v>Error?</v>
      </c>
    </row>
    <row r="1811" spans="1:4" x14ac:dyDescent="0.2">
      <c r="A1811" s="5">
        <v>1750</v>
      </c>
      <c r="B1811" s="1889">
        <f>'Tax Sched 23'!E7</f>
        <v>182455</v>
      </c>
      <c r="D1811" s="2" t="str">
        <f t="shared" si="27"/>
        <v>Error?</v>
      </c>
    </row>
    <row r="1812" spans="1:4" x14ac:dyDescent="0.2">
      <c r="A1812" s="5">
        <v>1751</v>
      </c>
      <c r="B1812" s="1889">
        <f>'Tax Sched 23'!E8</f>
        <v>215388</v>
      </c>
      <c r="D1812" s="2" t="str">
        <f t="shared" si="27"/>
        <v>Error?</v>
      </c>
    </row>
    <row r="1813" spans="1:4" x14ac:dyDescent="0.2">
      <c r="A1813" s="5">
        <v>1752</v>
      </c>
      <c r="B1813" s="1889">
        <f>'Tax Sched 23'!E10</f>
        <v>378</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378</v>
      </c>
      <c r="D1816" s="2" t="str">
        <f t="shared" si="27"/>
        <v>Error?</v>
      </c>
    </row>
    <row r="1817" spans="1:4" x14ac:dyDescent="0.2">
      <c r="A1817" s="5">
        <v>1756</v>
      </c>
      <c r="B1817" s="1889">
        <f>'Tax Sched 23'!E12</f>
        <v>2130</v>
      </c>
      <c r="D1817" s="2" t="str">
        <f t="shared" si="27"/>
        <v>Error?</v>
      </c>
    </row>
    <row r="1818" spans="1:4" x14ac:dyDescent="0.2">
      <c r="A1818" s="5">
        <v>1757</v>
      </c>
      <c r="B1818" s="1889">
        <f>'Tax Sched 23'!E14</f>
        <v>550870</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16318801</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2455060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2455060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4042775</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4042775</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2455060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2455060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4042775</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4042775</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3188303</v>
      </c>
      <c r="C1939" s="2" t="s">
        <v>569</v>
      </c>
      <c r="D1939" s="2" t="str">
        <f t="shared" si="29"/>
        <v>Error?</v>
      </c>
    </row>
    <row r="1940" spans="1:5" x14ac:dyDescent="0.2">
      <c r="A1940" s="5">
        <v>1879</v>
      </c>
      <c r="B1940" s="1889">
        <f>'Short-Term Long-Term Debt 24'!F49</f>
        <v>65000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530953</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530953</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530953</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3614067</v>
      </c>
      <c r="D2008" s="2" t="str">
        <f t="shared" si="30"/>
        <v>Error?</v>
      </c>
    </row>
    <row r="2009" spans="1:4" x14ac:dyDescent="0.2">
      <c r="A2009" s="5">
        <v>1948</v>
      </c>
      <c r="B2009" s="1889">
        <f>'Cap Outlay Deprec 26'!C8</f>
        <v>20017535</v>
      </c>
      <c r="D2009" s="2" t="str">
        <f t="shared" si="30"/>
        <v>Error?</v>
      </c>
    </row>
    <row r="2010" spans="1:4" x14ac:dyDescent="0.2">
      <c r="A2010" s="5">
        <v>1949</v>
      </c>
      <c r="B2010" s="1889">
        <f>'Cap Outlay Deprec 26'!C10</f>
        <v>579401</v>
      </c>
      <c r="D2010" s="2" t="str">
        <f t="shared" si="30"/>
        <v>Error?</v>
      </c>
    </row>
    <row r="2011" spans="1:4" x14ac:dyDescent="0.2">
      <c r="A2011" s="5">
        <v>1950</v>
      </c>
      <c r="B2011" s="1889">
        <f>'Cap Outlay Deprec 26'!C12</f>
        <v>5384712</v>
      </c>
      <c r="D2011" s="2" t="str">
        <f t="shared" si="30"/>
        <v>Error?</v>
      </c>
    </row>
    <row r="2012" spans="1:4" x14ac:dyDescent="0.2">
      <c r="A2012" s="5">
        <v>1951</v>
      </c>
      <c r="B2012" s="1889">
        <f>'Cap Outlay Deprec 26'!C13</f>
        <v>2581016</v>
      </c>
      <c r="D2012" s="2" t="str">
        <f t="shared" si="30"/>
        <v>Error?</v>
      </c>
    </row>
    <row r="2013" spans="1:4" x14ac:dyDescent="0.2">
      <c r="A2013" s="5">
        <v>1952</v>
      </c>
      <c r="B2013" s="1889">
        <f>'Cap Outlay Deprec 26'!C16</f>
        <v>32662528</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1006371</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40340</v>
      </c>
      <c r="D2017" s="2" t="str">
        <f t="shared" si="30"/>
        <v>Error?</v>
      </c>
    </row>
    <row r="2018" spans="1:4" x14ac:dyDescent="0.2">
      <c r="A2018" s="5">
        <v>1957</v>
      </c>
      <c r="B2018" s="1889">
        <f>'Cap Outlay Deprec 26'!D13</f>
        <v>83254</v>
      </c>
      <c r="D2018" s="2" t="str">
        <f t="shared" si="30"/>
        <v>Error?</v>
      </c>
    </row>
    <row r="2019" spans="1:4" x14ac:dyDescent="0.2">
      <c r="A2019" s="5">
        <v>1958</v>
      </c>
      <c r="B2019" s="1889">
        <f>'Cap Outlay Deprec 26'!D16</f>
        <v>1520185</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275726</v>
      </c>
      <c r="C2025" s="2" t="s">
        <v>569</v>
      </c>
      <c r="D2025" s="2" t="str">
        <f t="shared" si="30"/>
        <v>Error?</v>
      </c>
    </row>
    <row r="2026" spans="1:4" x14ac:dyDescent="0.2">
      <c r="A2026" s="5">
        <v>1965</v>
      </c>
      <c r="B2026" s="1889">
        <f>'Cap Outlay Deprec 26'!F5</f>
        <v>3614067</v>
      </c>
      <c r="C2026" s="2" t="s">
        <v>569</v>
      </c>
      <c r="D2026" s="2" t="str">
        <f t="shared" si="30"/>
        <v>Error?</v>
      </c>
    </row>
    <row r="2027" spans="1:4" x14ac:dyDescent="0.2">
      <c r="A2027" s="5">
        <v>1966</v>
      </c>
      <c r="B2027" s="1889">
        <f>'Cap Outlay Deprec 26'!F8</f>
        <v>21023906</v>
      </c>
      <c r="C2027" s="2" t="s">
        <v>569</v>
      </c>
      <c r="D2027" s="2" t="str">
        <f t="shared" si="30"/>
        <v>Error?</v>
      </c>
    </row>
    <row r="2028" spans="1:4" x14ac:dyDescent="0.2">
      <c r="A2028" s="5">
        <v>1967</v>
      </c>
      <c r="B2028" s="1889">
        <f>'Cap Outlay Deprec 26'!F10</f>
        <v>579401</v>
      </c>
      <c r="C2028" s="2" t="s">
        <v>569</v>
      </c>
      <c r="D2028" s="2" t="str">
        <f t="shared" si="30"/>
        <v>Error?</v>
      </c>
    </row>
    <row r="2029" spans="1:4" x14ac:dyDescent="0.2">
      <c r="A2029" s="5">
        <v>1968</v>
      </c>
      <c r="B2029" s="1889">
        <f>'Cap Outlay Deprec 26'!F12</f>
        <v>5425052</v>
      </c>
      <c r="C2029" s="2" t="s">
        <v>569</v>
      </c>
      <c r="D2029" s="2" t="str">
        <f t="shared" si="30"/>
        <v>Error?</v>
      </c>
    </row>
    <row r="2030" spans="1:4" x14ac:dyDescent="0.2">
      <c r="A2030" s="5">
        <v>1969</v>
      </c>
      <c r="B2030" s="1889">
        <f>'Cap Outlay Deprec 26'!F13</f>
        <v>2664270</v>
      </c>
      <c r="C2030" s="2" t="s">
        <v>569</v>
      </c>
      <c r="D2030" s="2" t="str">
        <f t="shared" si="30"/>
        <v>Error?</v>
      </c>
    </row>
    <row r="2031" spans="1:4" x14ac:dyDescent="0.2">
      <c r="A2031" s="5">
        <v>1970</v>
      </c>
      <c r="B2031" s="1889">
        <f>'Cap Outlay Deprec 26'!F16</f>
        <v>33906987</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10291384</v>
      </c>
      <c r="D2033" s="2" t="str">
        <f t="shared" si="30"/>
        <v>Error?</v>
      </c>
    </row>
    <row r="2034" spans="1:4" x14ac:dyDescent="0.2">
      <c r="A2034" s="5">
        <v>1973</v>
      </c>
      <c r="B2034" s="1889">
        <f>'Cap Outlay Deprec 26'!H10</f>
        <v>394212</v>
      </c>
      <c r="D2034" s="2" t="str">
        <f t="shared" si="30"/>
        <v>Error?</v>
      </c>
    </row>
    <row r="2035" spans="1:4" x14ac:dyDescent="0.2">
      <c r="A2035" s="5">
        <v>1974</v>
      </c>
      <c r="B2035" s="1889">
        <f>'Cap Outlay Deprec 26'!H12</f>
        <v>5112353</v>
      </c>
      <c r="D2035" s="2" t="str">
        <f t="shared" si="30"/>
        <v>Error?</v>
      </c>
    </row>
    <row r="2036" spans="1:4" x14ac:dyDescent="0.2">
      <c r="A2036" s="5">
        <v>1975</v>
      </c>
      <c r="B2036" s="1889">
        <f>'Cap Outlay Deprec 26'!H13</f>
        <v>2332062</v>
      </c>
      <c r="D2036" s="2" t="str">
        <f t="shared" si="30"/>
        <v>Error?</v>
      </c>
    </row>
    <row r="2037" spans="1:4" x14ac:dyDescent="0.2">
      <c r="A2037" s="5">
        <v>1976</v>
      </c>
      <c r="B2037" s="1889">
        <f>'Cap Outlay Deprec 26'!H16</f>
        <v>18262839</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425453</v>
      </c>
      <c r="D2039" s="2" t="str">
        <f t="shared" si="30"/>
        <v>Error?</v>
      </c>
    </row>
    <row r="2040" spans="1:4" x14ac:dyDescent="0.2">
      <c r="A2040" s="5">
        <v>1979</v>
      </c>
      <c r="B2040" s="1889">
        <f>'Cap Outlay Deprec 26'!I10</f>
        <v>26814</v>
      </c>
      <c r="D2040" s="2" t="str">
        <f t="shared" si="30"/>
        <v>Error?</v>
      </c>
    </row>
    <row r="2041" spans="1:4" x14ac:dyDescent="0.2">
      <c r="A2041" s="5">
        <v>1980</v>
      </c>
      <c r="B2041" s="1889">
        <f>'Cap Outlay Deprec 26'!I12</f>
        <v>62785</v>
      </c>
      <c r="D2041" s="2" t="str">
        <f t="shared" si="30"/>
        <v>Error?</v>
      </c>
    </row>
    <row r="2042" spans="1:4" x14ac:dyDescent="0.2">
      <c r="A2042" s="5">
        <v>1981</v>
      </c>
      <c r="B2042" s="1889">
        <f>'Cap Outlay Deprec 26'!I13</f>
        <v>88862</v>
      </c>
      <c r="D2042" s="2" t="str">
        <f t="shared" si="30"/>
        <v>Error?</v>
      </c>
    </row>
    <row r="2043" spans="1:4" x14ac:dyDescent="0.2">
      <c r="A2043" s="5">
        <v>1982</v>
      </c>
      <c r="B2043" s="1889">
        <f>'Cap Outlay Deprec 26'!I16</f>
        <v>634102</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10716837</v>
      </c>
      <c r="C2051" s="2" t="s">
        <v>569</v>
      </c>
      <c r="D2051" s="2" t="str">
        <f t="shared" si="31"/>
        <v>Error?</v>
      </c>
    </row>
    <row r="2052" spans="1:4" x14ac:dyDescent="0.2">
      <c r="A2052" s="5">
        <v>1991</v>
      </c>
      <c r="B2052" s="1889">
        <f>'Cap Outlay Deprec 26'!K10</f>
        <v>421026</v>
      </c>
      <c r="C2052" s="2" t="s">
        <v>569</v>
      </c>
      <c r="D2052" s="2" t="str">
        <f t="shared" si="31"/>
        <v>Error?</v>
      </c>
    </row>
    <row r="2053" spans="1:4" x14ac:dyDescent="0.2">
      <c r="A2053" s="5">
        <v>1992</v>
      </c>
      <c r="B2053" s="1889">
        <f>'Cap Outlay Deprec 26'!K12</f>
        <v>5175138</v>
      </c>
      <c r="C2053" s="2" t="s">
        <v>569</v>
      </c>
      <c r="D2053" s="2" t="str">
        <f t="shared" si="31"/>
        <v>Error?</v>
      </c>
    </row>
    <row r="2054" spans="1:4" x14ac:dyDescent="0.2">
      <c r="A2054" s="5">
        <v>1993</v>
      </c>
      <c r="B2054" s="1889">
        <f>'Cap Outlay Deprec 26'!K13</f>
        <v>2420924</v>
      </c>
      <c r="C2054" s="2" t="s">
        <v>569</v>
      </c>
      <c r="D2054" s="2" t="str">
        <f t="shared" si="31"/>
        <v>Error?</v>
      </c>
    </row>
    <row r="2055" spans="1:4" x14ac:dyDescent="0.2">
      <c r="A2055" s="5">
        <v>1994</v>
      </c>
      <c r="B2055" s="1889">
        <f>'Cap Outlay Deprec 26'!K16</f>
        <v>18896941</v>
      </c>
      <c r="C2055" s="2" t="s">
        <v>569</v>
      </c>
      <c r="D2055" s="2" t="str">
        <f t="shared" si="31"/>
        <v>Error?</v>
      </c>
    </row>
    <row r="2056" spans="1:4" x14ac:dyDescent="0.2">
      <c r="A2056" s="5">
        <v>1995</v>
      </c>
      <c r="B2056" s="1889">
        <f>'Cap Outlay Deprec 26'!L5</f>
        <v>3614067</v>
      </c>
      <c r="C2056" s="2" t="s">
        <v>569</v>
      </c>
      <c r="D2056" s="2" t="str">
        <f t="shared" si="31"/>
        <v>Error?</v>
      </c>
    </row>
    <row r="2057" spans="1:4" x14ac:dyDescent="0.2">
      <c r="A2057" s="5">
        <v>1996</v>
      </c>
      <c r="B2057" s="1889">
        <f>'Cap Outlay Deprec 26'!L8</f>
        <v>10307069</v>
      </c>
      <c r="C2057" s="2" t="s">
        <v>569</v>
      </c>
      <c r="D2057" s="2" t="str">
        <f t="shared" si="31"/>
        <v>Error?</v>
      </c>
    </row>
    <row r="2058" spans="1:4" x14ac:dyDescent="0.2">
      <c r="A2058" s="5">
        <v>1997</v>
      </c>
      <c r="B2058" s="1889">
        <f>'Cap Outlay Deprec 26'!L10</f>
        <v>158375</v>
      </c>
      <c r="C2058" s="2" t="s">
        <v>569</v>
      </c>
      <c r="D2058" s="2" t="str">
        <f t="shared" si="31"/>
        <v>Error?</v>
      </c>
    </row>
    <row r="2059" spans="1:4" x14ac:dyDescent="0.2">
      <c r="A2059" s="5">
        <v>1998</v>
      </c>
      <c r="B2059" s="1889">
        <f>'Cap Outlay Deprec 26'!L12</f>
        <v>249914</v>
      </c>
      <c r="C2059" s="2" t="s">
        <v>569</v>
      </c>
      <c r="D2059" s="2" t="str">
        <f t="shared" si="31"/>
        <v>Error?</v>
      </c>
    </row>
    <row r="2060" spans="1:4" x14ac:dyDescent="0.2">
      <c r="A2060" s="5">
        <v>1999</v>
      </c>
      <c r="B2060" s="1889">
        <f>'Cap Outlay Deprec 26'!L13</f>
        <v>243346</v>
      </c>
      <c r="C2060" s="2" t="s">
        <v>569</v>
      </c>
      <c r="D2060" s="2" t="str">
        <f t="shared" si="31"/>
        <v>Error?</v>
      </c>
    </row>
    <row r="2061" spans="1:4" x14ac:dyDescent="0.2">
      <c r="A2061" s="5">
        <v>2000</v>
      </c>
      <c r="B2061" s="1889">
        <f>'Cap Outlay Deprec 26'!L16</f>
        <v>15010046</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7257</v>
      </c>
      <c r="C2088" s="2" t="s">
        <v>569</v>
      </c>
      <c r="D2088" s="2" t="str">
        <f t="shared" si="31"/>
        <v>Error?</v>
      </c>
    </row>
    <row r="2089" spans="1:4" x14ac:dyDescent="0.2">
      <c r="A2089" s="5">
        <v>2028</v>
      </c>
      <c r="B2089" s="1889">
        <f>'Expenditures 15-22'!K92</f>
        <v>348052</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989744</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266588</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13686648</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4869041</v>
      </c>
      <c r="C2553" s="2" t="s">
        <v>569</v>
      </c>
      <c r="D2553" s="2" t="str">
        <f t="shared" si="38"/>
        <v>Error?</v>
      </c>
    </row>
    <row r="2554" spans="1:4" x14ac:dyDescent="0.2">
      <c r="A2554" s="5">
        <v>2493</v>
      </c>
      <c r="B2554" s="1889">
        <f>'Acct Summary 7-8'!C7</f>
        <v>1579879</v>
      </c>
      <c r="C2554" s="2" t="s">
        <v>569</v>
      </c>
      <c r="D2554" s="2" t="str">
        <f t="shared" si="38"/>
        <v>Error?</v>
      </c>
    </row>
    <row r="2555" spans="1:4" x14ac:dyDescent="0.2">
      <c r="A2555" s="5">
        <v>2494</v>
      </c>
      <c r="B2555" s="1889">
        <f>'Acct Summary 7-8'!C8</f>
        <v>20135568</v>
      </c>
      <c r="C2555" s="2" t="s">
        <v>569</v>
      </c>
      <c r="D2555" s="2" t="str">
        <f t="shared" si="38"/>
        <v>Error?</v>
      </c>
    </row>
    <row r="2556" spans="1:4" x14ac:dyDescent="0.2">
      <c r="A2556" s="5">
        <v>2495</v>
      </c>
      <c r="B2556" s="1889">
        <f>'Acct Summary 7-8'!C12</f>
        <v>16570517</v>
      </c>
      <c r="C2556" s="2" t="s">
        <v>569</v>
      </c>
      <c r="D2556" s="2" t="str">
        <f t="shared" si="38"/>
        <v>Error?</v>
      </c>
    </row>
    <row r="2557" spans="1:4" x14ac:dyDescent="0.2">
      <c r="A2557" s="5">
        <v>2496</v>
      </c>
      <c r="B2557" s="1889">
        <f>'Acct Summary 7-8'!C13</f>
        <v>4299644</v>
      </c>
      <c r="C2557" s="2" t="s">
        <v>569</v>
      </c>
      <c r="D2557" s="2" t="str">
        <f t="shared" si="38"/>
        <v>Error?</v>
      </c>
    </row>
    <row r="2558" spans="1:4" x14ac:dyDescent="0.2">
      <c r="A2558" s="5">
        <v>2497</v>
      </c>
      <c r="B2558" s="1889">
        <f>'Acct Summary 7-8'!C14</f>
        <v>9812</v>
      </c>
      <c r="C2558" s="2" t="s">
        <v>569</v>
      </c>
      <c r="D2558" s="2" t="str">
        <f t="shared" si="38"/>
        <v>Error?</v>
      </c>
    </row>
    <row r="2559" spans="1:4" x14ac:dyDescent="0.2">
      <c r="A2559" s="5">
        <v>2498</v>
      </c>
      <c r="B2559" s="1889">
        <f>'Acct Summary 7-8'!C15</f>
        <v>355309</v>
      </c>
      <c r="C2559" s="2" t="s">
        <v>569</v>
      </c>
      <c r="D2559" s="2" t="str">
        <f t="shared" ref="D2559:D2622" si="39">IF(ISBLANK(B2559),"OK",IF(A2559-B2559=0,"OK","Error?"))</f>
        <v>Error?</v>
      </c>
    </row>
    <row r="2560" spans="1:4" x14ac:dyDescent="0.2">
      <c r="A2560" s="5">
        <v>2499</v>
      </c>
      <c r="B2560" s="1889">
        <f>'Acct Summary 7-8'!C16</f>
        <v>41055</v>
      </c>
      <c r="C2560" s="2" t="s">
        <v>569</v>
      </c>
      <c r="D2560" s="2" t="str">
        <f t="shared" si="39"/>
        <v>Error?</v>
      </c>
    </row>
    <row r="2561" spans="1:4" x14ac:dyDescent="0.2">
      <c r="A2561" s="5">
        <v>2500</v>
      </c>
      <c r="B2561" s="1889">
        <f>'Acct Summary 7-8'!C17</f>
        <v>21276337</v>
      </c>
      <c r="C2561" s="2" t="s">
        <v>569</v>
      </c>
      <c r="D2561" s="2" t="str">
        <f t="shared" si="39"/>
        <v>Error?</v>
      </c>
    </row>
    <row r="2562" spans="1:4" x14ac:dyDescent="0.2">
      <c r="A2562" s="5">
        <v>2501</v>
      </c>
      <c r="B2562" s="1889">
        <f>'Acct Summary 7-8'!C20</f>
        <v>-1140769</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1714644</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403836</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2118480</v>
      </c>
      <c r="C2568" s="2" t="s">
        <v>569</v>
      </c>
      <c r="D2568" s="2" t="str">
        <f t="shared" si="39"/>
        <v>Error?</v>
      </c>
    </row>
    <row r="2569" spans="1:4" x14ac:dyDescent="0.2">
      <c r="A2569" s="5">
        <v>2508</v>
      </c>
      <c r="B2569" s="1889">
        <f>'Acct Summary 7-8'!D13</f>
        <v>2261381</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2261381</v>
      </c>
      <c r="C2573" s="2" t="s">
        <v>569</v>
      </c>
      <c r="D2573" s="2" t="str">
        <f t="shared" si="39"/>
        <v>Error?</v>
      </c>
    </row>
    <row r="2574" spans="1:4" x14ac:dyDescent="0.2">
      <c r="A2574" s="5">
        <v>2513</v>
      </c>
      <c r="B2574" s="1889">
        <f>'Acct Summary 7-8'!D20</f>
        <v>-142901</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221454</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1147962</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1369416</v>
      </c>
      <c r="C2595" s="2" t="s">
        <v>569</v>
      </c>
      <c r="D2595" s="2" t="str">
        <f t="shared" si="39"/>
        <v>Error?</v>
      </c>
    </row>
    <row r="2596" spans="1:4" x14ac:dyDescent="0.2">
      <c r="A2596" s="5">
        <v>2535</v>
      </c>
      <c r="B2596" s="1889">
        <f>'Acct Summary 7-8'!F13</f>
        <v>1390771</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67280</v>
      </c>
      <c r="C2599" s="2" t="s">
        <v>569</v>
      </c>
      <c r="D2599" s="2" t="str">
        <f t="shared" si="39"/>
        <v>Error?</v>
      </c>
    </row>
    <row r="2600" spans="1:4" x14ac:dyDescent="0.2">
      <c r="A2600" s="5">
        <v>2539</v>
      </c>
      <c r="B2600" s="1889">
        <f>'Acct Summary 7-8'!F17</f>
        <v>1458051</v>
      </c>
      <c r="C2600" s="2" t="s">
        <v>569</v>
      </c>
      <c r="D2600" s="2" t="str">
        <f t="shared" si="39"/>
        <v>Error?</v>
      </c>
    </row>
    <row r="2601" spans="1:4" x14ac:dyDescent="0.2">
      <c r="A2601" s="5">
        <v>2540</v>
      </c>
      <c r="B2601" s="1889">
        <f>'Acct Summary 7-8'!F20</f>
        <v>-88635</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415480</v>
      </c>
      <c r="C2603" s="2" t="s">
        <v>569</v>
      </c>
      <c r="D2603" s="2" t="str">
        <f t="shared" si="39"/>
        <v>Error?</v>
      </c>
    </row>
    <row r="2604" spans="1:4" x14ac:dyDescent="0.2">
      <c r="A2604" s="5">
        <v>2543</v>
      </c>
      <c r="B2604" s="1889">
        <f>'Acct Summary 7-8'!G6</f>
        <v>351725</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767205</v>
      </c>
      <c r="C2606" s="2" t="s">
        <v>569</v>
      </c>
      <c r="D2606" s="2" t="str">
        <f t="shared" si="39"/>
        <v>Error?</v>
      </c>
    </row>
    <row r="2607" spans="1:4" x14ac:dyDescent="0.2">
      <c r="A2607" s="5">
        <v>2546</v>
      </c>
      <c r="B2607" s="1889">
        <f>'Acct Summary 7-8'!G12</f>
        <v>336299</v>
      </c>
      <c r="C2607" s="2" t="s">
        <v>569</v>
      </c>
      <c r="D2607" s="2" t="str">
        <f t="shared" si="39"/>
        <v>Error?</v>
      </c>
    </row>
    <row r="2608" spans="1:4" x14ac:dyDescent="0.2">
      <c r="A2608" s="5">
        <v>2547</v>
      </c>
      <c r="B2608" s="1889">
        <f>'Acct Summary 7-8'!G13</f>
        <v>430887</v>
      </c>
      <c r="C2608" s="2" t="s">
        <v>569</v>
      </c>
      <c r="D2608" s="2" t="str">
        <f t="shared" si="39"/>
        <v>Error?</v>
      </c>
    </row>
    <row r="2609" spans="1:4" x14ac:dyDescent="0.2">
      <c r="A2609" s="5">
        <v>2548</v>
      </c>
      <c r="B2609" s="1889">
        <f>'Acct Summary 7-8'!G14</f>
        <v>722</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767908</v>
      </c>
      <c r="C2612" s="2" t="s">
        <v>569</v>
      </c>
      <c r="D2612" s="2" t="str">
        <f t="shared" si="39"/>
        <v>Error?</v>
      </c>
    </row>
    <row r="2613" spans="1:4" x14ac:dyDescent="0.2">
      <c r="A2613" s="5">
        <v>2552</v>
      </c>
      <c r="B2613" s="1889">
        <f>'Acct Summary 7-8'!G20</f>
        <v>-703</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788194</v>
      </c>
      <c r="C2630" s="2" t="s">
        <v>569</v>
      </c>
      <c r="D2630" s="2" t="str">
        <f t="shared" si="40"/>
        <v>Error?</v>
      </c>
    </row>
    <row r="2631" spans="1:4" x14ac:dyDescent="0.2">
      <c r="A2631" s="5">
        <v>2570</v>
      </c>
      <c r="B2631" s="1889">
        <f>'Acct Summary 7-8'!E6</f>
        <v>107693</v>
      </c>
      <c r="C2631" s="2" t="s">
        <v>569</v>
      </c>
      <c r="D2631" s="2" t="str">
        <f t="shared" si="40"/>
        <v>Error?</v>
      </c>
    </row>
    <row r="2632" spans="1:4" x14ac:dyDescent="0.2">
      <c r="A2632" s="5">
        <v>2571</v>
      </c>
      <c r="B2632" s="1889">
        <f>'Acct Summary 7-8'!E8</f>
        <v>895887</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835781</v>
      </c>
      <c r="C2634" s="2" t="s">
        <v>569</v>
      </c>
      <c r="D2634" s="2" t="str">
        <f t="shared" si="40"/>
        <v>Error?</v>
      </c>
    </row>
    <row r="2635" spans="1:4" x14ac:dyDescent="0.2">
      <c r="A2635" s="5">
        <v>2574</v>
      </c>
      <c r="B2635" s="1889">
        <f>'Acct Summary 7-8'!E17</f>
        <v>835781</v>
      </c>
      <c r="C2635" s="2" t="s">
        <v>569</v>
      </c>
      <c r="D2635" s="2" t="str">
        <f t="shared" si="40"/>
        <v>Error?</v>
      </c>
    </row>
    <row r="2636" spans="1:4" x14ac:dyDescent="0.2">
      <c r="A2636" s="5">
        <v>2575</v>
      </c>
      <c r="B2636" s="1889">
        <f>'Acct Summary 7-8'!E20</f>
        <v>60106</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37926</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2058</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39984</v>
      </c>
      <c r="C2724" s="2" t="s">
        <v>569</v>
      </c>
      <c r="D2724" s="2" t="str">
        <f t="shared" si="41"/>
        <v>Error?</v>
      </c>
    </row>
    <row r="2725" spans="1:4" x14ac:dyDescent="0.2">
      <c r="A2725" s="5">
        <v>2664</v>
      </c>
      <c r="B2725" s="1889">
        <f>'Expenditures 15-22'!D247</f>
        <v>6753</v>
      </c>
      <c r="D2725" s="2" t="str">
        <f t="shared" si="41"/>
        <v>Error?</v>
      </c>
    </row>
    <row r="2726" spans="1:4" x14ac:dyDescent="0.2">
      <c r="A2726" s="5">
        <v>2665</v>
      </c>
      <c r="B2726" s="1889">
        <f>'Expenditures 15-22'!K247</f>
        <v>6753</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7257</v>
      </c>
      <c r="C2789" s="2" t="s">
        <v>569</v>
      </c>
      <c r="D2789" s="2" t="str">
        <f t="shared" si="42"/>
        <v>Error?</v>
      </c>
    </row>
    <row r="2790" spans="1:4" x14ac:dyDescent="0.2">
      <c r="A2790" s="5">
        <v>2729</v>
      </c>
      <c r="B2790" s="1889">
        <f>'Expenditures 15-22'!E102</f>
        <v>7257</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752535</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205373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752535</v>
      </c>
      <c r="D2912" s="2" t="str">
        <f t="shared" si="44"/>
        <v>Error?</v>
      </c>
    </row>
    <row r="2913" spans="1:4" x14ac:dyDescent="0.2">
      <c r="A2913" s="5">
        <v>2852</v>
      </c>
      <c r="B2913" s="1889">
        <f>'Assets-Liab 5-6'!I41</f>
        <v>752535</v>
      </c>
      <c r="C2913" s="2" t="s">
        <v>569</v>
      </c>
      <c r="D2913" s="2" t="str">
        <f t="shared" si="44"/>
        <v>Error?</v>
      </c>
    </row>
    <row r="2914" spans="1:4" x14ac:dyDescent="0.2">
      <c r="A2914" s="5">
        <v>2853</v>
      </c>
      <c r="B2914" s="1889">
        <f>'Assets-Liab 5-6'!L33</f>
        <v>205373</v>
      </c>
      <c r="D2914" s="2" t="str">
        <f t="shared" si="44"/>
        <v>Error?</v>
      </c>
    </row>
    <row r="2915" spans="1:4" x14ac:dyDescent="0.2">
      <c r="A2915" s="10">
        <v>2854</v>
      </c>
      <c r="B2915" s="1889"/>
      <c r="D2915" s="2" t="str">
        <f t="shared" si="44"/>
        <v>OK</v>
      </c>
    </row>
    <row r="2916" spans="1:4" x14ac:dyDescent="0.2">
      <c r="A2916" s="5">
        <v>2855</v>
      </c>
      <c r="B2916" s="1889">
        <f>'Assets-Liab 5-6'!L34</f>
        <v>205373</v>
      </c>
      <c r="C2916" s="2" t="s">
        <v>569</v>
      </c>
      <c r="D2916" s="2" t="str">
        <f t="shared" si="44"/>
        <v>Error?</v>
      </c>
    </row>
    <row r="2917" spans="1:4" x14ac:dyDescent="0.2">
      <c r="A2917" s="5">
        <v>2856</v>
      </c>
      <c r="B2917" s="1889">
        <f>'Assets-Liab 5-6'!L41</f>
        <v>205373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7257</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7257</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311600</v>
      </c>
      <c r="D3055" s="2" t="str">
        <f t="shared" si="46"/>
        <v>Error?</v>
      </c>
    </row>
    <row r="3056" spans="1:4" x14ac:dyDescent="0.2">
      <c r="A3056" s="5">
        <v>2995</v>
      </c>
      <c r="B3056" s="1889">
        <f>'Expenditures 15-22'!D10</f>
        <v>47055</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0</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358655</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389</v>
      </c>
      <c r="C3225" s="2" t="s">
        <v>569</v>
      </c>
      <c r="D3225" s="2" t="str">
        <f t="shared" si="49"/>
        <v>Error?</v>
      </c>
    </row>
    <row r="3226" spans="1:4" x14ac:dyDescent="0.2">
      <c r="A3226" s="5">
        <v>3165</v>
      </c>
      <c r="B3226" s="1889">
        <f>'Acct Summary 7-8'!I8</f>
        <v>389</v>
      </c>
      <c r="C3226" s="2" t="s">
        <v>569</v>
      </c>
      <c r="D3226" s="2" t="str">
        <f t="shared" si="49"/>
        <v>Error?</v>
      </c>
    </row>
    <row r="3227" spans="1:4" x14ac:dyDescent="0.2">
      <c r="A3227" s="5">
        <v>3166</v>
      </c>
      <c r="B3227" s="1889">
        <f>'Acct Summary 7-8'!I20</f>
        <v>389</v>
      </c>
      <c r="C3227" s="2" t="s">
        <v>569</v>
      </c>
      <c r="D3227" s="2" t="str">
        <f t="shared" si="49"/>
        <v>Error?</v>
      </c>
    </row>
    <row r="3228" spans="1:4" x14ac:dyDescent="0.2">
      <c r="A3228" s="5">
        <v>3167</v>
      </c>
      <c r="B3228" s="1889">
        <f>'Acct Summary 7-8'!C43</f>
        <v>943527</v>
      </c>
      <c r="D3228" s="2" t="str">
        <f t="shared" si="49"/>
        <v>Error?</v>
      </c>
    </row>
    <row r="3229" spans="1:4" x14ac:dyDescent="0.2">
      <c r="A3229" s="5">
        <v>3168</v>
      </c>
      <c r="B3229" s="1889">
        <f>'Acct Summary 7-8'!C44</f>
        <v>943527</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943527</v>
      </c>
      <c r="C3232" s="2" t="s">
        <v>569</v>
      </c>
      <c r="D3232" s="2" t="str">
        <f t="shared" si="49"/>
        <v>Error?</v>
      </c>
    </row>
    <row r="3233" spans="1:4" x14ac:dyDescent="0.2">
      <c r="A3233" s="5">
        <v>3172</v>
      </c>
      <c r="B3233" s="1889">
        <f>'Acct Summary 7-8'!C78</f>
        <v>-197242</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-142901</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65000</v>
      </c>
      <c r="D3251" s="2" t="str">
        <f t="shared" si="49"/>
        <v>Error?</v>
      </c>
    </row>
    <row r="3252" spans="1:4" x14ac:dyDescent="0.2">
      <c r="A3252" s="5">
        <v>3191</v>
      </c>
      <c r="B3252" s="1889">
        <f>'Acct Summary 7-8'!F44</f>
        <v>65000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65000</v>
      </c>
      <c r="C3255" s="2" t="s">
        <v>569</v>
      </c>
      <c r="D3255" s="2" t="str">
        <f t="shared" si="49"/>
        <v>Error?</v>
      </c>
    </row>
    <row r="3256" spans="1:4" x14ac:dyDescent="0.2">
      <c r="A3256" s="5">
        <v>3195</v>
      </c>
      <c r="B3256" s="1889">
        <f>'Acct Summary 7-8'!F78</f>
        <v>-23635</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-703</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60106</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389</v>
      </c>
      <c r="C3320" s="2" t="s">
        <v>569</v>
      </c>
      <c r="D3320" s="2" t="str">
        <f t="shared" si="50"/>
        <v>Error?</v>
      </c>
    </row>
    <row r="3321" spans="1:4" x14ac:dyDescent="0.2">
      <c r="A3321" s="5">
        <v>3260</v>
      </c>
      <c r="B3321" s="1889">
        <f>'Acct Summary 7-8'!I79</f>
        <v>752146</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752535</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2221057</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161312</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171204</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3210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34892</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2556783</v>
      </c>
      <c r="C3380" s="2" t="s">
        <v>569</v>
      </c>
      <c r="D3380" s="2" t="str">
        <f t="shared" si="51"/>
        <v>Error?</v>
      </c>
    </row>
    <row r="3381" spans="1:4" x14ac:dyDescent="0.2">
      <c r="A3381" s="5">
        <v>3320</v>
      </c>
      <c r="B3381" s="1889">
        <f>'Expenditures 15-22'!K19</f>
        <v>34892</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134030</v>
      </c>
      <c r="D3387" s="2" t="str">
        <f t="shared" si="51"/>
        <v>Error?</v>
      </c>
    </row>
    <row r="3388" spans="1:4" x14ac:dyDescent="0.2">
      <c r="A3388" s="5">
        <v>3327</v>
      </c>
      <c r="B3388" s="1889">
        <f>'Expenditures 15-22'!D217</f>
        <v>149995</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134030</v>
      </c>
      <c r="C3390" s="2" t="s">
        <v>569</v>
      </c>
      <c r="D3390" s="2" t="str">
        <f t="shared" si="51"/>
        <v>Error?</v>
      </c>
    </row>
    <row r="3391" spans="1:4" x14ac:dyDescent="0.2">
      <c r="A3391" s="5">
        <v>3330</v>
      </c>
      <c r="B3391" s="1889">
        <f>'Expenditures 15-22'!K217</f>
        <v>149995</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4142774</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6500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266588</v>
      </c>
      <c r="D3417" s="2" t="str">
        <f t="shared" si="52"/>
        <v>Error?</v>
      </c>
    </row>
    <row r="3418" spans="1:4" x14ac:dyDescent="0.2">
      <c r="A3418" s="10">
        <v>3357</v>
      </c>
      <c r="B3418" s="1889"/>
      <c r="D3418" s="2" t="str">
        <f t="shared" si="52"/>
        <v>OK</v>
      </c>
    </row>
    <row r="3419" spans="1:4" x14ac:dyDescent="0.2">
      <c r="A3419" s="5">
        <v>3358</v>
      </c>
      <c r="B3419" s="1889">
        <f>'Assets-Liab 5-6'!F4</f>
        <v>4300</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0</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752535</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205373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207589</v>
      </c>
      <c r="C3446" s="2" t="s">
        <v>569</v>
      </c>
      <c r="D3446" s="2" t="str">
        <f t="shared" si="52"/>
        <v>Error?</v>
      </c>
    </row>
    <row r="3447" spans="1:4" x14ac:dyDescent="0.2">
      <c r="A3447" s="5">
        <v>3386</v>
      </c>
      <c r="B3447" s="1889">
        <f>'Tax Sched 23'!D16</f>
        <v>128962</v>
      </c>
      <c r="C3447" s="2" t="s">
        <v>569</v>
      </c>
      <c r="D3447" s="2" t="str">
        <f t="shared" si="52"/>
        <v>Error?</v>
      </c>
    </row>
    <row r="3448" spans="1:4" x14ac:dyDescent="0.2">
      <c r="A3448" s="5">
        <v>3387</v>
      </c>
      <c r="B3448" s="1889">
        <f>'Tax Sched 23'!C16</f>
        <v>78627</v>
      </c>
      <c r="D3448" s="2" t="str">
        <f t="shared" si="52"/>
        <v>Error?</v>
      </c>
    </row>
    <row r="3449" spans="1:4" x14ac:dyDescent="0.2">
      <c r="A3449" s="5">
        <v>3388</v>
      </c>
      <c r="B3449" s="1889">
        <f>'Tax Sched 23'!F16</f>
        <v>136761</v>
      </c>
      <c r="C3449" s="2" t="s">
        <v>569</v>
      </c>
      <c r="D3449" s="2" t="str">
        <f t="shared" si="52"/>
        <v>Error?</v>
      </c>
    </row>
    <row r="3450" spans="1:4" x14ac:dyDescent="0.2">
      <c r="A3450" s="5">
        <v>3389</v>
      </c>
      <c r="B3450" s="1889">
        <f>'Tax Sched 23'!E16</f>
        <v>215388</v>
      </c>
      <c r="D3450" s="2" t="str">
        <f t="shared" si="52"/>
        <v>Error?</v>
      </c>
    </row>
    <row r="3451" spans="1:4" x14ac:dyDescent="0.2">
      <c r="A3451" s="5">
        <v>3390</v>
      </c>
      <c r="B3451" s="1889">
        <f>'Cap Outlay Deprec 26'!C15</f>
        <v>275726</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275726</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305047</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305047</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305047</v>
      </c>
      <c r="D3566" s="2" t="str">
        <f t="shared" si="54"/>
        <v>Error?</v>
      </c>
    </row>
    <row r="3567" spans="1:4" x14ac:dyDescent="0.2">
      <c r="A3567" s="5">
        <v>3506</v>
      </c>
      <c r="B3567" s="1889">
        <f>'Assets-Liab 5-6'!K39</f>
        <v>0</v>
      </c>
      <c r="D3567" s="2" t="str">
        <f t="shared" si="54"/>
        <v>Error?</v>
      </c>
    </row>
    <row r="3568" spans="1:4" x14ac:dyDescent="0.2">
      <c r="A3568" s="5">
        <v>3507</v>
      </c>
      <c r="B3568" s="1889">
        <f>'Assets-Liab 5-6'!K41</f>
        <v>305047</v>
      </c>
      <c r="C3568" s="2" t="s">
        <v>569</v>
      </c>
      <c r="D3568" s="2" t="str">
        <f t="shared" si="54"/>
        <v>Error?</v>
      </c>
    </row>
    <row r="3569" spans="1:4" x14ac:dyDescent="0.2">
      <c r="A3569" s="5">
        <v>3508</v>
      </c>
      <c r="B3569" s="1889">
        <f>'Acct Summary 7-8'!K4</f>
        <v>12582</v>
      </c>
      <c r="C3569" s="2" t="s">
        <v>569</v>
      </c>
      <c r="D3569" s="2" t="str">
        <f t="shared" si="54"/>
        <v>Error?</v>
      </c>
    </row>
    <row r="3570" spans="1:4" x14ac:dyDescent="0.2">
      <c r="A3570" s="5">
        <v>3509</v>
      </c>
      <c r="B3570" s="1889">
        <f>'Acct Summary 7-8'!K6</f>
        <v>728364</v>
      </c>
      <c r="C3570" s="2" t="s">
        <v>569</v>
      </c>
      <c r="D3570" s="2" t="str">
        <f t="shared" si="54"/>
        <v>Error?</v>
      </c>
    </row>
    <row r="3571" spans="1:4" x14ac:dyDescent="0.2">
      <c r="A3571" s="5">
        <v>3510</v>
      </c>
      <c r="B3571" s="1889">
        <f>'Acct Summary 7-8'!K8</f>
        <v>740946</v>
      </c>
      <c r="C3571" s="2" t="s">
        <v>569</v>
      </c>
      <c r="D3571" s="2" t="str">
        <f t="shared" si="54"/>
        <v>Error?</v>
      </c>
    </row>
    <row r="3572" spans="1:4" x14ac:dyDescent="0.2">
      <c r="A3572" s="5">
        <v>3511</v>
      </c>
      <c r="B3572" s="1889">
        <f>'Acct Summary 7-8'!K13</f>
        <v>1009227</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1009227</v>
      </c>
      <c r="C3575" s="2" t="s">
        <v>569</v>
      </c>
      <c r="D3575" s="2" t="str">
        <f t="shared" si="54"/>
        <v>Error?</v>
      </c>
    </row>
    <row r="3576" spans="1:4" x14ac:dyDescent="0.2">
      <c r="A3576" s="5">
        <v>3515</v>
      </c>
      <c r="B3576" s="1889">
        <f>'Acct Summary 7-8'!K20</f>
        <v>-268281</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943527</v>
      </c>
      <c r="D3585" s="2" t="str">
        <f t="shared" si="55"/>
        <v>Error?</v>
      </c>
    </row>
    <row r="3586" spans="1:4" x14ac:dyDescent="0.2">
      <c r="A3586" s="5">
        <v>3525</v>
      </c>
      <c r="B3586" s="1889">
        <f>'Acct Summary 7-8'!K76</f>
        <v>943527</v>
      </c>
      <c r="C3586" s="2" t="s">
        <v>569</v>
      </c>
      <c r="D3586" s="2" t="str">
        <f t="shared" si="55"/>
        <v>Error?</v>
      </c>
    </row>
    <row r="3587" spans="1:4" x14ac:dyDescent="0.2">
      <c r="A3587" s="5">
        <v>3526</v>
      </c>
      <c r="B3587" s="1889">
        <f>'Acct Summary 7-8'!K77</f>
        <v>-943527</v>
      </c>
      <c r="C3587" s="2" t="s">
        <v>569</v>
      </c>
      <c r="D3587" s="2" t="str">
        <f t="shared" si="55"/>
        <v>Error?</v>
      </c>
    </row>
    <row r="3588" spans="1:4" x14ac:dyDescent="0.2">
      <c r="A3588" s="5">
        <v>3527</v>
      </c>
      <c r="B3588" s="1889">
        <f>'Acct Summary 7-8'!K78</f>
        <v>-1211808</v>
      </c>
      <c r="C3588" s="2" t="s">
        <v>569</v>
      </c>
      <c r="D3588" s="2" t="str">
        <f t="shared" si="55"/>
        <v>Error?</v>
      </c>
    </row>
    <row r="3589" spans="1:4" x14ac:dyDescent="0.2">
      <c r="A3589" s="5">
        <v>3528</v>
      </c>
      <c r="B3589" s="1889">
        <f>'Acct Summary 7-8'!K79</f>
        <v>1516855</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305047</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27058</v>
      </c>
      <c r="D3631" s="2" t="str">
        <f t="shared" si="55"/>
        <v>Error?</v>
      </c>
    </row>
    <row r="3632" spans="1:4" x14ac:dyDescent="0.2">
      <c r="A3632" s="5">
        <v>3571</v>
      </c>
      <c r="B3632" s="1889">
        <f>'Expenditures 15-22'!E349</f>
        <v>946804</v>
      </c>
      <c r="D3632" s="2" t="str">
        <f t="shared" si="55"/>
        <v>Error?</v>
      </c>
    </row>
    <row r="3633" spans="1:4" x14ac:dyDescent="0.2">
      <c r="A3633" s="5">
        <v>3572</v>
      </c>
      <c r="B3633" s="1889">
        <f>'Expenditures 15-22'!E350</f>
        <v>973862</v>
      </c>
      <c r="C3633" s="2" t="s">
        <v>569</v>
      </c>
      <c r="D3633" s="2" t="str">
        <f t="shared" si="55"/>
        <v>Error?</v>
      </c>
    </row>
    <row r="3634" spans="1:4" x14ac:dyDescent="0.2">
      <c r="A3634" s="5">
        <v>3573</v>
      </c>
      <c r="B3634" s="1889">
        <f>'Expenditures 15-22'!E351</f>
        <v>31446</v>
      </c>
      <c r="D3634" s="2" t="str">
        <f t="shared" si="55"/>
        <v>Error?</v>
      </c>
    </row>
    <row r="3635" spans="1:4" x14ac:dyDescent="0.2">
      <c r="A3635" s="5">
        <v>3574</v>
      </c>
      <c r="B3635" s="1889">
        <f>'Expenditures 15-22'!E352</f>
        <v>1005308</v>
      </c>
      <c r="C3635" s="2" t="s">
        <v>569</v>
      </c>
      <c r="D3635" s="2" t="str">
        <f t="shared" si="55"/>
        <v>Error?</v>
      </c>
    </row>
    <row r="3636" spans="1:4" x14ac:dyDescent="0.2">
      <c r="A3636" s="5">
        <v>3575</v>
      </c>
      <c r="B3636" s="1889">
        <f>'Expenditures 15-22'!E367</f>
        <v>1005308</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3919</v>
      </c>
      <c r="D3639" s="2" t="str">
        <f t="shared" si="55"/>
        <v>Error?</v>
      </c>
    </row>
    <row r="3640" spans="1:4" x14ac:dyDescent="0.2">
      <c r="A3640" s="5">
        <v>3579</v>
      </c>
      <c r="B3640" s="1889">
        <f>'Expenditures 15-22'!F350</f>
        <v>3919</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3919</v>
      </c>
      <c r="C3642" s="2" t="s">
        <v>569</v>
      </c>
      <c r="D3642" s="2" t="str">
        <f t="shared" si="55"/>
        <v>Error?</v>
      </c>
    </row>
    <row r="3643" spans="1:4" x14ac:dyDescent="0.2">
      <c r="A3643" s="5">
        <v>3582</v>
      </c>
      <c r="B3643" s="1889">
        <f>'Expenditures 15-22'!F367</f>
        <v>3919</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27058</v>
      </c>
      <c r="C3668" s="2" t="s">
        <v>569</v>
      </c>
      <c r="D3668" s="2" t="str">
        <f t="shared" si="56"/>
        <v>Error?</v>
      </c>
    </row>
    <row r="3669" spans="1:4" x14ac:dyDescent="0.2">
      <c r="A3669" s="5">
        <v>3608</v>
      </c>
      <c r="B3669" s="1889">
        <f>'Expenditures 15-22'!K349</f>
        <v>950723</v>
      </c>
      <c r="C3669" s="2" t="s">
        <v>569</v>
      </c>
      <c r="D3669" s="2" t="str">
        <f t="shared" si="56"/>
        <v>Error?</v>
      </c>
    </row>
    <row r="3670" spans="1:4" x14ac:dyDescent="0.2">
      <c r="A3670" s="5">
        <v>3609</v>
      </c>
      <c r="B3670" s="1889">
        <f>'Expenditures 15-22'!K350</f>
        <v>977781</v>
      </c>
      <c r="C3670" s="2" t="s">
        <v>569</v>
      </c>
      <c r="D3670" s="2" t="str">
        <f t="shared" si="56"/>
        <v>Error?</v>
      </c>
    </row>
    <row r="3671" spans="1:4" x14ac:dyDescent="0.2">
      <c r="A3671" s="5">
        <v>3610</v>
      </c>
      <c r="B3671" s="1889">
        <f>'Expenditures 15-22'!K351</f>
        <v>31446</v>
      </c>
      <c r="C3671" s="2" t="s">
        <v>569</v>
      </c>
      <c r="D3671" s="2" t="str">
        <f t="shared" si="56"/>
        <v>Error?</v>
      </c>
    </row>
    <row r="3672" spans="1:4" x14ac:dyDescent="0.2">
      <c r="A3672" s="5">
        <v>3611</v>
      </c>
      <c r="B3672" s="1889">
        <f>'Expenditures 15-22'!K352</f>
        <v>1009227</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1009227</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-268281</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352</v>
      </c>
      <c r="C3725" s="2" t="s">
        <v>569</v>
      </c>
      <c r="D3725" s="2" t="str">
        <f t="shared" si="57"/>
        <v>Error?</v>
      </c>
    </row>
    <row r="3726" spans="1:4" x14ac:dyDescent="0.2">
      <c r="A3726" s="5">
        <v>3665</v>
      </c>
      <c r="B3726" s="1889">
        <f>'Tax Sched 23'!D13</f>
        <v>211</v>
      </c>
      <c r="C3726" s="2" t="s">
        <v>569</v>
      </c>
      <c r="D3726" s="2" t="str">
        <f t="shared" si="57"/>
        <v>Error?</v>
      </c>
    </row>
    <row r="3727" spans="1:4" x14ac:dyDescent="0.2">
      <c r="A3727" s="5">
        <v>3666</v>
      </c>
      <c r="B3727" s="1889">
        <f>'Tax Sched 23'!C13</f>
        <v>141</v>
      </c>
      <c r="D3727" s="2" t="str">
        <f t="shared" si="57"/>
        <v>Error?</v>
      </c>
    </row>
    <row r="3728" spans="1:4" x14ac:dyDescent="0.2">
      <c r="A3728" s="5">
        <v>3667</v>
      </c>
      <c r="B3728" s="1889">
        <f>'Tax Sched 23'!F13</f>
        <v>237</v>
      </c>
      <c r="C3728" s="2" t="s">
        <v>569</v>
      </c>
      <c r="D3728" s="2" t="str">
        <f t="shared" si="57"/>
        <v>Error?</v>
      </c>
    </row>
    <row r="3729" spans="1:4" x14ac:dyDescent="0.2">
      <c r="A3729" s="5">
        <v>3668</v>
      </c>
      <c r="B3729" s="1889">
        <f>'Tax Sched 23'!E13</f>
        <v>378</v>
      </c>
      <c r="D3729" s="2" t="str">
        <f t="shared" si="57"/>
        <v>Error?</v>
      </c>
    </row>
    <row r="3730" spans="1:4" x14ac:dyDescent="0.2">
      <c r="A3730" s="5">
        <v>3669</v>
      </c>
      <c r="B3730" s="1889">
        <f>'ICR Computation 30'!E10</f>
        <v>471741</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1567938</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21703506</v>
      </c>
      <c r="C4122" s="2" t="s">
        <v>569</v>
      </c>
      <c r="D4122" s="2" t="str">
        <f t="shared" si="63"/>
        <v>Error?</v>
      </c>
    </row>
    <row r="4123" spans="1:4" x14ac:dyDescent="0.2">
      <c r="A4123" s="5">
        <v>4062</v>
      </c>
      <c r="B4123" s="1889">
        <f>'Acct Summary 7-8'!D10</f>
        <v>2118480</v>
      </c>
      <c r="C4123" s="2" t="s">
        <v>569</v>
      </c>
      <c r="D4123" s="2" t="str">
        <f t="shared" si="63"/>
        <v>Error?</v>
      </c>
    </row>
    <row r="4124" spans="1:4" x14ac:dyDescent="0.2">
      <c r="A4124" s="5">
        <v>4063</v>
      </c>
      <c r="B4124" s="1889">
        <f>'Acct Summary 7-8'!E10</f>
        <v>895887</v>
      </c>
      <c r="C4124" s="2" t="s">
        <v>569</v>
      </c>
      <c r="D4124" s="2" t="str">
        <f t="shared" si="63"/>
        <v>Error?</v>
      </c>
    </row>
    <row r="4125" spans="1:4" x14ac:dyDescent="0.2">
      <c r="A4125" s="5">
        <v>4064</v>
      </c>
      <c r="B4125" s="1889">
        <f>'Acct Summary 7-8'!F10</f>
        <v>1369416</v>
      </c>
      <c r="C4125" s="2" t="s">
        <v>569</v>
      </c>
      <c r="D4125" s="2" t="str">
        <f t="shared" si="63"/>
        <v>Error?</v>
      </c>
    </row>
    <row r="4126" spans="1:4" x14ac:dyDescent="0.2">
      <c r="A4126" s="5">
        <v>4065</v>
      </c>
      <c r="B4126" s="1889">
        <f>'Acct Summary 7-8'!G10</f>
        <v>767205</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389</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740946</v>
      </c>
      <c r="C4130" s="2" t="s">
        <v>569</v>
      </c>
      <c r="D4130" s="2" t="str">
        <f t="shared" si="63"/>
        <v>Error?</v>
      </c>
    </row>
    <row r="4131" spans="1:4" x14ac:dyDescent="0.2">
      <c r="A4131" s="5">
        <v>4070</v>
      </c>
      <c r="B4131" s="1889">
        <f>'Acct Summary 7-8'!C18</f>
        <v>1567938</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22844275</v>
      </c>
      <c r="C4136" s="2" t="s">
        <v>569</v>
      </c>
      <c r="D4136" s="2" t="str">
        <f t="shared" si="63"/>
        <v>Error?</v>
      </c>
    </row>
    <row r="4137" spans="1:4" x14ac:dyDescent="0.2">
      <c r="A4137" s="5">
        <v>4076</v>
      </c>
      <c r="B4137" s="1889">
        <f>'Acct Summary 7-8'!D19</f>
        <v>2261381</v>
      </c>
      <c r="C4137" s="2" t="s">
        <v>569</v>
      </c>
      <c r="D4137" s="2" t="str">
        <f t="shared" si="63"/>
        <v>Error?</v>
      </c>
    </row>
    <row r="4138" spans="1:4" x14ac:dyDescent="0.2">
      <c r="A4138" s="5">
        <v>4077</v>
      </c>
      <c r="B4138" s="1889">
        <f>'Acct Summary 7-8'!E19</f>
        <v>835781</v>
      </c>
      <c r="C4138" s="2" t="s">
        <v>569</v>
      </c>
      <c r="D4138" s="2" t="str">
        <f t="shared" si="63"/>
        <v>Error?</v>
      </c>
    </row>
    <row r="4139" spans="1:4" x14ac:dyDescent="0.2">
      <c r="A4139" s="5">
        <v>4078</v>
      </c>
      <c r="B4139" s="1889">
        <f>'Acct Summary 7-8'!F19</f>
        <v>1458051</v>
      </c>
      <c r="C4139" s="2" t="s">
        <v>569</v>
      </c>
      <c r="D4139" s="2" t="str">
        <f t="shared" si="63"/>
        <v>Error?</v>
      </c>
    </row>
    <row r="4140" spans="1:4" x14ac:dyDescent="0.2">
      <c r="A4140" s="5">
        <v>4079</v>
      </c>
      <c r="B4140" s="1889">
        <f>'Acct Summary 7-8'!G19</f>
        <v>767908</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1009227</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2620512</v>
      </c>
      <c r="C4171" s="2" t="s">
        <v>569</v>
      </c>
      <c r="D4171" s="2" t="str">
        <f t="shared" si="64"/>
        <v>Error?</v>
      </c>
    </row>
    <row r="4172" spans="1:4" x14ac:dyDescent="0.2">
      <c r="A4172" s="5">
        <v>4111</v>
      </c>
      <c r="B4172" s="1889">
        <f>'Short-Term Long-Term Debt 24'!J49</f>
        <v>2353924</v>
      </c>
      <c r="C4172" s="2" t="s">
        <v>569</v>
      </c>
      <c r="D4172" s="2" t="str">
        <f t="shared" si="64"/>
        <v>Error?</v>
      </c>
    </row>
    <row r="4173" spans="1:4" x14ac:dyDescent="0.2">
      <c r="A4173" s="5">
        <v>4112</v>
      </c>
      <c r="B4173" s="1889">
        <f>'Short-Term Long-Term Debt 24'!H49</f>
        <v>632791</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57701</v>
      </c>
      <c r="D4210" s="2" t="str">
        <f t="shared" si="64"/>
        <v>Error?</v>
      </c>
    </row>
    <row r="4211" spans="1:4" x14ac:dyDescent="0.2">
      <c r="A4211" s="5">
        <v>4150</v>
      </c>
      <c r="B4211" s="1889">
        <f>'Expenditures 15-22'!K206</f>
        <v>57701</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3928.5</v>
      </c>
      <c r="C4265" s="2" t="s">
        <v>569</v>
      </c>
      <c r="D4265" s="2" t="str">
        <f t="shared" si="65"/>
        <v>Error?</v>
      </c>
      <c r="E4265" s="125"/>
    </row>
    <row r="4266" spans="1:5" x14ac:dyDescent="0.2">
      <c r="A4266" s="12">
        <v>4205</v>
      </c>
      <c r="B4266" s="1889">
        <f>('FP Info 3'!F10)*100000</f>
        <v>496.5</v>
      </c>
      <c r="C4266" s="2" t="s">
        <v>569</v>
      </c>
      <c r="D4266" s="2" t="str">
        <f t="shared" si="65"/>
        <v>Error?</v>
      </c>
      <c r="E4266" s="125"/>
    </row>
    <row r="4267" spans="1:5" x14ac:dyDescent="0.2">
      <c r="A4267" s="12">
        <v>4206</v>
      </c>
      <c r="B4267" s="1889">
        <f>('FP Info 3'!H10)*100000</f>
        <v>56.300000000000004</v>
      </c>
      <c r="C4267" s="2" t="s">
        <v>569</v>
      </c>
      <c r="D4267" s="2" t="str">
        <f t="shared" si="65"/>
        <v>Error?</v>
      </c>
      <c r="E4267" s="125"/>
    </row>
    <row r="4268" spans="1:5" x14ac:dyDescent="0.2">
      <c r="A4268" s="12">
        <v>4207</v>
      </c>
      <c r="B4268" s="1889">
        <f>('FP Info 3'!J10)*100000</f>
        <v>4481</v>
      </c>
      <c r="C4268" s="2" t="s">
        <v>569</v>
      </c>
      <c r="D4268" s="2" t="str">
        <f t="shared" si="65"/>
        <v>Error?</v>
      </c>
    </row>
    <row r="4269" spans="1:5" x14ac:dyDescent="0.2">
      <c r="A4269" s="12">
        <v>4208</v>
      </c>
      <c r="B4269" s="1889">
        <f>'FP Info 3'!J16</f>
        <v>863335</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50000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39128</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197854</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35270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80388</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9.9999999999999992E-2</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327339626</v>
      </c>
      <c r="D4995" s="2" t="str">
        <f t="shared" si="77"/>
        <v>Error?</v>
      </c>
    </row>
    <row r="4996" spans="1:4" x14ac:dyDescent="0.2">
      <c r="A4996" s="12">
        <v>4935</v>
      </c>
      <c r="B4996" s="1889">
        <f>'FP Info 3'!H31</f>
        <v>45172868.388000004</v>
      </c>
      <c r="D4996" s="2" t="str">
        <f t="shared" si="77"/>
        <v>Error?</v>
      </c>
    </row>
    <row r="4997" spans="1:4" x14ac:dyDescent="0.2">
      <c r="A4997" s="12">
        <v>4936</v>
      </c>
      <c r="B4997" s="1889">
        <f>'FP Info 3'!H37</f>
        <v>2620512</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352</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12220563</v>
      </c>
      <c r="D5061" s="2" t="str">
        <f t="shared" si="78"/>
        <v>Error?</v>
      </c>
    </row>
    <row r="5062" spans="1:4" x14ac:dyDescent="0.2">
      <c r="A5062" s="10">
        <v>5001</v>
      </c>
      <c r="B5062" s="1889"/>
      <c r="D5062" s="2" t="str">
        <f t="shared" si="78"/>
        <v>OK</v>
      </c>
    </row>
    <row r="5063" spans="1:4" x14ac:dyDescent="0.2">
      <c r="A5063" s="5">
        <v>5002</v>
      </c>
      <c r="B5063" s="1889">
        <f>'Revenues 9-14'!C7</f>
        <v>530953</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12751868</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364032</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364032</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11038</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11038</v>
      </c>
      <c r="C5090" s="2" t="s">
        <v>569</v>
      </c>
      <c r="D5090" s="2" t="str">
        <f t="shared" si="78"/>
        <v>Error?</v>
      </c>
    </row>
    <row r="5091" spans="1:4" x14ac:dyDescent="0.2">
      <c r="A5091" s="5">
        <v>5030</v>
      </c>
      <c r="B5091" s="1889">
        <f>'Revenues 9-14'!C70</f>
        <v>15401</v>
      </c>
      <c r="D5091" s="2" t="str">
        <f t="shared" si="78"/>
        <v>Error?</v>
      </c>
    </row>
    <row r="5092" spans="1:4" x14ac:dyDescent="0.2">
      <c r="A5092" s="5">
        <v>5031</v>
      </c>
      <c r="B5092" s="1889">
        <f>'Revenues 9-14'!C71</f>
        <v>53914</v>
      </c>
      <c r="D5092" s="2" t="str">
        <f t="shared" si="78"/>
        <v>Error?</v>
      </c>
    </row>
    <row r="5093" spans="1:4" x14ac:dyDescent="0.2">
      <c r="A5093" s="5">
        <v>5032</v>
      </c>
      <c r="B5093" s="1889">
        <f>'Revenues 9-14'!C72</f>
        <v>1733</v>
      </c>
      <c r="D5093" s="2" t="str">
        <f t="shared" si="78"/>
        <v>Error?</v>
      </c>
    </row>
    <row r="5094" spans="1:4" x14ac:dyDescent="0.2">
      <c r="A5094" s="5">
        <v>5033</v>
      </c>
      <c r="B5094" s="1889">
        <f>'Revenues 9-14'!C73</f>
        <v>1999</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234971</v>
      </c>
      <c r="C5096" s="2" t="s">
        <v>569</v>
      </c>
      <c r="D5096" s="2" t="str">
        <f t="shared" si="78"/>
        <v>Error?</v>
      </c>
    </row>
    <row r="5097" spans="1:4" x14ac:dyDescent="0.2">
      <c r="A5097" s="5">
        <v>5036</v>
      </c>
      <c r="B5097" s="1889">
        <f>'Revenues 9-14'!C77</f>
        <v>24259</v>
      </c>
      <c r="D5097" s="2" t="str">
        <f t="shared" si="78"/>
        <v>Error?</v>
      </c>
    </row>
    <row r="5098" spans="1:4" x14ac:dyDescent="0.2">
      <c r="A5098" s="5">
        <v>5037</v>
      </c>
      <c r="B5098" s="1889">
        <f>'Revenues 9-14'!C78</f>
        <v>4613</v>
      </c>
      <c r="D5098" s="2" t="str">
        <f t="shared" si="78"/>
        <v>Error?</v>
      </c>
    </row>
    <row r="5099" spans="1:4" x14ac:dyDescent="0.2">
      <c r="A5099" s="5">
        <v>5038</v>
      </c>
      <c r="B5099" s="1889">
        <f>'Revenues 9-14'!C79</f>
        <v>71265</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100137</v>
      </c>
      <c r="C5102" s="2" t="s">
        <v>569</v>
      </c>
      <c r="D5102" s="2" t="str">
        <f t="shared" si="78"/>
        <v>Error?</v>
      </c>
    </row>
    <row r="5103" spans="1:4" x14ac:dyDescent="0.2">
      <c r="A5103" s="5">
        <v>5042</v>
      </c>
      <c r="B5103" s="1889">
        <f>'Revenues 9-14'!C84</f>
        <v>165839</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165839</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13840</v>
      </c>
      <c r="D5115" s="2" t="str">
        <f t="shared" si="78"/>
        <v>Error?</v>
      </c>
    </row>
    <row r="5116" spans="1:4" x14ac:dyDescent="0.2">
      <c r="A5116" s="5">
        <v>5055</v>
      </c>
      <c r="B5116" s="1889">
        <f>'Revenues 9-14'!C99</f>
        <v>450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17239</v>
      </c>
      <c r="D5119" s="2" t="str">
        <f t="shared" ref="D5119:D5182" si="79">IF(ISBLANK(B5119),"OK",IF(A5119-B5119=0,"OK","Error?"))</f>
        <v>Error?</v>
      </c>
    </row>
    <row r="5120" spans="1:4" x14ac:dyDescent="0.2">
      <c r="A5120" s="5">
        <v>5059</v>
      </c>
      <c r="B5120" s="1889">
        <f>'Revenues 9-14'!C108</f>
        <v>58763</v>
      </c>
      <c r="C5120" s="2" t="s">
        <v>569</v>
      </c>
      <c r="D5120" s="2" t="str">
        <f t="shared" si="79"/>
        <v>Error?</v>
      </c>
    </row>
    <row r="5121" spans="1:4" x14ac:dyDescent="0.2">
      <c r="A5121" s="5">
        <v>5060</v>
      </c>
      <c r="B5121" s="1889">
        <f>'Revenues 9-14'!C109</f>
        <v>13686648</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4124763</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4124763</v>
      </c>
      <c r="C5132" s="2" t="s">
        <v>569</v>
      </c>
      <c r="D5132" s="2" t="str">
        <f t="shared" si="79"/>
        <v>Error?</v>
      </c>
    </row>
    <row r="5133" spans="1:4" x14ac:dyDescent="0.2">
      <c r="A5133" s="5">
        <v>5072</v>
      </c>
      <c r="B5133" s="1889">
        <f>'Revenues 9-14'!C125</f>
        <v>435286</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16689</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451975</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11411</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11411</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3884</v>
      </c>
      <c r="D5167" s="2" t="str">
        <f t="shared" si="79"/>
        <v>Error?</v>
      </c>
    </row>
    <row r="5168" spans="1:4" x14ac:dyDescent="0.2">
      <c r="A5168" s="5">
        <v>5107</v>
      </c>
      <c r="B5168" s="1889">
        <f>'Revenues 9-14'!C148</f>
        <v>11312</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265696</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744278</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4869041</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200324</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52832</v>
      </c>
      <c r="D5241" s="2" t="str">
        <f t="shared" si="80"/>
        <v>Error?</v>
      </c>
    </row>
    <row r="5242" spans="1:4" x14ac:dyDescent="0.2">
      <c r="A5242" s="5">
        <v>5181</v>
      </c>
      <c r="B5242" s="1889">
        <f>'Revenues 9-14'!C194</f>
        <v>33121</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286277</v>
      </c>
      <c r="C5246" s="2" t="s">
        <v>569</v>
      </c>
      <c r="D5246" s="2" t="str">
        <f t="shared" si="80"/>
        <v>Error?</v>
      </c>
    </row>
    <row r="5247" spans="1:4" x14ac:dyDescent="0.2">
      <c r="A5247" s="5">
        <v>5186</v>
      </c>
      <c r="B5247" s="1889">
        <f>'Revenues 9-14'!C200</f>
        <v>342979</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35270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342979</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11358</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458185</v>
      </c>
      <c r="D5278" s="2" t="str">
        <f t="shared" si="81"/>
        <v>Error?</v>
      </c>
    </row>
    <row r="5279" spans="1:4" x14ac:dyDescent="0.2">
      <c r="A5279" s="5">
        <v>5218</v>
      </c>
      <c r="B5279" s="1889">
        <f>'Revenues 9-14'!C214</f>
        <v>110860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580403</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17580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17580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1579879</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1579879</v>
      </c>
      <c r="C5326" s="2" t="s">
        <v>569</v>
      </c>
      <c r="D5326" s="2" t="str">
        <f t="shared" si="82"/>
        <v>Error?</v>
      </c>
    </row>
    <row r="5327" spans="1:5" x14ac:dyDescent="0.2">
      <c r="A5327" s="5">
        <v>5266</v>
      </c>
      <c r="B5327" s="1889">
        <f>'Revenues 9-14'!C268</f>
        <v>20135568</v>
      </c>
      <c r="C5327" s="2" t="s">
        <v>569</v>
      </c>
      <c r="D5327" s="2" t="str">
        <f t="shared" si="82"/>
        <v>Error?</v>
      </c>
    </row>
    <row r="5328" spans="1:5" x14ac:dyDescent="0.2">
      <c r="A5328" s="5">
        <v>5267</v>
      </c>
      <c r="B5328" s="1889">
        <f>'Revenues 9-14'!D5</f>
        <v>1624960</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1624960</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1401</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1401</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17278</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71005</v>
      </c>
      <c r="D5354" s="2" t="str">
        <f t="shared" si="82"/>
        <v>Error?</v>
      </c>
    </row>
    <row r="5355" spans="1:4" x14ac:dyDescent="0.2">
      <c r="A5355" s="5">
        <v>5294</v>
      </c>
      <c r="B5355" s="1889">
        <f>'Revenues 9-14'!D108</f>
        <v>88283</v>
      </c>
      <c r="C5355" s="2" t="s">
        <v>569</v>
      </c>
      <c r="D5355" s="2" t="str">
        <f t="shared" si="82"/>
        <v>Error?</v>
      </c>
    </row>
    <row r="5356" spans="1:4" x14ac:dyDescent="0.2">
      <c r="A5356" s="5">
        <v>5295</v>
      </c>
      <c r="B5356" s="1889">
        <f>'Revenues 9-14'!D109</f>
        <v>1714644</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353836</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353836</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403836</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2118480</v>
      </c>
      <c r="C5508" s="2" t="s">
        <v>569</v>
      </c>
      <c r="D5508" s="2" t="str">
        <f t="shared" si="85"/>
        <v>Error?</v>
      </c>
    </row>
    <row r="5509" spans="1:4" x14ac:dyDescent="0.2">
      <c r="A5509" s="5">
        <v>5448</v>
      </c>
      <c r="B5509" s="1889">
        <f>'Revenues 9-14'!E5</f>
        <v>784198</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784198</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726</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726</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3270</v>
      </c>
      <c r="C5526" s="2" t="s">
        <v>569</v>
      </c>
      <c r="D5526" s="2" t="str">
        <f t="shared" si="85"/>
        <v>Error?</v>
      </c>
    </row>
    <row r="5527" spans="1:4" x14ac:dyDescent="0.2">
      <c r="A5527" s="5">
        <v>5466</v>
      </c>
      <c r="B5527" s="1889">
        <f>'Revenues 9-14'!E109</f>
        <v>788194</v>
      </c>
      <c r="C5527" s="2" t="s">
        <v>569</v>
      </c>
      <c r="D5527" s="2" t="str">
        <f t="shared" si="85"/>
        <v>Error?</v>
      </c>
    </row>
    <row r="5528" spans="1:4" x14ac:dyDescent="0.2">
      <c r="A5528" s="5">
        <v>5467</v>
      </c>
      <c r="B5528" s="1889">
        <f>'Revenues 9-14'!E117</f>
        <v>107693</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107693</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107693</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895887</v>
      </c>
      <c r="C5552" s="2" t="s">
        <v>569</v>
      </c>
      <c r="D5552" s="2" t="str">
        <f t="shared" si="85"/>
        <v>Error?</v>
      </c>
    </row>
    <row r="5553" spans="1:4" x14ac:dyDescent="0.2">
      <c r="A5553" s="5">
        <v>5492</v>
      </c>
      <c r="B5553" s="1889">
        <f>'Revenues 9-14'!F5</f>
        <v>163741</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163741</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5874</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5874</v>
      </c>
      <c r="C5579" s="2" t="s">
        <v>569</v>
      </c>
      <c r="D5579" s="2" t="str">
        <f t="shared" si="86"/>
        <v>Error?</v>
      </c>
    </row>
    <row r="5580" spans="1:4" x14ac:dyDescent="0.2">
      <c r="A5580" s="5">
        <v>5519</v>
      </c>
      <c r="B5580" s="1889">
        <f>'Revenues 9-14'!F65</f>
        <v>281</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281</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51558</v>
      </c>
      <c r="D5586" s="2" t="str">
        <f t="shared" si="86"/>
        <v>Error?</v>
      </c>
    </row>
    <row r="5587" spans="1:4" x14ac:dyDescent="0.2">
      <c r="A5587" s="5">
        <v>5526</v>
      </c>
      <c r="B5587" s="1889">
        <f>'Revenues 9-14'!F108</f>
        <v>51558</v>
      </c>
      <c r="C5587" s="2" t="s">
        <v>569</v>
      </c>
      <c r="D5587" s="2" t="str">
        <f t="shared" si="86"/>
        <v>Error?</v>
      </c>
    </row>
    <row r="5588" spans="1:4" x14ac:dyDescent="0.2">
      <c r="A5588" s="5">
        <v>5527</v>
      </c>
      <c r="B5588" s="1889">
        <f>'Revenues 9-14'!F109</f>
        <v>221454</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508138</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508138</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176505</v>
      </c>
      <c r="D5615" s="2" t="str">
        <f t="shared" si="86"/>
        <v>Error?</v>
      </c>
    </row>
    <row r="5616" spans="1:4" x14ac:dyDescent="0.2">
      <c r="A5616" s="10">
        <v>5555</v>
      </c>
      <c r="B5616" s="1889"/>
      <c r="D5616" s="2" t="str">
        <f t="shared" si="86"/>
        <v>OK</v>
      </c>
    </row>
    <row r="5617" spans="1:5" x14ac:dyDescent="0.2">
      <c r="A5617" s="5">
        <v>5556</v>
      </c>
      <c r="B5617" s="1889">
        <f>'Revenues 9-14'!F153</f>
        <v>463319</v>
      </c>
      <c r="D5617" s="2" t="str">
        <f t="shared" si="86"/>
        <v>Error?</v>
      </c>
    </row>
    <row r="5618" spans="1:5" x14ac:dyDescent="0.2">
      <c r="A5618" s="5">
        <v>5557</v>
      </c>
      <c r="B5618" s="1889">
        <f>'Revenues 9-14'!F155</f>
        <v>639824</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639824</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1147962</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1369416</v>
      </c>
      <c r="C5720" s="2" t="s">
        <v>569</v>
      </c>
      <c r="D5720" s="2" t="str">
        <f t="shared" si="88"/>
        <v>Error?</v>
      </c>
    </row>
    <row r="5721" spans="1:4" x14ac:dyDescent="0.2">
      <c r="A5721" s="5">
        <v>5660</v>
      </c>
      <c r="B5721" s="1889">
        <f>'Revenues 9-14'!G5</f>
        <v>207589</v>
      </c>
      <c r="D5721" s="2" t="str">
        <f t="shared" si="88"/>
        <v>Error?</v>
      </c>
    </row>
    <row r="5722" spans="1:4" x14ac:dyDescent="0.2">
      <c r="A5722" s="5">
        <v>5661</v>
      </c>
      <c r="B5722" s="1889">
        <f>'Revenues 9-14'!G7</f>
        <v>0</v>
      </c>
      <c r="D5722" s="2" t="str">
        <f t="shared" si="88"/>
        <v>Error?</v>
      </c>
    </row>
    <row r="5723" spans="1:4" x14ac:dyDescent="0.2">
      <c r="A5723" s="5">
        <v>5662</v>
      </c>
      <c r="B5723" s="1889">
        <f>'Revenues 9-14'!G8</f>
        <v>207589</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415178</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0</v>
      </c>
      <c r="C5730" s="2" t="s">
        <v>569</v>
      </c>
      <c r="D5730" s="2" t="str">
        <f t="shared" si="88"/>
        <v>Error?</v>
      </c>
    </row>
    <row r="5731" spans="1:4" x14ac:dyDescent="0.2">
      <c r="A5731" s="5">
        <v>5670</v>
      </c>
      <c r="B5731" s="1889">
        <f>'Revenues 9-14'!G65</f>
        <v>302</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302</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351725</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351725</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351725</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767205</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353</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353</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36</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36</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389</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3348</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3348</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9234</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9234</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728364</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728364</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728364</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740946</v>
      </c>
      <c r="C6023" s="2" t="s">
        <v>569</v>
      </c>
      <c r="D6023" s="2" t="str">
        <f t="shared" si="93"/>
        <v>Error?</v>
      </c>
    </row>
    <row r="6024" spans="1:5" x14ac:dyDescent="0.2">
      <c r="A6024" s="5">
        <v>5963</v>
      </c>
      <c r="B6024" s="1889">
        <f>'Revenues 9-14'!G109</f>
        <v>415480</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389</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12582</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161924</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40655</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1921.1</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1592</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4042774</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1592</v>
      </c>
      <c r="D6214" s="2" t="str">
        <f t="shared" si="96"/>
        <v>Error?</v>
      </c>
      <c r="E6214" s="2" t="s">
        <v>189</v>
      </c>
    </row>
    <row r="6215" spans="1:5" x14ac:dyDescent="0.2">
      <c r="A6215">
        <v>6154</v>
      </c>
      <c r="B6215" s="1889">
        <f>'Assets-Liab 5-6'!J39</f>
        <v>0</v>
      </c>
      <c r="D6215" s="2" t="str">
        <f t="shared" si="96"/>
        <v>Error?</v>
      </c>
      <c r="E6215" s="2" t="s">
        <v>189</v>
      </c>
    </row>
    <row r="6216" spans="1:5" x14ac:dyDescent="0.2">
      <c r="A6216">
        <v>6155</v>
      </c>
      <c r="B6216" s="1889">
        <f>'Assets-Liab 5-6'!J41</f>
        <v>1592</v>
      </c>
      <c r="D6216" s="2" t="str">
        <f t="shared" si="96"/>
        <v>Error?</v>
      </c>
      <c r="E6216" s="2" t="s">
        <v>189</v>
      </c>
    </row>
    <row r="6217" spans="1:5" x14ac:dyDescent="0.2">
      <c r="A6217">
        <v>6156</v>
      </c>
      <c r="B6217" s="1889">
        <f>'Assets-Liab 5-6'!J4</f>
        <v>1592</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353</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353</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353</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0</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0</v>
      </c>
      <c r="D6229" s="2" t="str">
        <f t="shared" si="96"/>
        <v>Error?</v>
      </c>
      <c r="E6229" s="2" t="s">
        <v>189</v>
      </c>
    </row>
    <row r="6230" spans="1:5" x14ac:dyDescent="0.2">
      <c r="A6230">
        <v>6169</v>
      </c>
      <c r="B6230" s="1889">
        <f>'Acct Summary 7-8'!J20</f>
        <v>353</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353</v>
      </c>
      <c r="D6263" s="2" t="str">
        <f t="shared" si="96"/>
        <v>Error?</v>
      </c>
      <c r="E6263" s="2" t="s">
        <v>189</v>
      </c>
    </row>
    <row r="6264" spans="1:5" x14ac:dyDescent="0.2">
      <c r="A6264">
        <v>6203</v>
      </c>
      <c r="B6264" s="1889">
        <f>'Acct Summary 7-8'!J79</f>
        <v>1239</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1592</v>
      </c>
      <c r="D6266" s="2" t="str">
        <f t="shared" si="96"/>
        <v>Error?</v>
      </c>
      <c r="E6266" s="2" t="s">
        <v>189</v>
      </c>
    </row>
    <row r="6267" spans="1:5" x14ac:dyDescent="0.2">
      <c r="A6267">
        <v>6206</v>
      </c>
      <c r="B6267" s="1889">
        <f>'Acct Summary 7-8'!C82</f>
        <v>-197242</v>
      </c>
      <c r="D6267" s="2" t="str">
        <f t="shared" si="96"/>
        <v>Error?</v>
      </c>
      <c r="E6267" s="2" t="s">
        <v>189</v>
      </c>
    </row>
    <row r="6268" spans="1:5" x14ac:dyDescent="0.2">
      <c r="A6268">
        <v>6207</v>
      </c>
      <c r="B6268" s="1889">
        <f>'Acct Summary 7-8'!D82</f>
        <v>-142901</v>
      </c>
      <c r="D6268" s="2" t="str">
        <f t="shared" si="96"/>
        <v>Error?</v>
      </c>
      <c r="E6268" s="2" t="s">
        <v>189</v>
      </c>
    </row>
    <row r="6269" spans="1:5" x14ac:dyDescent="0.2">
      <c r="A6269">
        <v>6208</v>
      </c>
      <c r="B6269" s="1889">
        <f>'Acct Summary 7-8'!E82</f>
        <v>60106</v>
      </c>
      <c r="D6269" s="2" t="str">
        <f t="shared" si="96"/>
        <v>Error?</v>
      </c>
      <c r="E6269" s="2" t="s">
        <v>189</v>
      </c>
    </row>
    <row r="6270" spans="1:5" x14ac:dyDescent="0.2">
      <c r="A6270">
        <v>6209</v>
      </c>
      <c r="B6270" s="1889">
        <f>'Acct Summary 7-8'!F82</f>
        <v>-23635</v>
      </c>
      <c r="D6270" s="2" t="str">
        <f t="shared" si="96"/>
        <v>Error?</v>
      </c>
      <c r="E6270" s="2" t="s">
        <v>189</v>
      </c>
    </row>
    <row r="6271" spans="1:5" x14ac:dyDescent="0.2">
      <c r="A6271">
        <v>6210</v>
      </c>
      <c r="B6271" s="1889">
        <f>'Acct Summary 7-8'!G82</f>
        <v>-703</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389</v>
      </c>
      <c r="D6273" s="2" t="str">
        <f t="shared" si="97"/>
        <v>Error?</v>
      </c>
      <c r="E6273" s="2" t="s">
        <v>189</v>
      </c>
    </row>
    <row r="6274" spans="1:5" x14ac:dyDescent="0.2">
      <c r="A6274">
        <v>6213</v>
      </c>
      <c r="B6274" s="1889">
        <f>'Acct Summary 7-8'!J82</f>
        <v>353</v>
      </c>
      <c r="D6274" s="2" t="str">
        <f t="shared" si="97"/>
        <v>Error?</v>
      </c>
      <c r="E6274" s="2" t="s">
        <v>189</v>
      </c>
    </row>
    <row r="6275" spans="1:5" x14ac:dyDescent="0.2">
      <c r="A6275">
        <v>6214</v>
      </c>
      <c r="B6275" s="1889">
        <f>'Acct Summary 7-8'!K82</f>
        <v>-1211808</v>
      </c>
      <c r="D6275" s="2" t="str">
        <f t="shared" si="97"/>
        <v>Error?</v>
      </c>
      <c r="E6275" s="2" t="s">
        <v>189</v>
      </c>
    </row>
    <row r="6276" spans="1:5" x14ac:dyDescent="0.2">
      <c r="A6276">
        <v>6215</v>
      </c>
      <c r="B6276" s="1889">
        <f>'Acct Summary 7-8'!C83</f>
        <v>-1.9724200000000001</v>
      </c>
      <c r="D6276" s="2" t="str">
        <f t="shared" si="97"/>
        <v>Error?</v>
      </c>
      <c r="E6276" s="2" t="s">
        <v>189</v>
      </c>
    </row>
    <row r="6277" spans="1:5" x14ac:dyDescent="0.2">
      <c r="A6277">
        <v>6216</v>
      </c>
      <c r="B6277" s="1889">
        <f>'Acct Summary 7-8'!D83</f>
        <v>-21.984769230769231</v>
      </c>
      <c r="D6277" s="2" t="str">
        <f t="shared" si="97"/>
        <v>Error?</v>
      </c>
      <c r="E6277" s="2" t="s">
        <v>189</v>
      </c>
    </row>
    <row r="6278" spans="1:5" x14ac:dyDescent="0.2">
      <c r="A6278">
        <v>6217</v>
      </c>
      <c r="B6278" s="1889">
        <f>'Acct Summary 7-8'!E83</f>
        <v>0.22546401188350562</v>
      </c>
      <c r="D6278" s="2" t="str">
        <f t="shared" si="97"/>
        <v>Error?</v>
      </c>
      <c r="E6278" s="2" t="s">
        <v>189</v>
      </c>
    </row>
    <row r="6279" spans="1:5" x14ac:dyDescent="0.2">
      <c r="A6279">
        <v>6218</v>
      </c>
      <c r="B6279" s="1889">
        <f>'Acct Summary 7-8'!F83</f>
        <v>-5.496511627906977</v>
      </c>
      <c r="D6279" s="2" t="str">
        <f t="shared" si="97"/>
        <v>Error?</v>
      </c>
      <c r="E6279" s="2" t="s">
        <v>189</v>
      </c>
    </row>
    <row r="6280" spans="1:5" x14ac:dyDescent="0.2">
      <c r="A6280">
        <v>6219</v>
      </c>
      <c r="B6280" s="1889" t="e">
        <f>'Acct Summary 7-8'!G83</f>
        <v>#DIV/0!</v>
      </c>
      <c r="D6280" s="2" t="e">
        <f t="shared" si="97"/>
        <v>#DIV/0!</v>
      </c>
      <c r="E6280" s="2" t="s">
        <v>189</v>
      </c>
    </row>
    <row r="6281" spans="1:5" x14ac:dyDescent="0.2">
      <c r="A6281">
        <v>6220</v>
      </c>
      <c r="B6281" s="1889" t="e">
        <f>'Acct Summary 7-8'!H83</f>
        <v>#DIV/0!</v>
      </c>
      <c r="D6281" s="2" t="e">
        <f t="shared" si="97"/>
        <v>#DIV/0!</v>
      </c>
      <c r="E6281" s="2" t="s">
        <v>189</v>
      </c>
    </row>
    <row r="6282" spans="1:5" x14ac:dyDescent="0.2">
      <c r="A6282">
        <v>6221</v>
      </c>
      <c r="B6282" s="1889">
        <f>'Acct Summary 7-8'!I83</f>
        <v>5.169194788282273E-4</v>
      </c>
      <c r="D6282" s="2" t="str">
        <f t="shared" si="97"/>
        <v>Error?</v>
      </c>
      <c r="E6282" s="2" t="s">
        <v>189</v>
      </c>
    </row>
    <row r="6283" spans="1:5" x14ac:dyDescent="0.2">
      <c r="A6283">
        <v>6222</v>
      </c>
      <c r="B6283" s="1889">
        <f>'Acct Summary 7-8'!J83</f>
        <v>0.22173366834170855</v>
      </c>
      <c r="D6283" s="2" t="str">
        <f t="shared" si="97"/>
        <v>Error?</v>
      </c>
      <c r="E6283" s="2" t="s">
        <v>189</v>
      </c>
    </row>
    <row r="6284" spans="1:5" x14ac:dyDescent="0.2">
      <c r="A6284">
        <v>6223</v>
      </c>
      <c r="B6284" s="1889">
        <f>'Acct Summary 7-8'!K83</f>
        <v>-3.9725288234272096</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353</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353</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0</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0</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3270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18255</v>
      </c>
      <c r="D6339" s="2" t="str">
        <f t="shared" si="98"/>
        <v>Error?</v>
      </c>
      <c r="E6339" s="2" t="s">
        <v>189</v>
      </c>
    </row>
    <row r="6340" spans="1:5" x14ac:dyDescent="0.2">
      <c r="A6340">
        <v>6279</v>
      </c>
      <c r="B6340" s="1889">
        <f>'Revenues 9-14'!C102</f>
        <v>8979</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353</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11674</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196923</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23901</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417</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1113020</v>
      </c>
      <c r="D6880" s="2" t="str">
        <f t="shared" si="106"/>
        <v>Error?</v>
      </c>
    </row>
    <row r="6881" spans="1:4" x14ac:dyDescent="0.2">
      <c r="A6881">
        <v>6820</v>
      </c>
      <c r="B6881" s="1889">
        <f>'Expenditures 15-22'!K22</f>
        <v>1113020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23901</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1005</v>
      </c>
      <c r="D6981" s="2" t="str">
        <f t="shared" si="108"/>
        <v>Error?</v>
      </c>
    </row>
    <row r="6982" spans="1:4" x14ac:dyDescent="0.2">
      <c r="A6982">
        <v>6921</v>
      </c>
      <c r="B6982" s="1889">
        <f>'Expenditures 15-22'!K85</f>
        <v>1005</v>
      </c>
      <c r="D6982" s="2" t="str">
        <f t="shared" si="108"/>
        <v>Error?</v>
      </c>
    </row>
    <row r="6983" spans="1:4" x14ac:dyDescent="0.2">
      <c r="A6983">
        <v>6922</v>
      </c>
      <c r="B6983" s="1889">
        <f>'Expenditures 15-22'!H86</f>
        <v>24844</v>
      </c>
      <c r="D6983" s="2" t="str">
        <f t="shared" si="108"/>
        <v>Error?</v>
      </c>
    </row>
    <row r="6984" spans="1:4" x14ac:dyDescent="0.2">
      <c r="A6984">
        <v>6923</v>
      </c>
      <c r="B6984" s="1889">
        <f>'Expenditures 15-22'!K86</f>
        <v>24844</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322203</v>
      </c>
      <c r="D6987" s="2" t="str">
        <f t="shared" si="108"/>
        <v>Error?</v>
      </c>
    </row>
    <row r="6988" spans="1:4" x14ac:dyDescent="0.2">
      <c r="A6988">
        <v>6927</v>
      </c>
      <c r="B6988" s="1889">
        <f>'Expenditures 15-22'!K88</f>
        <v>322203</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348052</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41055</v>
      </c>
      <c r="D7018" s="2" t="str">
        <f t="shared" si="108"/>
        <v>Error?</v>
      </c>
    </row>
    <row r="7019" spans="1:4" x14ac:dyDescent="0.2">
      <c r="A7019">
        <v>6958</v>
      </c>
      <c r="B7019" s="1889">
        <f>'Expenditures 15-22'!K112</f>
        <v>41055</v>
      </c>
      <c r="D7019" s="2" t="str">
        <f t="shared" si="108"/>
        <v>Error?</v>
      </c>
    </row>
    <row r="7020" spans="1:4" x14ac:dyDescent="0.2">
      <c r="A7020">
        <v>6959</v>
      </c>
      <c r="B7020" s="1889">
        <f>'Expenditures 15-22'!I114</f>
        <v>23901</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5299</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5299</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5299</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0</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5299</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353</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9579</v>
      </c>
      <c r="D7067" s="2" t="str">
        <f t="shared" si="109"/>
        <v>Error?</v>
      </c>
    </row>
    <row r="7068" spans="1:4" x14ac:dyDescent="0.2">
      <c r="A7068">
        <v>7007</v>
      </c>
      <c r="B7068" s="1889">
        <f>'Expenditures 15-22'!K205</f>
        <v>9579</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32626</v>
      </c>
      <c r="D7075" s="2" t="str">
        <f t="shared" si="109"/>
        <v>Error?</v>
      </c>
    </row>
    <row r="7076" spans="1:4" x14ac:dyDescent="0.2">
      <c r="A7076">
        <v>7015</v>
      </c>
      <c r="B7076" s="1889">
        <f>'Expenditures 15-22'!K218</f>
        <v>32626</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4</v>
      </c>
      <c r="D7079" s="2" t="str">
        <f t="shared" si="109"/>
        <v>Error?</v>
      </c>
    </row>
    <row r="7080" spans="1:4" x14ac:dyDescent="0.2">
      <c r="A7080">
        <v>7019</v>
      </c>
      <c r="B7080" s="1889">
        <f>'Expenditures 15-22'!K226</f>
        <v>4</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0</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0</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0</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0</v>
      </c>
      <c r="D7224" s="2" t="str">
        <f t="shared" si="111"/>
        <v>Error?</v>
      </c>
    </row>
    <row r="7225" spans="1:4" x14ac:dyDescent="0.2">
      <c r="A7225">
        <v>7164</v>
      </c>
      <c r="B7225" s="1889">
        <f>'Expenditures 15-22'!K343</f>
        <v>353</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3235</v>
      </c>
      <c r="D7247" s="2" t="str">
        <f t="shared" si="112"/>
        <v>Error?</v>
      </c>
    </row>
    <row r="7248" spans="1:4" x14ac:dyDescent="0.2">
      <c r="A7248">
        <f t="shared" si="113"/>
        <v>7187</v>
      </c>
      <c r="B7248" s="1889">
        <f>'Expenditures 15-22'!F7</f>
        <v>8439</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181878</v>
      </c>
      <c r="D7251" s="2" t="str">
        <f t="shared" si="112"/>
        <v>Error?</v>
      </c>
    </row>
    <row r="7252" spans="1:4" x14ac:dyDescent="0.2">
      <c r="A7252">
        <f t="shared" si="113"/>
        <v>7191</v>
      </c>
      <c r="B7252" s="1889">
        <f>'Expenditures 15-22'!D9</f>
        <v>15045</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260</v>
      </c>
      <c r="D7263" s="2" t="str">
        <f t="shared" si="112"/>
        <v>Error?</v>
      </c>
    </row>
    <row r="7264" spans="1:4" x14ac:dyDescent="0.2">
      <c r="A7264">
        <f t="shared" si="113"/>
        <v>7203</v>
      </c>
      <c r="B7264" s="1889">
        <f>'Expenditures 15-22'!D17</f>
        <v>31</v>
      </c>
      <c r="D7264" s="2" t="str">
        <f t="shared" si="112"/>
        <v>Error?</v>
      </c>
    </row>
    <row r="7265" spans="1:5" x14ac:dyDescent="0.2">
      <c r="A7265">
        <f t="shared" si="113"/>
        <v>7204</v>
      </c>
      <c r="B7265" s="1889">
        <f>'Expenditures 15-22'!E17</f>
        <v>126</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199500</v>
      </c>
      <c r="D7606" s="2" t="str">
        <f t="shared" si="122"/>
        <v>Error?</v>
      </c>
      <c r="E7606" s="2" t="s">
        <v>19</v>
      </c>
    </row>
    <row r="7607" spans="1:5" x14ac:dyDescent="0.2">
      <c r="A7607">
        <f t="shared" si="123"/>
        <v>7546</v>
      </c>
      <c r="B7607" s="1889">
        <f>'Cap Outlay Deprec 26'!D9</f>
        <v>390220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589720</v>
      </c>
      <c r="D7609" s="2" t="str">
        <f t="shared" si="122"/>
        <v>Error?</v>
      </c>
      <c r="E7609" s="2" t="s">
        <v>19</v>
      </c>
    </row>
    <row r="7610" spans="1:5" x14ac:dyDescent="0.2">
      <c r="A7610">
        <f t="shared" si="123"/>
        <v>7549</v>
      </c>
      <c r="B7610" s="1889">
        <f>'Cap Outlay Deprec 26'!H9</f>
        <v>124688</v>
      </c>
      <c r="D7610" s="2" t="str">
        <f t="shared" si="122"/>
        <v>Error?</v>
      </c>
      <c r="E7610" s="2" t="s">
        <v>19</v>
      </c>
    </row>
    <row r="7611" spans="1:5" x14ac:dyDescent="0.2">
      <c r="A7611">
        <f t="shared" si="123"/>
        <v>7550</v>
      </c>
      <c r="B7611" s="1889">
        <f>'Cap Outlay Deprec 26'!I9</f>
        <v>29486</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154174</v>
      </c>
      <c r="D7613" s="2" t="str">
        <f t="shared" si="122"/>
        <v>Error?</v>
      </c>
      <c r="E7613" s="2" t="s">
        <v>19</v>
      </c>
    </row>
    <row r="7614" spans="1:5" x14ac:dyDescent="0.2">
      <c r="A7614">
        <f t="shared" si="123"/>
        <v>7553</v>
      </c>
      <c r="B7614" s="1889">
        <f>'Cap Outlay Deprec 26'!L9</f>
        <v>435546</v>
      </c>
      <c r="D7614" s="2" t="str">
        <f t="shared" si="122"/>
        <v>Error?</v>
      </c>
      <c r="E7614" s="2" t="s">
        <v>19</v>
      </c>
    </row>
    <row r="7615" spans="1:5" x14ac:dyDescent="0.2">
      <c r="A7615">
        <f t="shared" si="123"/>
        <v>7554</v>
      </c>
      <c r="B7615" s="1889">
        <f>'Cap Outlay Deprec 26'!C14</f>
        <v>10571</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10571</v>
      </c>
      <c r="D7618" s="2" t="str">
        <f t="shared" si="124"/>
        <v>Error?</v>
      </c>
      <c r="E7618" s="2" t="s">
        <v>19</v>
      </c>
    </row>
    <row r="7619" spans="1:5" x14ac:dyDescent="0.2">
      <c r="A7619">
        <f t="shared" si="123"/>
        <v>7558</v>
      </c>
      <c r="B7619" s="1889">
        <f>'Cap Outlay Deprec 26'!H14</f>
        <v>8140</v>
      </c>
      <c r="D7619" s="2" t="str">
        <f t="shared" si="124"/>
        <v>Error?</v>
      </c>
      <c r="E7619" s="2" t="s">
        <v>19</v>
      </c>
    </row>
    <row r="7620" spans="1:5" x14ac:dyDescent="0.2">
      <c r="A7620">
        <f t="shared" si="123"/>
        <v>7559</v>
      </c>
      <c r="B7620" s="1889">
        <f>'Cap Outlay Deprec 26'!I14</f>
        <v>702</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8842</v>
      </c>
      <c r="D7622" s="2" t="str">
        <f t="shared" si="124"/>
        <v>Error?</v>
      </c>
      <c r="E7622" s="2" t="s">
        <v>19</v>
      </c>
    </row>
    <row r="7623" spans="1:5" x14ac:dyDescent="0.2">
      <c r="A7623">
        <f t="shared" si="123"/>
        <v>7562</v>
      </c>
      <c r="B7623" s="1889">
        <f>'Cap Outlay Deprec 26'!L14</f>
        <v>1729</v>
      </c>
      <c r="D7623" s="2" t="str">
        <f t="shared" si="124"/>
        <v>Error?</v>
      </c>
      <c r="E7623" s="2" t="s">
        <v>19</v>
      </c>
    </row>
    <row r="7624" spans="1:5" x14ac:dyDescent="0.2">
      <c r="A7624">
        <f t="shared" si="123"/>
        <v>7563</v>
      </c>
      <c r="B7624" s="1889">
        <f>'Cap Outlay Deprec 26'!F17</f>
        <v>29200</v>
      </c>
      <c r="D7624" s="2" t="str">
        <f t="shared" si="124"/>
        <v>Error?</v>
      </c>
      <c r="E7624" s="2" t="s">
        <v>19</v>
      </c>
    </row>
    <row r="7625" spans="1:5" x14ac:dyDescent="0.2">
      <c r="A7625">
        <f t="shared" si="123"/>
        <v>7564</v>
      </c>
      <c r="B7625" s="1889">
        <f>'Cap Outlay Deprec 26'!I17</f>
        <v>2920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637022</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18255</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11312</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29567</v>
      </c>
      <c r="D7719" s="2" t="str">
        <f t="shared" si="126"/>
        <v>Error?</v>
      </c>
      <c r="E7719" s="2" t="s">
        <v>822</v>
      </c>
    </row>
    <row r="7720" spans="1:6" x14ac:dyDescent="0.2">
      <c r="A7720">
        <v>7659</v>
      </c>
      <c r="B7720" s="1889">
        <f>'Rest Tax Levies-Tort Im 25'!H14</f>
        <v>530953</v>
      </c>
      <c r="D7720" s="2" t="str">
        <f t="shared" si="126"/>
        <v>Error?</v>
      </c>
      <c r="E7720" s="2" t="s">
        <v>822</v>
      </c>
    </row>
    <row r="7721" spans="1:6" x14ac:dyDescent="0.2">
      <c r="A7721">
        <v>7660</v>
      </c>
      <c r="B7721" s="1889">
        <f>'Rest Tax Levies-Tort Im 25'!K14</f>
        <v>29567</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29567</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3685916</v>
      </c>
      <c r="D7817" s="2" t="str">
        <f t="shared" si="128"/>
        <v>Error?</v>
      </c>
      <c r="E7817" s="4" t="s">
        <v>1966</v>
      </c>
    </row>
    <row r="7818" spans="1:5" x14ac:dyDescent="0.2">
      <c r="A7818">
        <v>7757</v>
      </c>
      <c r="B7818" s="1889">
        <f>'PCTC-OEPP 27-28'!F172</f>
        <v>0</v>
      </c>
      <c r="D7818" s="2" t="str">
        <f t="shared" si="128"/>
        <v>Error?</v>
      </c>
      <c r="E7818" s="4" t="s">
        <v>1980</v>
      </c>
    </row>
    <row r="7819" spans="1:5" x14ac:dyDescent="0.2">
      <c r="A7819">
        <v>7758</v>
      </c>
      <c r="B7819" s="1889">
        <f>'PCTC-OEPP 27-28'!F173</f>
        <v>0</v>
      </c>
      <c r="D7819" s="2" t="str">
        <f t="shared" si="128"/>
        <v>Error?</v>
      </c>
      <c r="E7819" s="4" t="s">
        <v>1980</v>
      </c>
    </row>
    <row r="7820" spans="1:5" x14ac:dyDescent="0.2">
      <c r="A7820">
        <v>7759</v>
      </c>
      <c r="B7820" s="1889">
        <f>'ICR Computation 30'!E40</f>
        <v>-590490</v>
      </c>
      <c r="D7820" s="2" t="str">
        <f t="shared" si="128"/>
        <v>Error?</v>
      </c>
    </row>
    <row r="7821" spans="1:5" x14ac:dyDescent="0.2">
      <c r="A7821">
        <v>7760</v>
      </c>
      <c r="B7821" s="1889">
        <f>'ICR Computation 30'!G40</f>
        <v>-590490</v>
      </c>
      <c r="D7821" s="2" t="str">
        <f t="shared" si="128"/>
        <v>Error?</v>
      </c>
    </row>
    <row r="7822" spans="1:5" x14ac:dyDescent="0.2">
      <c r="A7822" s="1">
        <v>7761</v>
      </c>
      <c r="B7822" s="1889">
        <f>'PCTC-OEPP 27-28'!F14</f>
        <v>26599458</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11674</v>
      </c>
      <c r="D7826" s="2" t="str">
        <f t="shared" si="129"/>
        <v>Error?</v>
      </c>
      <c r="E7826" s="4" t="s">
        <v>1998</v>
      </c>
    </row>
    <row r="7827" spans="1:5" x14ac:dyDescent="0.2">
      <c r="A7827">
        <v>7766</v>
      </c>
      <c r="B7827" s="1889">
        <f>'PCTC-OEPP 27-28'!F35</f>
        <v>196923</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0</v>
      </c>
      <c r="D7830" s="2" t="str">
        <f t="shared" si="129"/>
        <v>Error?</v>
      </c>
      <c r="E7830" s="4" t="s">
        <v>1998</v>
      </c>
    </row>
    <row r="7831" spans="1:5" x14ac:dyDescent="0.2">
      <c r="A7831">
        <v>7770</v>
      </c>
      <c r="B7831" s="1889">
        <f>'PCTC-OEPP 27-28'!F52</f>
        <v>9812</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2499616</v>
      </c>
      <c r="D7834" s="2" t="str">
        <f t="shared" si="129"/>
        <v>Error?</v>
      </c>
      <c r="E7834" s="4" t="s">
        <v>1998</v>
      </c>
    </row>
    <row r="7835" spans="1:5" x14ac:dyDescent="0.2">
      <c r="A7835">
        <v>7774</v>
      </c>
      <c r="B7835" s="1889">
        <f>'PCTC-OEPP 27-28'!F78</f>
        <v>24099842</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12544.813908698143</v>
      </c>
      <c r="D7837" s="2" t="str">
        <f t="shared" si="129"/>
        <v>Error?</v>
      </c>
      <c r="E7837" s="4" t="s">
        <v>1998</v>
      </c>
    </row>
    <row r="7838" spans="1:5" x14ac:dyDescent="0.2">
      <c r="A7838">
        <v>7777</v>
      </c>
      <c r="B7838" s="1889">
        <f>'PCTC-OEPP 27-28'!F96</f>
        <v>100137</v>
      </c>
      <c r="D7838" s="2" t="str">
        <f t="shared" si="129"/>
        <v>Error?</v>
      </c>
      <c r="E7838" s="4" t="s">
        <v>1998</v>
      </c>
    </row>
    <row r="7839" spans="1:5" x14ac:dyDescent="0.2">
      <c r="A7839">
        <v>7778</v>
      </c>
      <c r="B7839" s="1889">
        <f>'PCTC-OEPP 27-28'!F102</f>
        <v>17278</v>
      </c>
      <c r="D7839" s="2" t="str">
        <f t="shared" si="129"/>
        <v>Error?</v>
      </c>
      <c r="E7839" s="4" t="s">
        <v>1998</v>
      </c>
    </row>
    <row r="7840" spans="1:5" x14ac:dyDescent="0.2">
      <c r="A7840">
        <v>7779</v>
      </c>
      <c r="B7840" s="1889">
        <f>'PCTC-OEPP 27-28'!F103</f>
        <v>13840</v>
      </c>
      <c r="D7840" s="2" t="str">
        <f t="shared" si="129"/>
        <v>Error?</v>
      </c>
      <c r="E7840" s="4" t="s">
        <v>1998</v>
      </c>
    </row>
    <row r="7841" spans="1:5" x14ac:dyDescent="0.2">
      <c r="A7841">
        <v>7780</v>
      </c>
      <c r="B7841" s="1889">
        <f>'PCTC-OEPP 27-28'!F104</f>
        <v>0</v>
      </c>
      <c r="D7841" s="2" t="str">
        <f t="shared" si="129"/>
        <v>Error?</v>
      </c>
      <c r="E7841" s="4" t="s">
        <v>1998</v>
      </c>
    </row>
    <row r="7842" spans="1:5" x14ac:dyDescent="0.2">
      <c r="A7842">
        <v>7781</v>
      </c>
      <c r="B7842" s="1889">
        <f>'PCTC-OEPP 27-28'!F106</f>
        <v>451975</v>
      </c>
      <c r="D7842" s="2" t="str">
        <f t="shared" si="129"/>
        <v>Error?</v>
      </c>
      <c r="E7842" s="4" t="s">
        <v>1998</v>
      </c>
    </row>
    <row r="7843" spans="1:5" x14ac:dyDescent="0.2">
      <c r="A7843">
        <v>7782</v>
      </c>
      <c r="B7843" s="1889">
        <f>'PCTC-OEPP 27-28'!F107</f>
        <v>11411</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11312</v>
      </c>
      <c r="D7846" s="2" t="str">
        <f t="shared" si="129"/>
        <v>Error?</v>
      </c>
      <c r="E7846" s="4" t="s">
        <v>1998</v>
      </c>
    </row>
    <row r="7847" spans="1:5" x14ac:dyDescent="0.2">
      <c r="A7847">
        <v>7786</v>
      </c>
      <c r="B7847" s="1889">
        <f>'PCTC-OEPP 27-28'!F112</f>
        <v>639824</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0</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286277</v>
      </c>
      <c r="D7858" s="2" t="str">
        <f t="shared" si="129"/>
        <v>Error?</v>
      </c>
      <c r="E7858" s="4" t="s">
        <v>1998</v>
      </c>
    </row>
    <row r="7859" spans="1:5" x14ac:dyDescent="0.2">
      <c r="A7859">
        <v>7798</v>
      </c>
      <c r="B7859" s="1889">
        <f>'PCTC-OEPP 27-28'!F127</f>
        <v>342979</v>
      </c>
      <c r="D7859" s="2" t="str">
        <f t="shared" si="129"/>
        <v>Error?</v>
      </c>
      <c r="E7859" s="4" t="s">
        <v>1998</v>
      </c>
    </row>
    <row r="7860" spans="1:5" x14ac:dyDescent="0.2">
      <c r="A7860">
        <v>7799</v>
      </c>
      <c r="B7860" s="1889">
        <f>'PCTC-OEPP 27-28'!F128</f>
        <v>35270</v>
      </c>
      <c r="D7860" s="2" t="str">
        <f t="shared" si="129"/>
        <v>Error?</v>
      </c>
      <c r="E7860" s="4" t="s">
        <v>1998</v>
      </c>
    </row>
    <row r="7861" spans="1:5" x14ac:dyDescent="0.2">
      <c r="A7861">
        <v>7800</v>
      </c>
      <c r="B7861" s="1889">
        <f>'PCTC-OEPP 27-28'!F129</f>
        <v>458185</v>
      </c>
      <c r="D7861" s="2" t="str">
        <f t="shared" si="129"/>
        <v>Error?</v>
      </c>
      <c r="E7861" s="4" t="s">
        <v>1998</v>
      </c>
    </row>
    <row r="7862" spans="1:5" x14ac:dyDescent="0.2">
      <c r="A7862">
        <v>7801</v>
      </c>
      <c r="B7862" s="1889">
        <f>'PCTC-OEPP 27-28'!F130</f>
        <v>110860</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17580</v>
      </c>
      <c r="D7865" s="2" t="str">
        <f t="shared" si="129"/>
        <v>Error?</v>
      </c>
      <c r="E7865" s="4" t="s">
        <v>1998</v>
      </c>
    </row>
    <row r="7866" spans="1:5" x14ac:dyDescent="0.2">
      <c r="A7866">
        <v>7805</v>
      </c>
      <c r="B7866" s="1889">
        <f>'PCTC-OEPP 27-28'!F158</f>
        <v>0</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0</v>
      </c>
      <c r="D7868" s="2" t="str">
        <f t="shared" si="129"/>
        <v>Error?</v>
      </c>
      <c r="E7868" s="4" t="s">
        <v>1998</v>
      </c>
    </row>
    <row r="7869" spans="1:5" x14ac:dyDescent="0.2">
      <c r="A7869">
        <v>7808</v>
      </c>
      <c r="B7869" s="1889">
        <f>'PCTC-OEPP 27-28'!F162</f>
        <v>0</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80388</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39128</v>
      </c>
      <c r="D7874" s="2" t="str">
        <f t="shared" si="129"/>
        <v>Error?</v>
      </c>
      <c r="E7874" s="4" t="s">
        <v>1998</v>
      </c>
    </row>
    <row r="7875" spans="1:5" x14ac:dyDescent="0.2">
      <c r="A7875">
        <v>7814</v>
      </c>
      <c r="B7875" s="1889">
        <f>'PCTC-OEPP 27-28'!F170</f>
        <v>197854</v>
      </c>
      <c r="D7875" s="2" t="str">
        <f t="shared" si="129"/>
        <v>Error?</v>
      </c>
      <c r="E7875" s="4" t="s">
        <v>1998</v>
      </c>
    </row>
    <row r="7876" spans="1:5" x14ac:dyDescent="0.2">
      <c r="A7876">
        <v>7815</v>
      </c>
      <c r="B7876" s="1889">
        <f>'PCTC-OEPP 27-28'!F171</f>
        <v>0</v>
      </c>
      <c r="D7876" s="2" t="str">
        <f t="shared" si="129"/>
        <v>Error?</v>
      </c>
      <c r="E7876" s="4" t="s">
        <v>1998</v>
      </c>
    </row>
    <row r="7877" spans="1:5" x14ac:dyDescent="0.2">
      <c r="A7877">
        <v>7816</v>
      </c>
      <c r="B7877" s="1889">
        <f>'PCTC-OEPP 27-28'!F175</f>
        <v>3274866</v>
      </c>
      <c r="D7877" s="2" t="str">
        <f t="shared" si="129"/>
        <v>Error?</v>
      </c>
      <c r="E7877" s="4" t="s">
        <v>1998</v>
      </c>
    </row>
    <row r="7878" spans="1:5" x14ac:dyDescent="0.2">
      <c r="A7878">
        <v>7817</v>
      </c>
      <c r="B7878" s="1889">
        <f>'PCTC-OEPP 27-28'!F176</f>
        <v>20824976</v>
      </c>
      <c r="D7878" s="2" t="str">
        <f t="shared" si="129"/>
        <v>Error?</v>
      </c>
      <c r="E7878" s="4" t="s">
        <v>1998</v>
      </c>
    </row>
    <row r="7879" spans="1:5" x14ac:dyDescent="0.2">
      <c r="A7879">
        <v>7818</v>
      </c>
      <c r="B7879" s="1889">
        <f>'PCTC-OEPP 27-28'!F178</f>
        <v>21461998</v>
      </c>
      <c r="D7879" s="2" t="str">
        <f t="shared" si="129"/>
        <v>Error?</v>
      </c>
      <c r="E7879" s="4" t="s">
        <v>1998</v>
      </c>
    </row>
    <row r="7880" spans="1:5" x14ac:dyDescent="0.2">
      <c r="A7880">
        <v>7819</v>
      </c>
      <c r="B7880" s="1889">
        <f>'PCTC-OEPP 27-28'!F180</f>
        <v>11171.723491749519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3" zoomScale="110" zoomScaleNormal="110" workbookViewId="0">
      <selection activeCell="L40" sqref="L40"/>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5" t="s">
        <v>1183</v>
      </c>
      <c r="B2" s="2635"/>
      <c r="C2" s="2635"/>
      <c r="D2" s="2635"/>
      <c r="E2" s="2635"/>
      <c r="F2" s="2635"/>
      <c r="G2" s="2635"/>
      <c r="H2" s="2635"/>
      <c r="I2" s="2635"/>
      <c r="J2" s="2635"/>
      <c r="K2" s="2635"/>
      <c r="L2" s="2635"/>
    </row>
    <row r="3" spans="1:29" ht="13.5" customHeight="1" x14ac:dyDescent="0.2">
      <c r="A3" s="2621" t="s">
        <v>1182</v>
      </c>
      <c r="B3" s="2621"/>
      <c r="C3" s="2621"/>
      <c r="D3" s="2621"/>
      <c r="E3" s="2621"/>
      <c r="F3" s="2621"/>
      <c r="G3" s="2621"/>
      <c r="H3" s="2621"/>
      <c r="I3" s="2621"/>
      <c r="J3" s="2621"/>
      <c r="K3" s="2621"/>
      <c r="L3" s="2621"/>
    </row>
    <row r="4" spans="1:29" ht="13.5" customHeight="1" x14ac:dyDescent="0.2">
      <c r="A4" s="2652" t="str">
        <f>"Year Ending June 30, "&amp;'AFR20'!E2</f>
        <v>Year Ending June 30, 2020</v>
      </c>
      <c r="B4" s="2653"/>
      <c r="C4" s="2653"/>
      <c r="D4" s="2653"/>
      <c r="E4" s="2653"/>
      <c r="F4" s="2653"/>
      <c r="G4" s="2653"/>
      <c r="H4" s="2653"/>
      <c r="I4" s="2653"/>
      <c r="J4" s="2653"/>
      <c r="K4" s="2653"/>
      <c r="L4" s="265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5" t="str">
        <f>COVER!A17</f>
        <v xml:space="preserve">  Sandwich CUSD 430</v>
      </c>
      <c r="B7" s="2616"/>
      <c r="C7" s="2616"/>
      <c r="D7" s="2654"/>
      <c r="E7" s="2655">
        <f>COVER!A13</f>
        <v>16019430026</v>
      </c>
      <c r="F7" s="2656"/>
      <c r="G7" s="2622" t="str">
        <f>COVER!T23</f>
        <v>066-005100</v>
      </c>
      <c r="H7" s="2623"/>
      <c r="I7" s="2623"/>
      <c r="J7" s="2623"/>
      <c r="K7" s="2623"/>
      <c r="L7" s="2624"/>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5"/>
      <c r="B9" s="2626"/>
      <c r="C9" s="2626"/>
      <c r="D9" s="2626"/>
      <c r="E9" s="2626"/>
      <c r="F9" s="2627"/>
      <c r="G9" s="2628" t="str">
        <f>COVER!T13</f>
        <v>Mack &amp; Associates, P.C.</v>
      </c>
      <c r="H9" s="2629"/>
      <c r="I9" s="2629"/>
      <c r="J9" s="2629"/>
      <c r="K9" s="2629"/>
      <c r="L9" s="2630"/>
    </row>
    <row r="10" spans="1:29" ht="13.5" customHeight="1" x14ac:dyDescent="0.2">
      <c r="A10" s="2612" t="str">
        <f>COVER!A38</f>
        <v>Rick Schmitt</v>
      </c>
      <c r="B10" s="2613"/>
      <c r="C10" s="2613"/>
      <c r="D10" s="2613"/>
      <c r="E10" s="2613"/>
      <c r="F10" s="2614"/>
      <c r="G10" s="2628" t="str">
        <f>COVER!T17</f>
        <v>116 E Washington St., Suite 1</v>
      </c>
      <c r="H10" s="2641"/>
      <c r="I10" s="2641"/>
      <c r="J10" s="2641"/>
      <c r="K10" s="2641"/>
      <c r="L10" s="2642"/>
    </row>
    <row r="11" spans="1:29" ht="13.5" customHeight="1" x14ac:dyDescent="0.2">
      <c r="A11" s="1008" t="s">
        <v>1505</v>
      </c>
      <c r="B11" s="1009"/>
      <c r="C11" s="1010"/>
      <c r="D11" s="1015"/>
      <c r="E11" s="1010"/>
      <c r="F11" s="1014"/>
      <c r="G11" s="2628" t="str">
        <f>COVER!T19</f>
        <v>Morris</v>
      </c>
      <c r="H11" s="2641"/>
      <c r="I11" s="2641"/>
      <c r="J11" s="2641"/>
      <c r="K11" s="2641"/>
      <c r="L11" s="2642"/>
    </row>
    <row r="12" spans="1:29" ht="13.5" customHeight="1" x14ac:dyDescent="0.2">
      <c r="A12" s="2646" t="s">
        <v>1504</v>
      </c>
      <c r="B12" s="2647"/>
      <c r="C12" s="2647"/>
      <c r="D12" s="2647"/>
      <c r="E12" s="2647"/>
      <c r="F12" s="2648"/>
      <c r="G12" s="2643"/>
      <c r="H12" s="2644"/>
      <c r="I12" s="2644"/>
      <c r="J12" s="2644"/>
      <c r="K12" s="2644"/>
      <c r="L12" s="2645"/>
    </row>
    <row r="13" spans="1:29" ht="13.5" customHeight="1" x14ac:dyDescent="0.2">
      <c r="A13" s="2628"/>
      <c r="B13" s="2641"/>
      <c r="C13" s="2641"/>
      <c r="D13" s="2641"/>
      <c r="E13" s="2641"/>
      <c r="F13" s="2642"/>
      <c r="G13" s="2636" t="s">
        <v>1506</v>
      </c>
      <c r="H13" s="2637"/>
      <c r="I13" s="2649" t="str">
        <f>COVER!T25</f>
        <v>tmack@mackcpas.com</v>
      </c>
      <c r="J13" s="2650"/>
      <c r="K13" s="2650"/>
      <c r="L13" s="2651"/>
    </row>
    <row r="14" spans="1:29" ht="13.5" customHeight="1" x14ac:dyDescent="0.2">
      <c r="A14" s="2628" t="str">
        <f>COVER!A19</f>
        <v>720 Wells Street</v>
      </c>
      <c r="B14" s="2641"/>
      <c r="C14" s="2641"/>
      <c r="D14" s="2641"/>
      <c r="E14" s="2641"/>
      <c r="F14" s="2642"/>
      <c r="G14" s="1019" t="s">
        <v>1177</v>
      </c>
      <c r="H14" s="1017"/>
      <c r="I14" s="1017"/>
      <c r="J14" s="1017"/>
      <c r="K14" s="1017"/>
      <c r="L14" s="1018"/>
    </row>
    <row r="15" spans="1:29" ht="13.5" customHeight="1" x14ac:dyDescent="0.2">
      <c r="A15" s="2628" t="str">
        <f>COVER!A21</f>
        <v>Sandwich</v>
      </c>
      <c r="B15" s="2641"/>
      <c r="C15" s="2641"/>
      <c r="D15" s="2641"/>
      <c r="E15" s="2641"/>
      <c r="F15" s="2642"/>
      <c r="G15" s="2638" t="str">
        <f>COVER!T15</f>
        <v>Tawnya Mack, CPA</v>
      </c>
      <c r="H15" s="2639"/>
      <c r="I15" s="2639"/>
      <c r="J15" s="2639"/>
      <c r="K15" s="2639"/>
      <c r="L15" s="2640"/>
    </row>
    <row r="16" spans="1:29" ht="12.2" customHeight="1" x14ac:dyDescent="0.2">
      <c r="A16" s="2618">
        <f>COVER!A25</f>
        <v>0</v>
      </c>
      <c r="B16" s="2619"/>
      <c r="C16" s="2619"/>
      <c r="D16" s="2619"/>
      <c r="E16" s="2619"/>
      <c r="F16" s="2620"/>
      <c r="G16" s="2631"/>
      <c r="H16" s="2632"/>
      <c r="I16" s="2632"/>
      <c r="J16" s="2632"/>
      <c r="K16" s="2632"/>
      <c r="L16" s="2633"/>
    </row>
    <row r="17" spans="1:13" ht="12.2" customHeight="1" x14ac:dyDescent="0.2">
      <c r="A17" s="2634"/>
      <c r="B17" s="2619"/>
      <c r="C17" s="2619"/>
      <c r="D17" s="2619"/>
      <c r="E17" s="2619"/>
      <c r="F17" s="2620"/>
      <c r="G17" s="1019" t="s">
        <v>1176</v>
      </c>
      <c r="H17" s="1017"/>
      <c r="I17" s="1017"/>
      <c r="J17" s="1017"/>
      <c r="K17" s="1021" t="s">
        <v>1175</v>
      </c>
      <c r="L17" s="1014"/>
      <c r="M17" s="1007"/>
    </row>
    <row r="18" spans="1:13" ht="12.2" customHeight="1" x14ac:dyDescent="0.2">
      <c r="A18" s="2612"/>
      <c r="B18" s="2613"/>
      <c r="C18" s="2613"/>
      <c r="D18" s="2613"/>
      <c r="E18" s="2613"/>
      <c r="F18" s="2614"/>
      <c r="G18" s="2615" t="str">
        <f>COVER!T21</f>
        <v>815-942-3306</v>
      </c>
      <c r="H18" s="2616"/>
      <c r="I18" s="2616"/>
      <c r="J18" s="2616"/>
      <c r="K18" s="2615" t="str">
        <f>COVER!X21</f>
        <v>815-942-9430</v>
      </c>
      <c r="L18" s="2617"/>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2030</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2030</v>
      </c>
      <c r="C26" s="1026" t="s">
        <v>1680</v>
      </c>
    </row>
    <row r="27" spans="1:13" s="1022" customFormat="1" ht="9" customHeight="1" x14ac:dyDescent="0.2">
      <c r="B27" s="1027"/>
      <c r="C27" s="1026"/>
    </row>
    <row r="28" spans="1:13" s="1022" customFormat="1" ht="12.2" customHeight="1" x14ac:dyDescent="0.2">
      <c r="A28" s="1029"/>
      <c r="B28" s="1025" t="s">
        <v>2030</v>
      </c>
      <c r="C28" s="1026" t="s">
        <v>1681</v>
      </c>
    </row>
    <row r="29" spans="1:13" s="1022" customFormat="1" ht="9" customHeight="1" x14ac:dyDescent="0.2">
      <c r="A29" s="1029"/>
      <c r="B29" s="1027"/>
      <c r="C29" s="1026"/>
    </row>
    <row r="30" spans="1:13" s="1022" customFormat="1" ht="12.2" customHeight="1" x14ac:dyDescent="0.2">
      <c r="B30" s="1025" t="s">
        <v>2030</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2030</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2030</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2030</v>
      </c>
      <c r="C38" s="1026" t="s">
        <v>1552</v>
      </c>
    </row>
    <row r="39" spans="1:8" ht="9" customHeight="1" x14ac:dyDescent="0.2">
      <c r="B39" s="1027"/>
      <c r="C39" s="1030"/>
    </row>
    <row r="40" spans="1:8" s="1022" customFormat="1" ht="13.5" customHeight="1" x14ac:dyDescent="0.2">
      <c r="B40" s="1025" t="s">
        <v>2030</v>
      </c>
      <c r="C40" s="1026" t="s">
        <v>1553</v>
      </c>
    </row>
    <row r="41" spans="1:8" ht="9" customHeight="1" x14ac:dyDescent="0.2">
      <c r="A41" s="1031"/>
      <c r="B41" s="1027"/>
      <c r="C41" s="1030"/>
    </row>
    <row r="42" spans="1:8" s="1022" customFormat="1" ht="13.5" customHeight="1" x14ac:dyDescent="0.2">
      <c r="B42" s="1025" t="s">
        <v>2030</v>
      </c>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0" t="s">
        <v>2030</v>
      </c>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L40" sqref="L40"/>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7" t="str">
        <f>'Single Audit Cover'!A7</f>
        <v xml:space="preserve">  Sandwich CUSD 430</v>
      </c>
      <c r="B1" s="2658"/>
      <c r="C1" s="2658"/>
      <c r="D1" s="2658"/>
    </row>
    <row r="2" spans="1:11" s="1036" customFormat="1" ht="12.75" x14ac:dyDescent="0.2">
      <c r="A2" s="2659">
        <f>'Single Audit Cover'!E7</f>
        <v>16019430026</v>
      </c>
      <c r="B2" s="2660"/>
      <c r="C2" s="2660"/>
      <c r="D2" s="2660"/>
    </row>
    <row r="3" spans="1:11" s="1036" customFormat="1" ht="12.75" x14ac:dyDescent="0.2">
      <c r="A3" s="2657" t="s">
        <v>1499</v>
      </c>
      <c r="B3" s="2658"/>
      <c r="C3" s="2658"/>
      <c r="D3" s="265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2" t="str">
        <f>'Single Audit Cover'!A7</f>
        <v xml:space="preserve">  Sandwich CUSD 430</v>
      </c>
      <c r="B1" s="2662"/>
      <c r="C1" s="2662"/>
      <c r="D1" s="2662"/>
      <c r="E1" s="2662"/>
    </row>
    <row r="2" spans="1:5" x14ac:dyDescent="0.2">
      <c r="A2" s="2663">
        <f>'Single Audit Cover'!E7</f>
        <v>16019430026</v>
      </c>
      <c r="B2" s="2663"/>
      <c r="C2" s="2663"/>
      <c r="D2" s="2663"/>
      <c r="E2" s="2663"/>
    </row>
    <row r="3" spans="1:5" ht="4.5" customHeight="1" x14ac:dyDescent="0.2"/>
    <row r="4" spans="1:5" x14ac:dyDescent="0.2">
      <c r="A4" s="2662" t="s">
        <v>1236</v>
      </c>
      <c r="B4" s="2662"/>
      <c r="C4" s="2662"/>
      <c r="D4" s="2662"/>
      <c r="E4" s="2662"/>
    </row>
    <row r="5" spans="1:5" x14ac:dyDescent="0.2">
      <c r="A5" s="2665" t="str">
        <f>'Single Audit Cover'!A4</f>
        <v>Year Ending June 30, 2020</v>
      </c>
      <c r="B5" s="2665"/>
      <c r="C5" s="2665"/>
      <c r="D5" s="2665"/>
      <c r="E5" s="2665"/>
    </row>
    <row r="6" spans="1:5" x14ac:dyDescent="0.2">
      <c r="A6" s="2662" t="s">
        <v>1235</v>
      </c>
      <c r="B6" s="2662"/>
      <c r="C6" s="2662"/>
      <c r="D6" s="2662"/>
      <c r="E6" s="2662"/>
    </row>
    <row r="8" spans="1:5" x14ac:dyDescent="0.2">
      <c r="A8" s="1081" t="s">
        <v>1234</v>
      </c>
    </row>
    <row r="10" spans="1:5" x14ac:dyDescent="0.2">
      <c r="A10" s="1082" t="s">
        <v>1233</v>
      </c>
      <c r="B10" s="1083" t="s">
        <v>1232</v>
      </c>
      <c r="C10" s="1083"/>
      <c r="D10" s="1084">
        <f>SUM('Acct Summary 7-8'!C7:K7)</f>
        <v>1579879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40655</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-197854</v>
      </c>
    </row>
    <row r="19" spans="1:4" ht="13.5" thickBot="1" x14ac:dyDescent="0.25">
      <c r="A19" s="1086" t="s">
        <v>1226</v>
      </c>
      <c r="D19" s="1087">
        <f>SUM(D10:D17)</f>
        <v>1422680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4"/>
      <c r="B24" s="2664"/>
      <c r="D24" s="1089"/>
    </row>
    <row r="25" spans="1:4" x14ac:dyDescent="0.2">
      <c r="A25" s="2661"/>
      <c r="B25" s="2661"/>
      <c r="D25" s="1089"/>
    </row>
    <row r="26" spans="1:4" x14ac:dyDescent="0.2">
      <c r="A26" s="2661"/>
      <c r="B26" s="2661"/>
      <c r="D26" s="1089"/>
    </row>
    <row r="27" spans="1:4" x14ac:dyDescent="0.2">
      <c r="A27" s="2661"/>
      <c r="B27" s="2661"/>
      <c r="D27" s="1089"/>
    </row>
    <row r="28" spans="1:4" x14ac:dyDescent="0.2">
      <c r="A28" s="2661"/>
      <c r="B28" s="2661"/>
      <c r="D28" s="1089"/>
    </row>
    <row r="29" spans="1:4" x14ac:dyDescent="0.2">
      <c r="A29" s="2661"/>
      <c r="B29" s="2661"/>
      <c r="D29" s="1089"/>
    </row>
    <row r="30" spans="1:4" x14ac:dyDescent="0.2">
      <c r="A30" s="2661"/>
      <c r="B30" s="2661"/>
      <c r="D30" s="1089"/>
    </row>
    <row r="32" spans="1:4" x14ac:dyDescent="0.2">
      <c r="A32" s="1081" t="s">
        <v>1224</v>
      </c>
      <c r="D32" s="1084">
        <f>SUM(D19:D30)</f>
        <v>1422680</v>
      </c>
    </row>
    <row r="33" spans="1:4" x14ac:dyDescent="0.2">
      <c r="D33" s="1090"/>
    </row>
    <row r="34" spans="1:4" x14ac:dyDescent="0.2">
      <c r="A34" s="295" t="s">
        <v>1223</v>
      </c>
    </row>
    <row r="35" spans="1:4" x14ac:dyDescent="0.2">
      <c r="A35" s="295" t="s">
        <v>1222</v>
      </c>
      <c r="B35" s="1079" t="s">
        <v>1221</v>
      </c>
      <c r="D35" s="1091">
        <v>1422680</v>
      </c>
    </row>
    <row r="37" spans="1:4" x14ac:dyDescent="0.2">
      <c r="A37" s="1081" t="s">
        <v>1220</v>
      </c>
    </row>
    <row r="39" spans="1:4" ht="13.35" customHeight="1" x14ac:dyDescent="0.2">
      <c r="A39" s="1088" t="s">
        <v>1219</v>
      </c>
    </row>
    <row r="40" spans="1:4" x14ac:dyDescent="0.2">
      <c r="A40" s="2661"/>
      <c r="B40" s="2661"/>
      <c r="D40" s="1089"/>
    </row>
    <row r="41" spans="1:4" x14ac:dyDescent="0.2">
      <c r="A41" s="2661"/>
      <c r="B41" s="2661"/>
      <c r="D41" s="1092"/>
    </row>
    <row r="42" spans="1:4" x14ac:dyDescent="0.2">
      <c r="A42" s="2661"/>
      <c r="B42" s="2661"/>
      <c r="D42" s="1092"/>
    </row>
    <row r="43" spans="1:4" x14ac:dyDescent="0.2">
      <c r="A43" s="2661"/>
      <c r="B43" s="2661"/>
      <c r="D43" s="1092"/>
    </row>
    <row r="44" spans="1:4" x14ac:dyDescent="0.2">
      <c r="A44" s="2661"/>
      <c r="B44" s="2661"/>
      <c r="D44" s="1092"/>
    </row>
    <row r="45" spans="1:4" x14ac:dyDescent="0.2">
      <c r="A45" s="2661"/>
      <c r="B45" s="2661"/>
      <c r="D45" s="1092"/>
    </row>
    <row r="47" spans="1:4" x14ac:dyDescent="0.2">
      <c r="B47" s="1093" t="s">
        <v>1218</v>
      </c>
      <c r="C47" s="1093"/>
      <c r="D47" s="1094">
        <f>SUM(D35:D45)</f>
        <v>1422680</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3"/>
  <sheetViews>
    <sheetView showGridLines="0" zoomScaleNormal="100" workbookViewId="0">
      <selection activeCell="K30" sqref="K3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Sandwich CUSD 430</v>
      </c>
      <c r="C1" s="2666"/>
      <c r="D1" s="2666"/>
      <c r="E1" s="2666"/>
      <c r="F1" s="2666"/>
      <c r="G1" s="2666"/>
      <c r="H1" s="2666"/>
      <c r="I1" s="2666"/>
      <c r="J1" s="2666"/>
      <c r="K1" s="2666"/>
      <c r="L1" s="2666"/>
      <c r="M1" s="2666"/>
    </row>
    <row r="2" spans="2:14" ht="15" x14ac:dyDescent="0.2">
      <c r="B2" s="2667">
        <f>'Single Audit Cover'!E7</f>
        <v>16019430026</v>
      </c>
      <c r="C2" s="2667"/>
      <c r="D2" s="2667"/>
      <c r="E2" s="2667"/>
      <c r="F2" s="2667"/>
      <c r="G2" s="2667"/>
      <c r="H2" s="2667"/>
      <c r="I2" s="2667"/>
      <c r="J2" s="2667"/>
      <c r="K2" s="2667"/>
      <c r="L2" s="2667"/>
      <c r="M2" s="2667"/>
      <c r="N2" s="1123"/>
    </row>
    <row r="3" spans="2:14" ht="15" x14ac:dyDescent="0.2">
      <c r="B3" s="2668" t="s">
        <v>1210</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7"/>
      <c r="C8" s="1134" t="s">
        <v>1255</v>
      </c>
      <c r="D8" s="1135" t="s">
        <v>1254</v>
      </c>
      <c r="E8" s="1143" t="s">
        <v>1253</v>
      </c>
      <c r="F8" s="1144" t="s">
        <v>1253</v>
      </c>
      <c r="G8" s="1145" t="s">
        <v>1253</v>
      </c>
      <c r="H8" s="1876" t="str">
        <f>"7/1/"&amp;MID('AFR20'!$E$2,3,2)-2&amp;"-6/30/"&amp;MID('AFR20'!$E$2,3,2)-1</f>
        <v>7/1/18-6/30/19</v>
      </c>
      <c r="I8" s="1140" t="s">
        <v>1253</v>
      </c>
      <c r="J8" s="1877"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2104</v>
      </c>
      <c r="C11" s="1878"/>
      <c r="D11" s="1879"/>
      <c r="E11" s="1880"/>
      <c r="F11" s="1880"/>
      <c r="G11" s="1880"/>
      <c r="H11" s="1880"/>
      <c r="I11" s="1880"/>
      <c r="J11" s="1880"/>
      <c r="K11" s="1880"/>
      <c r="L11" s="1880">
        <f>+G11+I11+K11</f>
        <v>0</v>
      </c>
      <c r="M11" s="1880"/>
    </row>
    <row r="12" spans="2:14" ht="20.100000000000001" customHeight="1" x14ac:dyDescent="0.2">
      <c r="B12" s="1158" t="s">
        <v>2106</v>
      </c>
      <c r="C12" s="1881"/>
      <c r="D12" s="1882"/>
      <c r="E12" s="1883"/>
      <c r="F12" s="1883"/>
      <c r="G12" s="1883"/>
      <c r="H12" s="1883"/>
      <c r="I12" s="1883"/>
      <c r="J12" s="1883"/>
      <c r="K12" s="1883"/>
      <c r="L12" s="1880">
        <f t="shared" ref="L12:L28" si="0">+G12+I12+K12</f>
        <v>0</v>
      </c>
      <c r="M12" s="1883"/>
    </row>
    <row r="13" spans="2:14" ht="20.100000000000001" customHeight="1" x14ac:dyDescent="0.2">
      <c r="B13" s="1158" t="s">
        <v>2105</v>
      </c>
      <c r="C13" s="1881"/>
      <c r="D13" s="1882"/>
      <c r="E13" s="1883"/>
      <c r="F13" s="1883"/>
      <c r="G13" s="1883"/>
      <c r="H13" s="1883"/>
      <c r="I13" s="1883"/>
      <c r="J13" s="1883"/>
      <c r="K13" s="1883"/>
      <c r="L13" s="1880">
        <f t="shared" si="0"/>
        <v>0</v>
      </c>
      <c r="M13" s="1883"/>
    </row>
    <row r="14" spans="2:14" ht="20.100000000000001" customHeight="1" x14ac:dyDescent="0.2">
      <c r="B14" s="1158" t="s">
        <v>2107</v>
      </c>
      <c r="C14" s="1881">
        <v>10.555</v>
      </c>
      <c r="D14" s="1882" t="s">
        <v>2115</v>
      </c>
      <c r="E14" s="1883">
        <v>225584</v>
      </c>
      <c r="F14" s="1883">
        <v>46238</v>
      </c>
      <c r="G14" s="1883">
        <v>225584</v>
      </c>
      <c r="H14" s="1883"/>
      <c r="I14" s="1883">
        <v>46238</v>
      </c>
      <c r="J14" s="1883"/>
      <c r="K14" s="1883"/>
      <c r="L14" s="1880">
        <f t="shared" si="0"/>
        <v>271822</v>
      </c>
      <c r="M14" s="1883"/>
    </row>
    <row r="15" spans="2:14" ht="20.100000000000001" customHeight="1" x14ac:dyDescent="0.2">
      <c r="B15" s="1158" t="s">
        <v>2108</v>
      </c>
      <c r="C15" s="1881">
        <v>10.555</v>
      </c>
      <c r="D15" s="1882" t="s">
        <v>2116</v>
      </c>
      <c r="E15" s="1883"/>
      <c r="F15" s="1883">
        <v>154086</v>
      </c>
      <c r="G15" s="1883"/>
      <c r="H15" s="1883"/>
      <c r="I15" s="1883">
        <v>154086</v>
      </c>
      <c r="J15" s="1883"/>
      <c r="K15" s="1883"/>
      <c r="L15" s="1880">
        <f t="shared" si="0"/>
        <v>154086</v>
      </c>
      <c r="M15" s="1883"/>
    </row>
    <row r="16" spans="2:14" ht="20.100000000000001" customHeight="1" x14ac:dyDescent="0.2">
      <c r="B16" s="1158" t="s">
        <v>2109</v>
      </c>
      <c r="C16" s="1881">
        <v>10.555</v>
      </c>
      <c r="D16" s="1882">
        <v>2020</v>
      </c>
      <c r="E16" s="1883"/>
      <c r="F16" s="1883">
        <v>32156</v>
      </c>
      <c r="G16" s="1883"/>
      <c r="H16" s="1883"/>
      <c r="I16" s="1883">
        <v>32156</v>
      </c>
      <c r="J16" s="1883"/>
      <c r="K16" s="1883"/>
      <c r="L16" s="1880">
        <f t="shared" si="0"/>
        <v>32156</v>
      </c>
      <c r="M16" s="1883"/>
    </row>
    <row r="17" spans="2:14" ht="20.100000000000001" customHeight="1" x14ac:dyDescent="0.2">
      <c r="B17" s="1158" t="s">
        <v>2110</v>
      </c>
      <c r="C17" s="1881">
        <v>10.553000000000001</v>
      </c>
      <c r="D17" s="1882" t="s">
        <v>2117</v>
      </c>
      <c r="E17" s="1883">
        <v>59229</v>
      </c>
      <c r="F17" s="1883">
        <v>10983</v>
      </c>
      <c r="G17" s="1883">
        <v>59229</v>
      </c>
      <c r="H17" s="1883"/>
      <c r="I17" s="1883">
        <v>10983</v>
      </c>
      <c r="J17" s="1883"/>
      <c r="K17" s="1883"/>
      <c r="L17" s="1880">
        <f t="shared" si="0"/>
        <v>70212</v>
      </c>
      <c r="M17" s="1883"/>
    </row>
    <row r="18" spans="2:14" ht="20.100000000000001" customHeight="1" x14ac:dyDescent="0.2">
      <c r="B18" s="1158" t="s">
        <v>2111</v>
      </c>
      <c r="C18" s="1881">
        <v>10.553000000000001</v>
      </c>
      <c r="D18" s="1882" t="s">
        <v>2118</v>
      </c>
      <c r="E18" s="1883"/>
      <c r="F18" s="1883">
        <v>41850</v>
      </c>
      <c r="G18" s="1883"/>
      <c r="H18" s="1883"/>
      <c r="I18" s="1883">
        <v>41850</v>
      </c>
      <c r="J18" s="1883"/>
      <c r="K18" s="1883"/>
      <c r="L18" s="1880">
        <f t="shared" si="0"/>
        <v>41850</v>
      </c>
      <c r="M18" s="1883"/>
    </row>
    <row r="19" spans="2:14" ht="20.100000000000001" customHeight="1" x14ac:dyDescent="0.2">
      <c r="B19" s="1158" t="s">
        <v>2119</v>
      </c>
      <c r="C19" s="1881">
        <v>10.558999999999999</v>
      </c>
      <c r="D19" s="1882" t="s">
        <v>2120</v>
      </c>
      <c r="E19" s="1883"/>
      <c r="F19" s="1883">
        <v>33121</v>
      </c>
      <c r="G19" s="1883"/>
      <c r="H19" s="1883"/>
      <c r="I19" s="1883">
        <v>33121</v>
      </c>
      <c r="J19" s="1883"/>
      <c r="K19" s="1883"/>
      <c r="L19" s="1880">
        <f t="shared" si="0"/>
        <v>33121</v>
      </c>
      <c r="M19" s="1883"/>
    </row>
    <row r="20" spans="2:14" ht="20.100000000000001" customHeight="1" x14ac:dyDescent="0.2">
      <c r="B20" s="1158" t="s">
        <v>2112</v>
      </c>
      <c r="C20" s="1881"/>
      <c r="D20" s="1882"/>
      <c r="E20" s="1883"/>
      <c r="F20" s="1883"/>
      <c r="G20" s="1883"/>
      <c r="H20" s="1883"/>
      <c r="I20" s="1883"/>
      <c r="J20" s="1883"/>
      <c r="K20" s="1883"/>
      <c r="L20" s="1880">
        <f t="shared" si="0"/>
        <v>0</v>
      </c>
      <c r="M20" s="1883"/>
    </row>
    <row r="21" spans="2:14" ht="20.100000000000001" customHeight="1" x14ac:dyDescent="0.2">
      <c r="B21" s="1158" t="s">
        <v>2113</v>
      </c>
      <c r="C21" s="1881">
        <v>10.555</v>
      </c>
      <c r="D21" s="1882">
        <v>2020</v>
      </c>
      <c r="E21" s="1883"/>
      <c r="F21" s="1883">
        <v>8499</v>
      </c>
      <c r="G21" s="1883"/>
      <c r="H21" s="1883"/>
      <c r="I21" s="1883">
        <v>8499</v>
      </c>
      <c r="J21" s="1883"/>
      <c r="K21" s="1883"/>
      <c r="L21" s="1880">
        <f t="shared" si="0"/>
        <v>8499</v>
      </c>
      <c r="M21" s="1883"/>
    </row>
    <row r="22" spans="2:14" ht="20.100000000000001" customHeight="1" x14ac:dyDescent="0.2">
      <c r="B22" s="1158" t="s">
        <v>2114</v>
      </c>
      <c r="C22" s="1881"/>
      <c r="D22" s="1882"/>
      <c r="E22" s="1883">
        <v>284813</v>
      </c>
      <c r="F22" s="1883">
        <v>326932</v>
      </c>
      <c r="G22" s="1883">
        <f t="shared" ref="G22" si="1">SUM(G14:G21)</f>
        <v>284813</v>
      </c>
      <c r="H22" s="1883"/>
      <c r="I22" s="1883">
        <v>326932</v>
      </c>
      <c r="J22" s="1883"/>
      <c r="K22" s="1883"/>
      <c r="L22" s="1880">
        <f t="shared" si="0"/>
        <v>611745</v>
      </c>
      <c r="M22" s="1883"/>
    </row>
    <row r="23" spans="2:14" ht="20.100000000000001" customHeight="1" x14ac:dyDescent="0.2">
      <c r="B23" s="1158"/>
      <c r="C23" s="1881"/>
      <c r="D23" s="1882"/>
      <c r="E23" s="1883"/>
      <c r="F23" s="1883"/>
      <c r="G23" s="1883"/>
      <c r="H23" s="1883"/>
      <c r="I23" s="1883"/>
      <c r="J23" s="1883"/>
      <c r="K23" s="1883"/>
      <c r="L23" s="1880">
        <f t="shared" si="0"/>
        <v>0</v>
      </c>
      <c r="M23" s="1883"/>
    </row>
    <row r="24" spans="2:14" ht="20.100000000000001" customHeight="1" x14ac:dyDescent="0.2">
      <c r="B24" s="1158" t="s">
        <v>2123</v>
      </c>
      <c r="C24" s="1881"/>
      <c r="D24" s="1882"/>
      <c r="E24" s="1883"/>
      <c r="F24" s="1883"/>
      <c r="G24" s="1883"/>
      <c r="H24" s="1883"/>
      <c r="I24" s="1883"/>
      <c r="J24" s="1883"/>
      <c r="K24" s="1883"/>
      <c r="L24" s="1880">
        <f t="shared" si="0"/>
        <v>0</v>
      </c>
      <c r="M24" s="1883"/>
    </row>
    <row r="25" spans="2:14" ht="20.100000000000001" customHeight="1" x14ac:dyDescent="0.2">
      <c r="B25" s="1158" t="s">
        <v>2124</v>
      </c>
      <c r="C25" s="1881"/>
      <c r="D25" s="1882"/>
      <c r="E25" s="1883"/>
      <c r="F25" s="1883"/>
      <c r="G25" s="1883"/>
      <c r="H25" s="1883"/>
      <c r="I25" s="1883"/>
      <c r="J25" s="1883"/>
      <c r="K25" s="1883"/>
      <c r="L25" s="1880">
        <f t="shared" si="0"/>
        <v>0</v>
      </c>
      <c r="M25" s="1883"/>
    </row>
    <row r="26" spans="2:14" ht="20.100000000000001" customHeight="1" x14ac:dyDescent="0.2">
      <c r="B26" s="1158" t="s">
        <v>2125</v>
      </c>
      <c r="C26" s="1881">
        <v>93.778000000000006</v>
      </c>
      <c r="D26" s="1882" t="s">
        <v>2128</v>
      </c>
      <c r="E26" s="1883">
        <v>37080</v>
      </c>
      <c r="F26" s="1883">
        <v>10054</v>
      </c>
      <c r="G26" s="1883">
        <v>49098</v>
      </c>
      <c r="H26" s="1883"/>
      <c r="I26" s="1883"/>
      <c r="J26" s="1883"/>
      <c r="K26" s="1883"/>
      <c r="L26" s="1880">
        <f t="shared" si="0"/>
        <v>49098</v>
      </c>
      <c r="M26" s="1883"/>
    </row>
    <row r="27" spans="2:14" ht="20.100000000000001" customHeight="1" x14ac:dyDescent="0.2">
      <c r="B27" s="1158" t="s">
        <v>2126</v>
      </c>
      <c r="C27" s="1881">
        <v>93.778000000000006</v>
      </c>
      <c r="D27" s="1882" t="s">
        <v>2129</v>
      </c>
      <c r="E27" s="1883"/>
      <c r="F27" s="1883">
        <v>29073</v>
      </c>
      <c r="G27" s="1883"/>
      <c r="H27" s="1883"/>
      <c r="I27" s="1883">
        <v>44787</v>
      </c>
      <c r="J27" s="1883"/>
      <c r="K27" s="1883"/>
      <c r="L27" s="1880">
        <f t="shared" si="0"/>
        <v>44787</v>
      </c>
      <c r="M27" s="1883"/>
    </row>
    <row r="28" spans="2:14" ht="20.100000000000001" customHeight="1" x14ac:dyDescent="0.2">
      <c r="B28" s="1158" t="s">
        <v>2127</v>
      </c>
      <c r="C28" s="1881"/>
      <c r="D28" s="1882"/>
      <c r="E28" s="1883">
        <f>SUM(E26:E27)</f>
        <v>37080</v>
      </c>
      <c r="F28" s="1883">
        <v>39127</v>
      </c>
      <c r="G28" s="1883">
        <v>49098</v>
      </c>
      <c r="H28" s="1883"/>
      <c r="I28" s="1883">
        <f>SUM(I26:I27)</f>
        <v>44787</v>
      </c>
      <c r="J28" s="1883"/>
      <c r="K28" s="1883"/>
      <c r="L28" s="1880">
        <f t="shared" si="0"/>
        <v>93885</v>
      </c>
      <c r="M28" s="1883"/>
      <c r="N28" s="1159"/>
    </row>
    <row r="29" spans="2:14" ht="12.75" customHeight="1" x14ac:dyDescent="0.2">
      <c r="B29" s="1160"/>
      <c r="C29" s="1161"/>
      <c r="D29" s="1162"/>
      <c r="E29" s="1163"/>
      <c r="F29" s="1163"/>
      <c r="G29" s="1163"/>
      <c r="H29" s="1163"/>
      <c r="I29" s="1163"/>
      <c r="J29" s="1163"/>
      <c r="K29" s="1163"/>
      <c r="L29" s="1163"/>
      <c r="M29" s="1163"/>
      <c r="N29" s="1159"/>
    </row>
    <row r="30" spans="2:14" x14ac:dyDescent="0.2">
      <c r="B30" s="1078"/>
      <c r="C30" s="1164"/>
      <c r="D30" s="1165"/>
      <c r="E30" s="1078"/>
      <c r="F30" s="1078"/>
      <c r="G30" s="1071"/>
      <c r="H30" s="1071"/>
      <c r="I30" s="1071"/>
      <c r="J30" s="1071"/>
      <c r="K30" s="1071"/>
      <c r="L30" s="1071"/>
      <c r="M30" s="1078"/>
      <c r="N30" s="1159"/>
    </row>
    <row r="31" spans="2:14" ht="13.5" customHeight="1" x14ac:dyDescent="0.2">
      <c r="B31" s="1103" t="s">
        <v>1714</v>
      </c>
      <c r="C31" s="1164"/>
      <c r="D31" s="1165"/>
      <c r="E31" s="1078"/>
      <c r="F31" s="1078"/>
      <c r="G31" s="1071"/>
      <c r="H31" s="1071"/>
      <c r="I31" s="1071"/>
      <c r="J31" s="1071"/>
      <c r="K31" s="1071"/>
      <c r="L31" s="1071"/>
      <c r="M31" s="1078"/>
      <c r="N31" s="1159"/>
    </row>
    <row r="32" spans="2:14" ht="8.25" customHeight="1" x14ac:dyDescent="0.2">
      <c r="B32" s="1103"/>
      <c r="C32" s="1164"/>
      <c r="D32" s="1165"/>
      <c r="E32" s="1078"/>
      <c r="F32" s="1078"/>
      <c r="G32" s="1071"/>
      <c r="H32" s="1071"/>
      <c r="I32" s="1071"/>
      <c r="J32" s="1071"/>
      <c r="K32" s="1071"/>
      <c r="L32" s="1071"/>
      <c r="M32" s="1078"/>
      <c r="N32" s="1159"/>
    </row>
    <row r="33" spans="2:13" x14ac:dyDescent="0.2">
      <c r="B33" s="1166" t="s">
        <v>1812</v>
      </c>
      <c r="C33" s="1167"/>
      <c r="D33" s="1168"/>
      <c r="E33" s="1169"/>
      <c r="F33" s="1169"/>
      <c r="G33" s="1169"/>
      <c r="H33" s="1169"/>
      <c r="I33" s="295"/>
      <c r="J33" s="295"/>
    </row>
    <row r="34" spans="2:13" x14ac:dyDescent="0.2">
      <c r="B34" s="1098"/>
      <c r="C34" s="1170"/>
      <c r="D34" s="1171"/>
      <c r="E34" s="1099"/>
      <c r="F34" s="1099"/>
      <c r="G34" s="295"/>
      <c r="H34" s="295"/>
      <c r="I34" s="295"/>
      <c r="J34" s="295"/>
    </row>
    <row r="35" spans="2:13" ht="13.5" customHeight="1" x14ac:dyDescent="0.2">
      <c r="B35" s="1097" t="s">
        <v>1237</v>
      </c>
      <c r="G35" s="295"/>
      <c r="H35" s="295"/>
      <c r="I35" s="295"/>
      <c r="J35" s="295"/>
    </row>
    <row r="36" spans="2:13" ht="13.5" customHeight="1" x14ac:dyDescent="0.2">
      <c r="B36" s="1174"/>
      <c r="C36" s="1175"/>
      <c r="D36" s="1176"/>
      <c r="E36" s="1118"/>
      <c r="F36" s="1118"/>
      <c r="G36" s="1118"/>
      <c r="H36" s="1118"/>
      <c r="I36" s="1118"/>
      <c r="J36" s="1118"/>
      <c r="K36" s="1177"/>
      <c r="L36" s="1177"/>
      <c r="M36" s="1118"/>
    </row>
    <row r="37" spans="2:13" ht="9.6" customHeight="1" x14ac:dyDescent="0.2">
      <c r="B37" s="1178"/>
      <c r="G37" s="295"/>
      <c r="H37" s="295"/>
      <c r="I37" s="295"/>
      <c r="J37" s="295"/>
    </row>
    <row r="38" spans="2:13" ht="11.25" customHeight="1" x14ac:dyDescent="0.2">
      <c r="B38" s="1179" t="s">
        <v>1715</v>
      </c>
      <c r="C38" s="1180"/>
      <c r="D38" s="1180"/>
      <c r="E38" s="1180"/>
      <c r="F38" s="1180"/>
      <c r="G38" s="1180"/>
      <c r="H38" s="1180"/>
      <c r="I38" s="1181"/>
      <c r="J38" s="1181"/>
      <c r="K38" s="1181"/>
      <c r="L38" s="1181"/>
      <c r="M38" s="1181"/>
    </row>
    <row r="39" spans="2:13" ht="11.25" customHeight="1" x14ac:dyDescent="0.2">
      <c r="B39" s="1182" t="s">
        <v>1570</v>
      </c>
      <c r="C39" s="1181"/>
      <c r="D39" s="1181"/>
      <c r="E39" s="1181"/>
      <c r="F39" s="1181"/>
      <c r="G39" s="1181"/>
      <c r="H39" s="1181"/>
      <c r="I39" s="1181"/>
      <c r="J39" s="1181"/>
      <c r="K39" s="1181"/>
      <c r="L39" s="1181"/>
      <c r="M39" s="1181"/>
    </row>
    <row r="40" spans="2:13" ht="3.95" customHeight="1" x14ac:dyDescent="0.2">
      <c r="B40" s="1182"/>
      <c r="C40" s="1181"/>
      <c r="D40" s="1181"/>
      <c r="E40" s="1181"/>
      <c r="F40" s="1181"/>
      <c r="G40" s="1181"/>
      <c r="H40" s="1181"/>
      <c r="I40" s="1181"/>
      <c r="J40" s="1181"/>
      <c r="K40" s="1181"/>
      <c r="L40" s="1181"/>
      <c r="M40" s="1181"/>
    </row>
    <row r="41" spans="2:13" ht="11.25" customHeight="1" x14ac:dyDescent="0.2">
      <c r="B41" s="1179" t="s">
        <v>1716</v>
      </c>
      <c r="C41" s="1181"/>
      <c r="D41" s="1181"/>
      <c r="E41" s="1181"/>
      <c r="F41" s="1181"/>
      <c r="G41" s="1181"/>
      <c r="H41" s="1181"/>
      <c r="I41" s="1181"/>
      <c r="J41" s="1181"/>
      <c r="K41" s="1181"/>
      <c r="L41" s="1181"/>
      <c r="M41" s="1181"/>
    </row>
    <row r="42" spans="2:13" ht="11.25" customHeight="1" x14ac:dyDescent="0.2">
      <c r="B42" s="1121" t="s">
        <v>1571</v>
      </c>
      <c r="C42" s="1183"/>
      <c r="D42" s="1184"/>
      <c r="E42" s="1121"/>
      <c r="F42" s="1121"/>
      <c r="G42" s="1121"/>
      <c r="H42" s="1121"/>
      <c r="I42" s="1121"/>
      <c r="J42" s="1121"/>
      <c r="K42" s="1185"/>
      <c r="L42" s="1185"/>
      <c r="M42" s="1121"/>
    </row>
    <row r="43" spans="2:13" ht="3.95" customHeight="1" x14ac:dyDescent="0.2">
      <c r="B43" s="1121"/>
      <c r="C43" s="1183"/>
      <c r="D43" s="1184"/>
      <c r="E43" s="1121"/>
      <c r="F43" s="1121"/>
      <c r="G43" s="1121"/>
      <c r="H43" s="1121"/>
      <c r="I43" s="1121"/>
      <c r="J43" s="1121"/>
      <c r="K43" s="1185"/>
      <c r="L43" s="1185"/>
      <c r="M43" s="1121"/>
    </row>
    <row r="44" spans="2:13" ht="11.25" customHeight="1" x14ac:dyDescent="0.2">
      <c r="B44" s="1186" t="s">
        <v>1717</v>
      </c>
      <c r="C44" s="1183"/>
      <c r="D44" s="1184"/>
      <c r="E44" s="1121"/>
      <c r="F44" s="1121"/>
      <c r="G44" s="1121"/>
      <c r="H44" s="1121"/>
      <c r="I44" s="1121"/>
      <c r="J44" s="1121"/>
      <c r="K44" s="1185"/>
      <c r="L44" s="1185"/>
      <c r="M44" s="1121"/>
    </row>
    <row r="45" spans="2:13" ht="3.95" customHeight="1" x14ac:dyDescent="0.2">
      <c r="B45" s="1186"/>
      <c r="C45" s="1183"/>
      <c r="D45" s="1184"/>
      <c r="E45" s="1121"/>
      <c r="F45" s="1121"/>
      <c r="G45" s="1121"/>
      <c r="H45" s="1121"/>
      <c r="I45" s="1121"/>
      <c r="J45" s="1121"/>
      <c r="K45" s="1185"/>
      <c r="L45" s="1185"/>
      <c r="M45" s="1121"/>
    </row>
    <row r="46" spans="2:13" ht="11.25" customHeight="1" x14ac:dyDescent="0.2">
      <c r="B46" s="1187" t="s">
        <v>1718</v>
      </c>
      <c r="C46" s="1183"/>
      <c r="D46" s="1184"/>
      <c r="E46" s="1121"/>
      <c r="F46" s="1121"/>
      <c r="G46" s="1121"/>
      <c r="H46" s="1121"/>
      <c r="I46" s="1121"/>
      <c r="J46" s="1121"/>
      <c r="K46" s="1185"/>
      <c r="L46" s="1185"/>
      <c r="M46" s="1121"/>
    </row>
    <row r="47" spans="2:13" ht="11.25" customHeight="1" x14ac:dyDescent="0.2">
      <c r="B47" s="1121" t="s">
        <v>1572</v>
      </c>
      <c r="G47" s="295"/>
      <c r="H47" s="295"/>
      <c r="I47" s="295"/>
      <c r="J47" s="295"/>
    </row>
    <row r="48" spans="2:13" ht="11.1" customHeight="1" x14ac:dyDescent="0.2">
      <c r="B48" s="1121"/>
      <c r="G48" s="295"/>
      <c r="H48" s="295"/>
      <c r="I48" s="295"/>
      <c r="J48" s="295"/>
    </row>
    <row r="49" spans="2:13" ht="11.1" customHeight="1" x14ac:dyDescent="0.2">
      <c r="B49" s="1121"/>
      <c r="G49" s="295"/>
      <c r="H49" s="295"/>
      <c r="I49" s="295"/>
      <c r="J49" s="295"/>
    </row>
    <row r="50" spans="2:13" ht="13.5" customHeight="1" x14ac:dyDescent="0.2">
      <c r="M50" s="1188"/>
    </row>
    <row r="51" spans="2:13" ht="13.5" customHeight="1" x14ac:dyDescent="0.2">
      <c r="M51" s="1188"/>
    </row>
    <row r="52" spans="2:13" ht="13.5" customHeight="1" x14ac:dyDescent="0.2">
      <c r="M52" s="1188"/>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U51" sqref="U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1160</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1" t="s">
        <v>1619</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310</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2030</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2030</v>
      </c>
      <c r="C53" s="174">
        <v>22</v>
      </c>
      <c r="D53" s="242" t="s">
        <v>1448</v>
      </c>
      <c r="E53" s="243"/>
      <c r="F53" s="244"/>
      <c r="G53" s="244" t="s">
        <v>1447</v>
      </c>
      <c r="H53" s="245">
        <v>36526</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1314</v>
      </c>
      <c r="B70" s="2244"/>
      <c r="C70" s="2244"/>
      <c r="D70" s="2244"/>
      <c r="E70" s="2245"/>
      <c r="F70" s="2245"/>
      <c r="G70" s="2245"/>
      <c r="H70" s="2245"/>
      <c r="I70" s="224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1311</v>
      </c>
      <c r="B83" s="2246"/>
      <c r="C83" s="2246"/>
      <c r="D83" s="224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7" t="s">
        <v>1989</v>
      </c>
      <c r="B85" s="2257"/>
      <c r="C85" s="2257"/>
      <c r="D85" s="2258"/>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59" t="s">
        <v>1989</v>
      </c>
      <c r="B88" s="2260"/>
      <c r="C88" s="2260"/>
      <c r="D88" s="2261"/>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2018</v>
      </c>
      <c r="D114" s="223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1321</v>
      </c>
      <c r="D117" s="2239"/>
      <c r="E117" s="2240"/>
      <c r="F117" s="2240"/>
      <c r="G117" s="2240"/>
      <c r="H117" s="2240"/>
      <c r="I117" s="282"/>
    </row>
    <row r="118" spans="1:9" s="176" customFormat="1" ht="24" customHeight="1" x14ac:dyDescent="0.2">
      <c r="A118" s="294"/>
      <c r="B118" s="294"/>
      <c r="C118" s="294"/>
      <c r="D118" s="301" t="s">
        <v>2034</v>
      </c>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5B6EC-0661-47A2-85B2-8D27A2F8CF45}">
  <sheetPr>
    <tabColor rgb="FF92D050"/>
  </sheetPr>
  <dimension ref="B1:N155"/>
  <sheetViews>
    <sheetView showGridLines="0" topLeftCell="A4" zoomScaleNormal="100" workbookViewId="0">
      <selection activeCell="G29" sqref="G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Sandwich CUSD 430</v>
      </c>
      <c r="C1" s="2666"/>
      <c r="D1" s="2666"/>
      <c r="E1" s="2666"/>
      <c r="F1" s="2666"/>
      <c r="G1" s="2666"/>
      <c r="H1" s="2666"/>
      <c r="I1" s="2666"/>
      <c r="J1" s="2666"/>
      <c r="K1" s="2666"/>
      <c r="L1" s="2666"/>
      <c r="M1" s="2666"/>
    </row>
    <row r="2" spans="2:14" ht="15" x14ac:dyDescent="0.2">
      <c r="B2" s="2667">
        <f>'Single Audit Cover'!E7</f>
        <v>16019430026</v>
      </c>
      <c r="C2" s="2667"/>
      <c r="D2" s="2667"/>
      <c r="E2" s="2667"/>
      <c r="F2" s="2667"/>
      <c r="G2" s="2667"/>
      <c r="H2" s="2667"/>
      <c r="I2" s="2667"/>
      <c r="J2" s="2667"/>
      <c r="K2" s="2667"/>
      <c r="L2" s="2667"/>
      <c r="M2" s="2667"/>
      <c r="N2" s="1123"/>
    </row>
    <row r="3" spans="2:14" ht="15" x14ac:dyDescent="0.2">
      <c r="B3" s="2668" t="s">
        <v>1210</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7"/>
      <c r="C8" s="1134" t="s">
        <v>1255</v>
      </c>
      <c r="D8" s="1135" t="s">
        <v>1254</v>
      </c>
      <c r="E8" s="1143" t="s">
        <v>1253</v>
      </c>
      <c r="F8" s="1144" t="s">
        <v>1253</v>
      </c>
      <c r="G8" s="1145" t="s">
        <v>1253</v>
      </c>
      <c r="H8" s="1876" t="str">
        <f>"7/1/"&amp;MID('AFR20'!$E$2,3,2)-2&amp;"-6/30/"&amp;MID('AFR20'!$E$2,3,2)-1</f>
        <v>7/1/18-6/30/19</v>
      </c>
      <c r="I8" s="1140" t="s">
        <v>1253</v>
      </c>
      <c r="J8" s="1877"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2130</v>
      </c>
      <c r="C11" s="1878"/>
      <c r="D11" s="1879"/>
      <c r="E11" s="1880"/>
      <c r="F11" s="1880"/>
      <c r="G11" s="1880"/>
      <c r="H11" s="1880"/>
      <c r="I11" s="1880"/>
      <c r="J11" s="1880"/>
      <c r="K11" s="1880"/>
      <c r="L11" s="1880">
        <f>+G11+I11+K11</f>
        <v>0</v>
      </c>
      <c r="M11" s="1880"/>
    </row>
    <row r="12" spans="2:14" ht="20.100000000000001" customHeight="1" x14ac:dyDescent="0.2">
      <c r="B12" s="1158" t="s">
        <v>2121</v>
      </c>
      <c r="C12" s="1881"/>
      <c r="D12" s="1882"/>
      <c r="E12" s="1883"/>
      <c r="F12" s="1883"/>
      <c r="G12" s="1883"/>
      <c r="H12" s="1883"/>
      <c r="I12" s="1883"/>
      <c r="J12" s="1883"/>
      <c r="K12" s="1883"/>
      <c r="L12" s="1880">
        <f t="shared" ref="L12:L28" si="0">+G12+I12+K12</f>
        <v>0</v>
      </c>
      <c r="M12" s="1883"/>
    </row>
    <row r="13" spans="2:14" ht="20.100000000000001" customHeight="1" x14ac:dyDescent="0.2">
      <c r="B13" s="1158" t="s">
        <v>2122</v>
      </c>
      <c r="C13" s="1881"/>
      <c r="D13" s="1882"/>
      <c r="E13" s="1883"/>
      <c r="F13" s="1883"/>
      <c r="G13" s="1883"/>
      <c r="H13" s="1883"/>
      <c r="I13" s="1883"/>
      <c r="J13" s="1883"/>
      <c r="K13" s="1883"/>
      <c r="L13" s="1880">
        <f t="shared" si="0"/>
        <v>0</v>
      </c>
      <c r="M13" s="1883"/>
    </row>
    <row r="14" spans="2:14" ht="20.100000000000001" customHeight="1" x14ac:dyDescent="0.2">
      <c r="B14" s="1158" t="s">
        <v>2131</v>
      </c>
      <c r="C14" s="1881">
        <v>84.027000000000001</v>
      </c>
      <c r="D14" s="1882" t="s">
        <v>2143</v>
      </c>
      <c r="E14" s="1883">
        <v>428374</v>
      </c>
      <c r="F14" s="1883">
        <v>25667</v>
      </c>
      <c r="G14" s="1883">
        <v>454041</v>
      </c>
      <c r="H14" s="1883"/>
      <c r="I14" s="1883"/>
      <c r="J14" s="1883"/>
      <c r="K14" s="1883"/>
      <c r="L14" s="1880">
        <f t="shared" si="0"/>
        <v>454041</v>
      </c>
      <c r="M14" s="1883">
        <v>454041</v>
      </c>
    </row>
    <row r="15" spans="2:14" ht="20.100000000000001" customHeight="1" x14ac:dyDescent="0.2">
      <c r="B15" s="1158" t="s">
        <v>2132</v>
      </c>
      <c r="C15" s="1881">
        <v>84.027000000000001</v>
      </c>
      <c r="D15" s="1882" t="s">
        <v>2144</v>
      </c>
      <c r="E15" s="1883"/>
      <c r="F15" s="1883">
        <v>432518</v>
      </c>
      <c r="G15" s="1883"/>
      <c r="H15" s="1883"/>
      <c r="I15" s="1883">
        <v>435864</v>
      </c>
      <c r="J15" s="1883"/>
      <c r="K15" s="1883"/>
      <c r="L15" s="1880">
        <f t="shared" si="0"/>
        <v>435864</v>
      </c>
      <c r="M15" s="1883">
        <v>452898</v>
      </c>
    </row>
    <row r="16" spans="2:14" ht="20.100000000000001" customHeight="1" x14ac:dyDescent="0.2">
      <c r="B16" s="1158" t="s">
        <v>2133</v>
      </c>
      <c r="C16" s="1881">
        <v>84.027000000000001</v>
      </c>
      <c r="D16" s="1882" t="s">
        <v>2141</v>
      </c>
      <c r="E16" s="1883">
        <v>71776</v>
      </c>
      <c r="F16" s="1883">
        <v>34851</v>
      </c>
      <c r="G16" s="1883">
        <v>71776</v>
      </c>
      <c r="H16" s="1883"/>
      <c r="I16" s="1883">
        <v>34851</v>
      </c>
      <c r="J16" s="1883"/>
      <c r="K16" s="1883"/>
      <c r="L16" s="1880">
        <f t="shared" si="0"/>
        <v>106627</v>
      </c>
      <c r="M16" s="1883"/>
    </row>
    <row r="17" spans="2:14" ht="20.100000000000001" customHeight="1" x14ac:dyDescent="0.2">
      <c r="B17" s="1158" t="s">
        <v>2134</v>
      </c>
      <c r="C17" s="1881">
        <v>84.027000000000001</v>
      </c>
      <c r="D17" s="1882" t="s">
        <v>2142</v>
      </c>
      <c r="E17" s="1883"/>
      <c r="F17" s="1883">
        <v>67110</v>
      </c>
      <c r="G17" s="1883"/>
      <c r="H17" s="1883"/>
      <c r="I17" s="1883">
        <v>67110</v>
      </c>
      <c r="J17" s="1883"/>
      <c r="K17" s="1883"/>
      <c r="L17" s="1880">
        <f t="shared" si="0"/>
        <v>67110</v>
      </c>
      <c r="M17" s="1883"/>
    </row>
    <row r="18" spans="2:14" ht="20.100000000000001" customHeight="1" x14ac:dyDescent="0.2">
      <c r="B18" s="1158" t="s">
        <v>2136</v>
      </c>
      <c r="C18" s="1881">
        <v>84.027000000000001</v>
      </c>
      <c r="D18" s="1882" t="s">
        <v>2141</v>
      </c>
      <c r="E18" s="1883"/>
      <c r="F18" s="1883">
        <v>8899</v>
      </c>
      <c r="G18" s="1883"/>
      <c r="H18" s="1883"/>
      <c r="I18" s="1883">
        <v>8899</v>
      </c>
      <c r="J18" s="1883"/>
      <c r="K18" s="1883"/>
      <c r="L18" s="1880">
        <f t="shared" si="0"/>
        <v>8899</v>
      </c>
      <c r="M18" s="1883"/>
    </row>
    <row r="19" spans="2:14" ht="20.100000000000001" customHeight="1" x14ac:dyDescent="0.2">
      <c r="B19" s="1158" t="s">
        <v>2135</v>
      </c>
      <c r="C19" s="1881">
        <v>84.027000000000001</v>
      </c>
      <c r="D19" s="1882" t="s">
        <v>2142</v>
      </c>
      <c r="E19" s="1883"/>
      <c r="F19" s="1883"/>
      <c r="G19" s="1883"/>
      <c r="H19" s="1883"/>
      <c r="I19" s="1883"/>
      <c r="J19" s="1883"/>
      <c r="K19" s="1883"/>
      <c r="L19" s="1880">
        <f t="shared" si="0"/>
        <v>0</v>
      </c>
      <c r="M19" s="1883"/>
    </row>
    <row r="20" spans="2:14" ht="20.100000000000001" customHeight="1" x14ac:dyDescent="0.2">
      <c r="B20" s="1158" t="s">
        <v>2137</v>
      </c>
      <c r="C20" s="1881">
        <v>84.173000000000002</v>
      </c>
      <c r="D20" s="1882" t="s">
        <v>2139</v>
      </c>
      <c r="E20" s="1883">
        <v>9137</v>
      </c>
      <c r="F20" s="1883">
        <v>1060</v>
      </c>
      <c r="G20" s="1883">
        <v>10197</v>
      </c>
      <c r="H20" s="1883"/>
      <c r="I20" s="1883"/>
      <c r="J20" s="1883"/>
      <c r="K20" s="1883"/>
      <c r="L20" s="1880">
        <f t="shared" si="0"/>
        <v>10197</v>
      </c>
      <c r="M20" s="1883">
        <v>10197</v>
      </c>
    </row>
    <row r="21" spans="2:14" ht="20.100000000000001" customHeight="1" x14ac:dyDescent="0.2">
      <c r="B21" s="1158" t="s">
        <v>2138</v>
      </c>
      <c r="C21" s="1881">
        <v>84.173000000000002</v>
      </c>
      <c r="D21" s="1882" t="s">
        <v>2140</v>
      </c>
      <c r="E21" s="1883"/>
      <c r="F21" s="1883">
        <v>10298</v>
      </c>
      <c r="G21" s="1883"/>
      <c r="H21" s="1883"/>
      <c r="I21" s="1883">
        <v>10298</v>
      </c>
      <c r="J21" s="1883"/>
      <c r="K21" s="1883"/>
      <c r="L21" s="1880">
        <f t="shared" si="0"/>
        <v>10298</v>
      </c>
      <c r="M21" s="1883">
        <v>10298</v>
      </c>
    </row>
    <row r="22" spans="2:14" ht="20.100000000000001" customHeight="1" x14ac:dyDescent="0.2">
      <c r="B22" s="1158" t="s">
        <v>2145</v>
      </c>
      <c r="C22" s="1881"/>
      <c r="D22" s="1882"/>
      <c r="E22" s="1883">
        <f>SUM(E14:E21)</f>
        <v>509287</v>
      </c>
      <c r="F22" s="1883">
        <v>580403</v>
      </c>
      <c r="G22" s="1883">
        <f t="shared" ref="G22:I22" si="1">SUM(G14:G21)</f>
        <v>536014</v>
      </c>
      <c r="H22" s="1883"/>
      <c r="I22" s="1883">
        <f t="shared" si="1"/>
        <v>557022</v>
      </c>
      <c r="J22" s="1883"/>
      <c r="K22" s="1883"/>
      <c r="L22" s="1880">
        <f t="shared" si="0"/>
        <v>1093036</v>
      </c>
      <c r="M22" s="1883"/>
    </row>
    <row r="23" spans="2:14" ht="20.100000000000001" customHeight="1" x14ac:dyDescent="0.2">
      <c r="B23" s="1158" t="s">
        <v>2130</v>
      </c>
      <c r="C23" s="1881"/>
      <c r="D23" s="1882"/>
      <c r="E23" s="1883"/>
      <c r="F23" s="1883"/>
      <c r="G23" s="1883"/>
      <c r="H23" s="1883"/>
      <c r="I23" s="1883"/>
      <c r="J23" s="1883"/>
      <c r="K23" s="1883"/>
      <c r="L23" s="1880">
        <f t="shared" si="0"/>
        <v>0</v>
      </c>
      <c r="M23" s="1883"/>
    </row>
    <row r="24" spans="2:14" ht="20.100000000000001" customHeight="1" x14ac:dyDescent="0.2">
      <c r="B24" s="1158" t="s">
        <v>2121</v>
      </c>
      <c r="C24" s="1881"/>
      <c r="D24" s="1882"/>
      <c r="E24" s="1883"/>
      <c r="F24" s="1883"/>
      <c r="G24" s="1883"/>
      <c r="H24" s="1883"/>
      <c r="I24" s="1883"/>
      <c r="J24" s="1883"/>
      <c r="K24" s="1883"/>
      <c r="L24" s="1880">
        <f t="shared" si="0"/>
        <v>0</v>
      </c>
      <c r="M24" s="1883"/>
    </row>
    <row r="25" spans="2:14" ht="20.100000000000001" customHeight="1" x14ac:dyDescent="0.2">
      <c r="B25" s="1158" t="s">
        <v>2146</v>
      </c>
      <c r="C25" s="1881">
        <v>84.01</v>
      </c>
      <c r="D25" s="1882" t="s">
        <v>2151</v>
      </c>
      <c r="E25" s="1883">
        <v>208332</v>
      </c>
      <c r="F25" s="1883">
        <v>9538</v>
      </c>
      <c r="G25" s="1883">
        <v>306870</v>
      </c>
      <c r="H25" s="1883"/>
      <c r="I25" s="1883"/>
      <c r="J25" s="1883"/>
      <c r="K25" s="1883"/>
      <c r="L25" s="1880">
        <f t="shared" si="0"/>
        <v>306870</v>
      </c>
      <c r="M25" s="1883">
        <v>306984</v>
      </c>
    </row>
    <row r="26" spans="2:14" ht="20.100000000000001" customHeight="1" x14ac:dyDescent="0.2">
      <c r="B26" s="1158" t="s">
        <v>2147</v>
      </c>
      <c r="C26" s="1881">
        <v>84.01</v>
      </c>
      <c r="D26" s="1882" t="s">
        <v>2152</v>
      </c>
      <c r="E26" s="1883"/>
      <c r="F26" s="1883">
        <v>244441</v>
      </c>
      <c r="G26" s="1883"/>
      <c r="H26" s="1883"/>
      <c r="I26" s="1883">
        <v>279617</v>
      </c>
      <c r="J26" s="1883"/>
      <c r="K26" s="1883"/>
      <c r="L26" s="1880">
        <f t="shared" si="0"/>
        <v>279617</v>
      </c>
      <c r="M26" s="1883">
        <v>289918</v>
      </c>
    </row>
    <row r="27" spans="2:14" ht="20.100000000000001" customHeight="1" x14ac:dyDescent="0.2">
      <c r="B27" s="1158" t="s">
        <v>2153</v>
      </c>
      <c r="C27" s="1881">
        <v>84.367000000000004</v>
      </c>
      <c r="D27" s="1882" t="s">
        <v>2154</v>
      </c>
      <c r="E27" s="1883">
        <v>43725</v>
      </c>
      <c r="F27" s="1883">
        <v>19596</v>
      </c>
      <c r="G27" s="1883">
        <v>63321</v>
      </c>
      <c r="H27" s="1883"/>
      <c r="I27" s="1883"/>
      <c r="J27" s="1883"/>
      <c r="K27" s="1883"/>
      <c r="L27" s="1880">
        <f t="shared" si="0"/>
        <v>63321</v>
      </c>
      <c r="M27" s="1883">
        <v>63321</v>
      </c>
    </row>
    <row r="28" spans="2:14" ht="20.100000000000001" customHeight="1" x14ac:dyDescent="0.2">
      <c r="B28" s="1158" t="s">
        <v>2148</v>
      </c>
      <c r="C28" s="1881">
        <v>84.367000000000004</v>
      </c>
      <c r="D28" s="1882" t="s">
        <v>2155</v>
      </c>
      <c r="E28" s="1883"/>
      <c r="F28" s="1883">
        <v>60792</v>
      </c>
      <c r="G28" s="1883"/>
      <c r="H28" s="1883"/>
      <c r="I28" s="1883">
        <v>60792</v>
      </c>
      <c r="J28" s="1883"/>
      <c r="K28" s="1883"/>
      <c r="L28" s="1880">
        <f t="shared" si="0"/>
        <v>60792</v>
      </c>
      <c r="M28" s="1883">
        <v>60792</v>
      </c>
    </row>
    <row r="29" spans="2:14" ht="20.100000000000001" customHeight="1" x14ac:dyDescent="0.2">
      <c r="B29" s="1158" t="s">
        <v>2149</v>
      </c>
      <c r="C29" s="1881">
        <v>84.424000000000007</v>
      </c>
      <c r="D29" s="1882" t="s">
        <v>2156</v>
      </c>
      <c r="E29" s="1883">
        <v>15437</v>
      </c>
      <c r="F29" s="1883">
        <v>12405</v>
      </c>
      <c r="G29" s="1883">
        <v>27842</v>
      </c>
      <c r="H29" s="1883"/>
      <c r="I29" s="1883"/>
      <c r="J29" s="1883"/>
      <c r="K29" s="1883"/>
      <c r="L29" s="1880">
        <f>+G29+I29+K29</f>
        <v>27842</v>
      </c>
      <c r="M29" s="1883">
        <v>28772</v>
      </c>
      <c r="N29" s="1159"/>
    </row>
    <row r="30" spans="2:14" ht="20.100000000000001" customHeight="1" x14ac:dyDescent="0.2">
      <c r="B30" s="1158" t="s">
        <v>2150</v>
      </c>
      <c r="C30" s="1881">
        <v>84.424000000000007</v>
      </c>
      <c r="D30" s="1882" t="s">
        <v>2157</v>
      </c>
      <c r="E30" s="1883"/>
      <c r="F30" s="1883">
        <v>22865</v>
      </c>
      <c r="G30" s="1883"/>
      <c r="H30" s="1883"/>
      <c r="I30" s="1883">
        <v>22865</v>
      </c>
      <c r="J30" s="1883"/>
      <c r="K30" s="1883"/>
      <c r="L30" s="1880">
        <f>+G30+I30+K30</f>
        <v>22865</v>
      </c>
      <c r="M30" s="1883">
        <v>22865</v>
      </c>
      <c r="N30" s="1159"/>
    </row>
    <row r="31" spans="2:14" s="1160" customFormat="1" ht="12.75" customHeight="1" x14ac:dyDescent="0.2"/>
    <row r="32" spans="2:14" x14ac:dyDescent="0.2">
      <c r="B32" s="1078"/>
      <c r="C32" s="1164"/>
      <c r="D32" s="1165"/>
      <c r="E32" s="1078"/>
      <c r="F32" s="1078"/>
      <c r="G32" s="1071"/>
      <c r="H32" s="1071"/>
      <c r="I32" s="1071"/>
      <c r="J32" s="1071"/>
      <c r="K32" s="1071"/>
      <c r="L32" s="1071"/>
      <c r="M32" s="1078"/>
      <c r="N32" s="1159"/>
    </row>
    <row r="33" spans="2:14" ht="13.5" customHeight="1" x14ac:dyDescent="0.2">
      <c r="B33" s="1103" t="s">
        <v>1714</v>
      </c>
      <c r="C33" s="1164"/>
      <c r="D33" s="1165"/>
      <c r="E33" s="1078"/>
      <c r="F33" s="1078"/>
      <c r="G33" s="1071"/>
      <c r="H33" s="1071"/>
      <c r="I33" s="1071"/>
      <c r="J33" s="1071"/>
      <c r="K33" s="1071"/>
      <c r="L33" s="1071"/>
      <c r="M33" s="1078"/>
      <c r="N33" s="1159"/>
    </row>
    <row r="34" spans="2:14" ht="8.25" customHeight="1" x14ac:dyDescent="0.2">
      <c r="B34" s="1103"/>
      <c r="C34" s="1164"/>
      <c r="D34" s="1165"/>
      <c r="E34" s="1078"/>
      <c r="F34" s="1078"/>
      <c r="G34" s="1071"/>
      <c r="H34" s="1071"/>
      <c r="I34" s="1071"/>
      <c r="J34" s="1071"/>
      <c r="K34" s="1071"/>
      <c r="L34" s="1071"/>
      <c r="M34" s="1078"/>
      <c r="N34" s="1159"/>
    </row>
    <row r="35" spans="2:14" x14ac:dyDescent="0.2">
      <c r="B35" s="1166" t="s">
        <v>1812</v>
      </c>
      <c r="C35" s="1167"/>
      <c r="D35" s="1168"/>
      <c r="E35" s="1169"/>
      <c r="F35" s="1169"/>
      <c r="G35" s="1169"/>
      <c r="H35" s="1169"/>
      <c r="I35" s="295"/>
      <c r="J35" s="295"/>
    </row>
    <row r="36" spans="2:14" x14ac:dyDescent="0.2">
      <c r="B36" s="1098"/>
      <c r="C36" s="1170"/>
      <c r="D36" s="1171"/>
      <c r="E36" s="1099"/>
      <c r="F36" s="1099"/>
      <c r="G36" s="295"/>
      <c r="H36" s="295"/>
      <c r="I36" s="295"/>
      <c r="J36" s="295"/>
    </row>
    <row r="37" spans="2:14" ht="13.5" customHeight="1" x14ac:dyDescent="0.2">
      <c r="B37" s="1097" t="s">
        <v>1237</v>
      </c>
      <c r="G37" s="295"/>
      <c r="H37" s="295"/>
      <c r="I37" s="295"/>
      <c r="J37" s="295"/>
    </row>
    <row r="38" spans="2:14" ht="13.5" customHeight="1" x14ac:dyDescent="0.2">
      <c r="B38" s="1174"/>
      <c r="C38" s="1175"/>
      <c r="D38" s="1176"/>
      <c r="E38" s="1118"/>
      <c r="F38" s="1118"/>
      <c r="G38" s="1118"/>
      <c r="H38" s="1118"/>
      <c r="I38" s="1118"/>
      <c r="J38" s="1118"/>
      <c r="K38" s="1177"/>
      <c r="L38" s="1177"/>
      <c r="M38" s="1118"/>
    </row>
    <row r="39" spans="2:14" ht="9.6" customHeight="1" x14ac:dyDescent="0.2">
      <c r="B39" s="1178"/>
      <c r="G39" s="295"/>
      <c r="H39" s="295"/>
      <c r="I39" s="295"/>
      <c r="J39" s="295"/>
    </row>
    <row r="40" spans="2:14" ht="11.25" customHeight="1" x14ac:dyDescent="0.2">
      <c r="B40" s="1179" t="s">
        <v>1715</v>
      </c>
      <c r="C40" s="1180"/>
      <c r="D40" s="1180"/>
      <c r="E40" s="1180"/>
      <c r="F40" s="1180"/>
      <c r="G40" s="1180"/>
      <c r="H40" s="1180"/>
      <c r="I40" s="1181"/>
      <c r="J40" s="1181"/>
      <c r="K40" s="1181"/>
      <c r="L40" s="1181"/>
      <c r="M40" s="1181"/>
    </row>
    <row r="41" spans="2:14" ht="11.25" customHeight="1" x14ac:dyDescent="0.2">
      <c r="B41" s="1182" t="s">
        <v>1570</v>
      </c>
      <c r="C41" s="1181"/>
      <c r="D41" s="1181"/>
      <c r="E41" s="1181"/>
      <c r="F41" s="1181"/>
      <c r="G41" s="1181"/>
      <c r="H41" s="1181"/>
      <c r="I41" s="1181"/>
      <c r="J41" s="1181"/>
      <c r="K41" s="1181"/>
      <c r="L41" s="1181"/>
      <c r="M41" s="1181"/>
    </row>
    <row r="42" spans="2:14" ht="3.95" customHeight="1" x14ac:dyDescent="0.2">
      <c r="B42" s="1182"/>
      <c r="C42" s="1181"/>
      <c r="D42" s="1181"/>
      <c r="E42" s="1181"/>
      <c r="F42" s="1181"/>
      <c r="G42" s="1181"/>
      <c r="H42" s="1181"/>
      <c r="I42" s="1181"/>
      <c r="J42" s="1181"/>
      <c r="K42" s="1181"/>
      <c r="L42" s="1181"/>
      <c r="M42" s="1181"/>
    </row>
    <row r="43" spans="2:14" ht="11.25" customHeight="1" x14ac:dyDescent="0.2">
      <c r="B43" s="1179" t="s">
        <v>1716</v>
      </c>
      <c r="C43" s="1181"/>
      <c r="D43" s="1181"/>
      <c r="E43" s="1181"/>
      <c r="F43" s="1181"/>
      <c r="G43" s="1181"/>
      <c r="H43" s="1181"/>
      <c r="I43" s="1181"/>
      <c r="J43" s="1181"/>
      <c r="K43" s="1181"/>
      <c r="L43" s="1181"/>
      <c r="M43" s="1181"/>
    </row>
    <row r="44" spans="2:14" ht="11.25" customHeight="1" x14ac:dyDescent="0.2">
      <c r="B44" s="1121" t="s">
        <v>1571</v>
      </c>
      <c r="C44" s="1183"/>
      <c r="D44" s="1184"/>
      <c r="E44" s="1121"/>
      <c r="F44" s="1121"/>
      <c r="G44" s="1121"/>
      <c r="H44" s="1121"/>
      <c r="I44" s="1121"/>
      <c r="J44" s="1121"/>
      <c r="K44" s="1185"/>
      <c r="L44" s="1185"/>
      <c r="M44" s="1121"/>
    </row>
    <row r="45" spans="2:14" ht="3.95" customHeight="1" x14ac:dyDescent="0.2">
      <c r="B45" s="1121"/>
      <c r="C45" s="1183"/>
      <c r="D45" s="1184"/>
      <c r="E45" s="1121"/>
      <c r="F45" s="1121"/>
      <c r="G45" s="1121"/>
      <c r="H45" s="1121"/>
      <c r="I45" s="1121"/>
      <c r="J45" s="1121"/>
      <c r="K45" s="1185"/>
      <c r="L45" s="1185"/>
      <c r="M45" s="1121"/>
    </row>
    <row r="46" spans="2:14" ht="11.25" customHeight="1" x14ac:dyDescent="0.2">
      <c r="B46" s="1186" t="s">
        <v>1717</v>
      </c>
      <c r="C46" s="1183"/>
      <c r="D46" s="1184"/>
      <c r="E46" s="1121"/>
      <c r="F46" s="1121"/>
      <c r="G46" s="1121"/>
      <c r="H46" s="1121"/>
      <c r="I46" s="1121"/>
      <c r="J46" s="1121"/>
      <c r="K46" s="1185"/>
      <c r="L46" s="1185"/>
      <c r="M46" s="1121"/>
    </row>
    <row r="47" spans="2:14" ht="3.95" customHeight="1" x14ac:dyDescent="0.2">
      <c r="B47" s="1186"/>
      <c r="C47" s="1183"/>
      <c r="D47" s="1184"/>
      <c r="E47" s="1121"/>
      <c r="F47" s="1121"/>
      <c r="G47" s="1121"/>
      <c r="H47" s="1121"/>
      <c r="I47" s="1121"/>
      <c r="J47" s="1121"/>
      <c r="K47" s="1185"/>
      <c r="L47" s="1185"/>
      <c r="M47" s="1121"/>
    </row>
    <row r="48" spans="2:14" ht="11.25" customHeight="1" x14ac:dyDescent="0.2">
      <c r="B48" s="1187" t="s">
        <v>1718</v>
      </c>
      <c r="C48" s="1183"/>
      <c r="D48" s="1184"/>
      <c r="E48" s="1121"/>
      <c r="F48" s="1121"/>
      <c r="G48" s="1121"/>
      <c r="H48" s="1121"/>
      <c r="I48" s="1121"/>
      <c r="J48" s="1121"/>
      <c r="K48" s="1185"/>
      <c r="L48" s="1185"/>
      <c r="M48" s="1121"/>
    </row>
    <row r="49" spans="2:13" ht="11.25" customHeight="1" x14ac:dyDescent="0.2">
      <c r="B49" s="1121" t="s">
        <v>1572</v>
      </c>
      <c r="G49" s="295"/>
      <c r="H49" s="295"/>
      <c r="I49" s="295"/>
      <c r="J49" s="295"/>
    </row>
    <row r="50" spans="2:13" ht="11.1" customHeight="1" x14ac:dyDescent="0.2">
      <c r="B50" s="1121"/>
      <c r="G50" s="295"/>
      <c r="H50" s="295"/>
      <c r="I50" s="295"/>
      <c r="J50" s="295"/>
    </row>
    <row r="51" spans="2:13" ht="11.1" customHeight="1" x14ac:dyDescent="0.2">
      <c r="B51" s="1121"/>
      <c r="G51" s="295"/>
      <c r="H51" s="295"/>
      <c r="I51" s="295"/>
      <c r="J51" s="295"/>
    </row>
    <row r="52" spans="2:13" ht="13.5" customHeight="1" x14ac:dyDescent="0.2">
      <c r="M52" s="1188"/>
    </row>
    <row r="53" spans="2:13" ht="13.5" customHeight="1" x14ac:dyDescent="0.2">
      <c r="M53" s="1188"/>
    </row>
    <row r="54" spans="2:13" ht="13.5" customHeight="1" x14ac:dyDescent="0.2">
      <c r="M54" s="1188"/>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0DC8-FDB4-418D-9AA1-724CD063C8B8}">
  <sheetPr>
    <tabColor rgb="FF92D050"/>
  </sheetPr>
  <dimension ref="B1:N154"/>
  <sheetViews>
    <sheetView showGridLines="0" zoomScaleNormal="100" workbookViewId="0">
      <selection activeCell="K15" sqref="K15"/>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1" t="str">
        <f>'Single Audit Cover'!A7</f>
        <v xml:space="preserve">  Sandwich CUSD 430</v>
      </c>
      <c r="C1" s="2666"/>
      <c r="D1" s="2666"/>
      <c r="E1" s="2666"/>
      <c r="F1" s="2666"/>
      <c r="G1" s="2666"/>
      <c r="H1" s="2666"/>
      <c r="I1" s="2666"/>
      <c r="J1" s="2666"/>
      <c r="K1" s="2666"/>
      <c r="L1" s="2666"/>
      <c r="M1" s="2666"/>
    </row>
    <row r="2" spans="2:14" ht="15" x14ac:dyDescent="0.2">
      <c r="B2" s="2667">
        <f>'Single Audit Cover'!E7</f>
        <v>16019430026</v>
      </c>
      <c r="C2" s="2667"/>
      <c r="D2" s="2667"/>
      <c r="E2" s="2667"/>
      <c r="F2" s="2667"/>
      <c r="G2" s="2667"/>
      <c r="H2" s="2667"/>
      <c r="I2" s="2667"/>
      <c r="J2" s="2667"/>
      <c r="K2" s="2667"/>
      <c r="L2" s="2667"/>
      <c r="M2" s="2667"/>
      <c r="N2" s="1123"/>
    </row>
    <row r="3" spans="2:14" ht="15" x14ac:dyDescent="0.2">
      <c r="B3" s="2668" t="s">
        <v>1210</v>
      </c>
      <c r="C3" s="2668"/>
      <c r="D3" s="2668"/>
      <c r="E3" s="2668"/>
      <c r="F3" s="2668"/>
      <c r="G3" s="2668"/>
      <c r="H3" s="2668"/>
      <c r="I3" s="2668"/>
      <c r="J3" s="2668"/>
      <c r="K3" s="2668"/>
      <c r="L3" s="2668"/>
      <c r="M3" s="2668"/>
      <c r="N3" s="1123"/>
    </row>
    <row r="4" spans="2:14" ht="15" x14ac:dyDescent="0.2">
      <c r="B4" s="2669" t="str">
        <f>'Single Audit Cover'!A4</f>
        <v>Year Ending June 30, 2020</v>
      </c>
      <c r="C4" s="2669"/>
      <c r="D4" s="2669"/>
      <c r="E4" s="2669"/>
      <c r="F4" s="2669"/>
      <c r="G4" s="2669"/>
      <c r="H4" s="2669"/>
      <c r="I4" s="2669"/>
      <c r="J4" s="2669"/>
      <c r="K4" s="2669"/>
      <c r="L4" s="2669"/>
      <c r="M4" s="2669"/>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7"/>
      <c r="C8" s="1134" t="s">
        <v>1255</v>
      </c>
      <c r="D8" s="1135" t="s">
        <v>1254</v>
      </c>
      <c r="E8" s="1143" t="s">
        <v>1253</v>
      </c>
      <c r="F8" s="1144" t="s">
        <v>1253</v>
      </c>
      <c r="G8" s="1145" t="s">
        <v>1253</v>
      </c>
      <c r="H8" s="1876" t="str">
        <f>"7/1/"&amp;MID('AFR20'!$E$2,3,2)-2&amp;"-6/30/"&amp;MID('AFR20'!$E$2,3,2)-1</f>
        <v>7/1/18-6/30/19</v>
      </c>
      <c r="I8" s="1140" t="s">
        <v>1253</v>
      </c>
      <c r="J8" s="1877"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2158</v>
      </c>
      <c r="C11" s="1878"/>
      <c r="D11" s="1879"/>
      <c r="E11" s="1880"/>
      <c r="F11" s="1880"/>
      <c r="G11" s="1880"/>
      <c r="H11" s="1880"/>
      <c r="I11" s="1880"/>
      <c r="J11" s="1880"/>
      <c r="K11" s="1880"/>
      <c r="L11" s="1880">
        <f>+G11+I11+K11</f>
        <v>0</v>
      </c>
      <c r="M11" s="1880"/>
    </row>
    <row r="12" spans="2:14" ht="20.100000000000001" customHeight="1" x14ac:dyDescent="0.2">
      <c r="B12" s="1158" t="s">
        <v>2159</v>
      </c>
      <c r="C12" s="1881"/>
      <c r="D12" s="1882"/>
      <c r="E12" s="1883"/>
      <c r="F12" s="1883"/>
      <c r="G12" s="1883"/>
      <c r="H12" s="1883"/>
      <c r="I12" s="1883"/>
      <c r="J12" s="1883"/>
      <c r="K12" s="1883"/>
      <c r="L12" s="1880">
        <f t="shared" ref="L12:L27" si="0">+G12+I12+K12</f>
        <v>0</v>
      </c>
      <c r="M12" s="1883"/>
    </row>
    <row r="13" spans="2:14" ht="20.100000000000001" customHeight="1" x14ac:dyDescent="0.2">
      <c r="B13" s="1158" t="s">
        <v>2160</v>
      </c>
      <c r="C13" s="1881">
        <v>84.048000000000002</v>
      </c>
      <c r="D13" s="1882" t="s">
        <v>2161</v>
      </c>
      <c r="E13" s="1883"/>
      <c r="F13" s="1883">
        <v>17580</v>
      </c>
      <c r="G13" s="1883"/>
      <c r="H13" s="1883"/>
      <c r="I13" s="1883">
        <v>17580</v>
      </c>
      <c r="J13" s="1883"/>
      <c r="K13" s="1883"/>
      <c r="L13" s="1880">
        <f t="shared" si="0"/>
        <v>17580</v>
      </c>
      <c r="M13" s="1883"/>
    </row>
    <row r="14" spans="2:14" ht="20.100000000000001" customHeight="1" x14ac:dyDescent="0.2">
      <c r="B14" s="1158" t="s">
        <v>2162</v>
      </c>
      <c r="C14" s="1881"/>
      <c r="D14" s="1882"/>
      <c r="E14" s="1883">
        <f>' SEFA'!E22+' SEFA'!E28+' SEFA (2)'!E22+(SUM(' SEFA (2)'!E25:E30))</f>
        <v>1098674</v>
      </c>
      <c r="F14" s="1883">
        <v>1422680</v>
      </c>
      <c r="G14" s="1883">
        <f>' SEFA'!G22+' SEFA'!G28+' SEFA (2)'!G22+(SUM(' SEFA (2)'!G25:G30))</f>
        <v>1267958</v>
      </c>
      <c r="H14" s="1883"/>
      <c r="I14" s="1883">
        <v>1309595</v>
      </c>
      <c r="J14" s="1883"/>
      <c r="K14" s="1883"/>
      <c r="L14" s="1880">
        <f>+G14+I14+K14</f>
        <v>2577553</v>
      </c>
      <c r="M14" s="1883"/>
    </row>
    <row r="15" spans="2:14" ht="20.100000000000001" customHeight="1" x14ac:dyDescent="0.2">
      <c r="B15" s="1158"/>
      <c r="C15" s="1881"/>
      <c r="D15" s="1882"/>
      <c r="E15" s="1883"/>
      <c r="F15" s="1883"/>
      <c r="G15" s="1883"/>
      <c r="H15" s="1883"/>
      <c r="I15" s="1883"/>
      <c r="J15" s="1883"/>
      <c r="K15" s="1883"/>
      <c r="L15" s="1880">
        <f t="shared" si="0"/>
        <v>0</v>
      </c>
      <c r="M15" s="1883"/>
    </row>
    <row r="16" spans="2:14" ht="20.100000000000001" customHeight="1" x14ac:dyDescent="0.2">
      <c r="B16" s="1158"/>
      <c r="C16" s="1881"/>
      <c r="D16" s="1882"/>
      <c r="E16" s="1883"/>
      <c r="F16" s="1883"/>
      <c r="G16" s="1883"/>
      <c r="H16" s="1883"/>
      <c r="I16" s="1883"/>
      <c r="J16" s="1883"/>
      <c r="K16" s="1883"/>
      <c r="L16" s="1880">
        <f t="shared" si="0"/>
        <v>0</v>
      </c>
      <c r="M16" s="1883"/>
    </row>
    <row r="17" spans="2:14" ht="20.100000000000001" customHeight="1" x14ac:dyDescent="0.2">
      <c r="B17" s="1158"/>
      <c r="C17" s="1881"/>
      <c r="D17" s="1882"/>
      <c r="E17" s="1883"/>
      <c r="F17" s="1883"/>
      <c r="G17" s="1883"/>
      <c r="H17" s="1883"/>
      <c r="I17" s="1883"/>
      <c r="J17" s="1883"/>
      <c r="K17" s="1883"/>
      <c r="L17" s="1880">
        <f t="shared" si="0"/>
        <v>0</v>
      </c>
      <c r="M17" s="1883"/>
    </row>
    <row r="18" spans="2:14" ht="20.100000000000001" customHeight="1" x14ac:dyDescent="0.2">
      <c r="B18" s="1158"/>
      <c r="C18" s="1881"/>
      <c r="D18" s="1882"/>
      <c r="E18" s="1883"/>
      <c r="F18" s="1883"/>
      <c r="G18" s="1883"/>
      <c r="H18" s="1883"/>
      <c r="I18" s="1883"/>
      <c r="J18" s="1883"/>
      <c r="K18" s="1883"/>
      <c r="L18" s="1880">
        <f t="shared" si="0"/>
        <v>0</v>
      </c>
      <c r="M18" s="1883"/>
    </row>
    <row r="19" spans="2:14" ht="20.100000000000001" customHeight="1" x14ac:dyDescent="0.2">
      <c r="B19" s="1158"/>
      <c r="C19" s="1881"/>
      <c r="D19" s="1882"/>
      <c r="E19" s="1883"/>
      <c r="F19" s="1883"/>
      <c r="G19" s="1883"/>
      <c r="H19" s="1883"/>
      <c r="I19" s="1883"/>
      <c r="J19" s="1883"/>
      <c r="K19" s="1883"/>
      <c r="L19" s="1880">
        <f t="shared" si="0"/>
        <v>0</v>
      </c>
      <c r="M19" s="1883"/>
    </row>
    <row r="20" spans="2:14" ht="20.100000000000001" customHeight="1" x14ac:dyDescent="0.2">
      <c r="B20" s="1158"/>
      <c r="C20" s="1881"/>
      <c r="D20" s="1882"/>
      <c r="E20" s="1883"/>
      <c r="F20" s="1883"/>
      <c r="G20" s="1883"/>
      <c r="H20" s="1883"/>
      <c r="I20" s="1883"/>
      <c r="J20" s="1883"/>
      <c r="K20" s="1883"/>
      <c r="L20" s="1880">
        <f t="shared" si="0"/>
        <v>0</v>
      </c>
      <c r="M20" s="1883"/>
    </row>
    <row r="21" spans="2:14" ht="20.100000000000001" customHeight="1" x14ac:dyDescent="0.2">
      <c r="B21" s="1158"/>
      <c r="C21" s="1881"/>
      <c r="D21" s="1882"/>
      <c r="E21" s="1883"/>
      <c r="F21" s="1883"/>
      <c r="G21" s="1883"/>
      <c r="H21" s="1883"/>
      <c r="I21" s="1883"/>
      <c r="J21" s="1883"/>
      <c r="K21" s="1883"/>
      <c r="L21" s="1880">
        <f t="shared" si="0"/>
        <v>0</v>
      </c>
      <c r="M21" s="1883"/>
    </row>
    <row r="22" spans="2:14" ht="20.100000000000001" customHeight="1" x14ac:dyDescent="0.2">
      <c r="B22" s="1158"/>
      <c r="C22" s="1881"/>
      <c r="D22" s="1882"/>
      <c r="E22" s="1883"/>
      <c r="F22" s="1883"/>
      <c r="G22" s="1883"/>
      <c r="H22" s="1883"/>
      <c r="I22" s="1883"/>
      <c r="J22" s="1883"/>
      <c r="K22" s="1883"/>
      <c r="L22" s="1880">
        <f t="shared" si="0"/>
        <v>0</v>
      </c>
      <c r="M22" s="1883"/>
    </row>
    <row r="23" spans="2:14" ht="20.100000000000001" customHeight="1" x14ac:dyDescent="0.2">
      <c r="B23" s="1158"/>
      <c r="C23" s="1881"/>
      <c r="D23" s="1882"/>
      <c r="E23" s="1883"/>
      <c r="F23" s="1883"/>
      <c r="G23" s="1883"/>
      <c r="H23" s="1883"/>
      <c r="I23" s="1883"/>
      <c r="J23" s="1883"/>
      <c r="K23" s="1883"/>
      <c r="L23" s="1880">
        <f t="shared" si="0"/>
        <v>0</v>
      </c>
      <c r="M23" s="1883"/>
    </row>
    <row r="24" spans="2:14" ht="20.100000000000001" customHeight="1" x14ac:dyDescent="0.2">
      <c r="B24" s="1158"/>
      <c r="C24" s="1881"/>
      <c r="D24" s="1882"/>
      <c r="E24" s="1883"/>
      <c r="F24" s="1883"/>
      <c r="G24" s="1883"/>
      <c r="H24" s="1883"/>
      <c r="I24" s="1883"/>
      <c r="J24" s="1883"/>
      <c r="K24" s="1883"/>
      <c r="L24" s="1880">
        <f t="shared" si="0"/>
        <v>0</v>
      </c>
      <c r="M24" s="1883"/>
    </row>
    <row r="25" spans="2:14" ht="20.100000000000001" customHeight="1" x14ac:dyDescent="0.2">
      <c r="B25" s="1158"/>
      <c r="C25" s="1881"/>
      <c r="D25" s="1882"/>
      <c r="E25" s="1883"/>
      <c r="F25" s="1883"/>
      <c r="G25" s="1883"/>
      <c r="H25" s="1883"/>
      <c r="I25" s="1883"/>
      <c r="J25" s="1883"/>
      <c r="K25" s="1883"/>
      <c r="L25" s="1880">
        <f t="shared" si="0"/>
        <v>0</v>
      </c>
      <c r="M25" s="1883"/>
    </row>
    <row r="26" spans="2:14" ht="20.100000000000001" customHeight="1" x14ac:dyDescent="0.2">
      <c r="B26" s="1158"/>
      <c r="C26" s="1881"/>
      <c r="D26" s="1882"/>
      <c r="E26" s="1883"/>
      <c r="F26" s="1883"/>
      <c r="G26" s="1883"/>
      <c r="H26" s="1883"/>
      <c r="I26" s="1883"/>
      <c r="J26" s="1883"/>
      <c r="K26" s="1883"/>
      <c r="L26" s="1880">
        <f t="shared" si="0"/>
        <v>0</v>
      </c>
      <c r="M26" s="1883"/>
    </row>
    <row r="27" spans="2:14" ht="20.100000000000001" customHeight="1" x14ac:dyDescent="0.2">
      <c r="B27" s="1158"/>
      <c r="C27" s="1881"/>
      <c r="D27" s="1882"/>
      <c r="E27" s="1883"/>
      <c r="F27" s="1883"/>
      <c r="G27" s="1883"/>
      <c r="H27" s="1883"/>
      <c r="I27" s="1883"/>
      <c r="J27" s="1883"/>
      <c r="K27" s="1883"/>
      <c r="L27" s="1880">
        <f t="shared" si="0"/>
        <v>0</v>
      </c>
      <c r="M27" s="1883"/>
    </row>
    <row r="28" spans="2:14" ht="20.100000000000001" customHeight="1" x14ac:dyDescent="0.2">
      <c r="B28" s="1158"/>
      <c r="C28" s="1881"/>
      <c r="D28" s="1882"/>
      <c r="E28" s="1883"/>
      <c r="F28" s="1883"/>
      <c r="G28" s="1883"/>
      <c r="H28" s="1883"/>
      <c r="I28" s="1883"/>
      <c r="J28" s="1883"/>
      <c r="K28" s="1883"/>
      <c r="L28" s="1880">
        <f>+G28+I28+K28</f>
        <v>0</v>
      </c>
      <c r="M28" s="1883"/>
      <c r="N28" s="1159"/>
    </row>
    <row r="29" spans="2:14" ht="20.100000000000001" customHeight="1" x14ac:dyDescent="0.2">
      <c r="B29" s="1158"/>
      <c r="C29" s="1881"/>
      <c r="D29" s="1882"/>
      <c r="E29" s="1883"/>
      <c r="F29" s="1883"/>
      <c r="G29" s="1883"/>
      <c r="H29" s="1883"/>
      <c r="I29" s="1883"/>
      <c r="J29" s="1883"/>
      <c r="K29" s="1883"/>
      <c r="L29" s="1880">
        <f>+G29+I29+K29</f>
        <v>0</v>
      </c>
      <c r="M29" s="1883"/>
      <c r="N29" s="1159"/>
    </row>
    <row r="30" spans="2:14" s="1160" customFormat="1" ht="12.75" customHeight="1" x14ac:dyDescent="0.2"/>
    <row r="31" spans="2:14" x14ac:dyDescent="0.2">
      <c r="B31" s="1078"/>
      <c r="C31" s="1164"/>
      <c r="D31" s="1165"/>
      <c r="E31" s="1078"/>
      <c r="F31" s="1078"/>
      <c r="G31" s="1071"/>
      <c r="H31" s="1071"/>
      <c r="I31" s="1071"/>
      <c r="J31" s="1071"/>
      <c r="K31" s="1071"/>
      <c r="L31" s="1071"/>
      <c r="M31" s="1078"/>
      <c r="N31" s="1159"/>
    </row>
    <row r="32" spans="2:14" ht="13.5" customHeight="1" x14ac:dyDescent="0.2">
      <c r="B32" s="1103" t="s">
        <v>1714</v>
      </c>
      <c r="C32" s="1164"/>
      <c r="D32" s="1165"/>
      <c r="E32" s="1078"/>
      <c r="F32" s="1078"/>
      <c r="G32" s="1071"/>
      <c r="H32" s="1071"/>
      <c r="I32" s="1071"/>
      <c r="J32" s="1071"/>
      <c r="K32" s="1071"/>
      <c r="L32" s="1071"/>
      <c r="M32" s="1078"/>
      <c r="N32" s="1159"/>
    </row>
    <row r="33" spans="2:14" ht="8.25" customHeight="1" x14ac:dyDescent="0.2">
      <c r="B33" s="1103"/>
      <c r="C33" s="1164"/>
      <c r="D33" s="1165"/>
      <c r="E33" s="1078"/>
      <c r="F33" s="1078"/>
      <c r="G33" s="1071"/>
      <c r="H33" s="1071"/>
      <c r="I33" s="1071"/>
      <c r="J33" s="1071"/>
      <c r="K33" s="1071"/>
      <c r="L33" s="1071"/>
      <c r="M33" s="1078"/>
      <c r="N33" s="1159"/>
    </row>
    <row r="34" spans="2:14" x14ac:dyDescent="0.2">
      <c r="B34" s="1166" t="s">
        <v>1812</v>
      </c>
      <c r="C34" s="1167"/>
      <c r="D34" s="1168"/>
      <c r="E34" s="1169"/>
      <c r="F34" s="1169"/>
      <c r="G34" s="1169"/>
      <c r="H34" s="1169"/>
      <c r="I34" s="295"/>
      <c r="J34" s="295"/>
    </row>
    <row r="35" spans="2:14" x14ac:dyDescent="0.2">
      <c r="B35" s="1098"/>
      <c r="C35" s="1170"/>
      <c r="D35" s="1171"/>
      <c r="E35" s="1099"/>
      <c r="F35" s="1099"/>
      <c r="G35" s="295"/>
      <c r="H35" s="295"/>
      <c r="I35" s="295"/>
      <c r="J35" s="295"/>
    </row>
    <row r="36" spans="2:14" ht="13.5" customHeight="1" x14ac:dyDescent="0.2">
      <c r="B36" s="1097" t="s">
        <v>1237</v>
      </c>
      <c r="G36" s="295"/>
      <c r="H36" s="295"/>
      <c r="I36" s="295"/>
      <c r="J36" s="295"/>
    </row>
    <row r="37" spans="2:14" ht="13.5" customHeight="1" x14ac:dyDescent="0.2">
      <c r="B37" s="1174"/>
      <c r="C37" s="1175"/>
      <c r="D37" s="1176"/>
      <c r="E37" s="1118"/>
      <c r="F37" s="1118"/>
      <c r="G37" s="1118"/>
      <c r="H37" s="1118"/>
      <c r="I37" s="1118"/>
      <c r="J37" s="1118"/>
      <c r="K37" s="1177"/>
      <c r="L37" s="1177"/>
      <c r="M37" s="1118"/>
    </row>
    <row r="38" spans="2:14" ht="9.6" customHeight="1" x14ac:dyDescent="0.2">
      <c r="B38" s="1178"/>
      <c r="G38" s="295"/>
      <c r="H38" s="295"/>
      <c r="I38" s="295"/>
      <c r="J38" s="295"/>
    </row>
    <row r="39" spans="2:14" ht="11.25" customHeight="1" x14ac:dyDescent="0.2">
      <c r="B39" s="1179" t="s">
        <v>1715</v>
      </c>
      <c r="C39" s="1180"/>
      <c r="D39" s="1180"/>
      <c r="E39" s="1180"/>
      <c r="F39" s="1180"/>
      <c r="G39" s="1180"/>
      <c r="H39" s="1180"/>
      <c r="I39" s="1181"/>
      <c r="J39" s="1181"/>
      <c r="K39" s="1181"/>
      <c r="L39" s="1181"/>
      <c r="M39" s="1181"/>
    </row>
    <row r="40" spans="2:14" ht="11.25" customHeight="1" x14ac:dyDescent="0.2">
      <c r="B40" s="1182" t="s">
        <v>1570</v>
      </c>
      <c r="C40" s="1181"/>
      <c r="D40" s="1181"/>
      <c r="E40" s="1181"/>
      <c r="F40" s="1181"/>
      <c r="G40" s="1181"/>
      <c r="H40" s="1181"/>
      <c r="I40" s="1181"/>
      <c r="J40" s="1181"/>
      <c r="K40" s="1181"/>
      <c r="L40" s="1181"/>
      <c r="M40" s="1181"/>
    </row>
    <row r="41" spans="2:14" ht="3.95" customHeight="1" x14ac:dyDescent="0.2">
      <c r="B41" s="1182"/>
      <c r="C41" s="1181"/>
      <c r="D41" s="1181"/>
      <c r="E41" s="1181"/>
      <c r="F41" s="1181"/>
      <c r="G41" s="1181"/>
      <c r="H41" s="1181"/>
      <c r="I41" s="1181"/>
      <c r="J41" s="1181"/>
      <c r="K41" s="1181"/>
      <c r="L41" s="1181"/>
      <c r="M41" s="1181"/>
    </row>
    <row r="42" spans="2:14" ht="11.25" customHeight="1" x14ac:dyDescent="0.2">
      <c r="B42" s="1179" t="s">
        <v>1716</v>
      </c>
      <c r="C42" s="1181"/>
      <c r="D42" s="1181"/>
      <c r="E42" s="1181"/>
      <c r="F42" s="1181"/>
      <c r="G42" s="1181"/>
      <c r="H42" s="1181"/>
      <c r="I42" s="1181"/>
      <c r="J42" s="1181"/>
      <c r="K42" s="1181"/>
      <c r="L42" s="1181"/>
      <c r="M42" s="1181"/>
    </row>
    <row r="43" spans="2:14" ht="11.25" customHeight="1" x14ac:dyDescent="0.2">
      <c r="B43" s="1121" t="s">
        <v>1571</v>
      </c>
      <c r="C43" s="1183"/>
      <c r="D43" s="1184"/>
      <c r="E43" s="1121"/>
      <c r="F43" s="1121"/>
      <c r="G43" s="1121"/>
      <c r="H43" s="1121"/>
      <c r="I43" s="1121"/>
      <c r="J43" s="1121"/>
      <c r="K43" s="1185"/>
      <c r="L43" s="1185"/>
      <c r="M43" s="1121"/>
    </row>
    <row r="44" spans="2:14" ht="3.95" customHeight="1" x14ac:dyDescent="0.2">
      <c r="B44" s="1121"/>
      <c r="C44" s="1183"/>
      <c r="D44" s="1184"/>
      <c r="E44" s="1121"/>
      <c r="F44" s="1121"/>
      <c r="G44" s="1121"/>
      <c r="H44" s="1121"/>
      <c r="I44" s="1121"/>
      <c r="J44" s="1121"/>
      <c r="K44" s="1185"/>
      <c r="L44" s="1185"/>
      <c r="M44" s="1121"/>
    </row>
    <row r="45" spans="2:14" ht="11.25" customHeight="1" x14ac:dyDescent="0.2">
      <c r="B45" s="1186" t="s">
        <v>1717</v>
      </c>
      <c r="C45" s="1183"/>
      <c r="D45" s="1184"/>
      <c r="E45" s="1121"/>
      <c r="F45" s="1121"/>
      <c r="G45" s="1121"/>
      <c r="H45" s="1121"/>
      <c r="I45" s="1121"/>
      <c r="J45" s="1121"/>
      <c r="K45" s="1185"/>
      <c r="L45" s="1185"/>
      <c r="M45" s="1121"/>
    </row>
    <row r="46" spans="2:14" ht="3.95" customHeight="1" x14ac:dyDescent="0.2">
      <c r="B46" s="1186"/>
      <c r="C46" s="1183"/>
      <c r="D46" s="1184"/>
      <c r="E46" s="1121"/>
      <c r="F46" s="1121"/>
      <c r="G46" s="1121"/>
      <c r="H46" s="1121"/>
      <c r="I46" s="1121"/>
      <c r="J46" s="1121"/>
      <c r="K46" s="1185"/>
      <c r="L46" s="1185"/>
      <c r="M46" s="1121"/>
    </row>
    <row r="47" spans="2:14" ht="11.25" customHeight="1" x14ac:dyDescent="0.2">
      <c r="B47" s="1187" t="s">
        <v>1718</v>
      </c>
      <c r="C47" s="1183"/>
      <c r="D47" s="1184"/>
      <c r="E47" s="1121"/>
      <c r="F47" s="1121"/>
      <c r="G47" s="1121"/>
      <c r="H47" s="1121"/>
      <c r="I47" s="1121"/>
      <c r="J47" s="1121"/>
      <c r="K47" s="1185"/>
      <c r="L47" s="1185"/>
      <c r="M47" s="1121"/>
    </row>
    <row r="48" spans="2:14" ht="11.25" customHeight="1" x14ac:dyDescent="0.2">
      <c r="B48" s="1121" t="s">
        <v>1572</v>
      </c>
      <c r="G48" s="295"/>
      <c r="H48" s="295"/>
      <c r="I48" s="295"/>
      <c r="J48" s="295"/>
    </row>
    <row r="49" spans="2:13" ht="11.1" customHeight="1" x14ac:dyDescent="0.2">
      <c r="B49" s="1121"/>
      <c r="G49" s="295"/>
      <c r="H49" s="295"/>
      <c r="I49" s="295"/>
      <c r="J49" s="295"/>
    </row>
    <row r="50" spans="2:13" ht="11.1" customHeight="1" x14ac:dyDescent="0.2">
      <c r="B50" s="1121"/>
      <c r="G50" s="295"/>
      <c r="H50" s="295"/>
      <c r="I50" s="295"/>
      <c r="J50" s="295"/>
    </row>
    <row r="51" spans="2:13" ht="13.5" customHeight="1" x14ac:dyDescent="0.2">
      <c r="M51" s="1188"/>
    </row>
    <row r="52" spans="2:13" ht="13.5" customHeight="1" x14ac:dyDescent="0.2">
      <c r="M52" s="1188"/>
    </row>
    <row r="53" spans="2:13" ht="13.5" customHeight="1" x14ac:dyDescent="0.2">
      <c r="M53" s="1188"/>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4" zoomScale="120" zoomScaleNormal="120" workbookViewId="0">
      <selection activeCell="M13" sqref="M13"/>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1" t="str">
        <f>'Single Audit Cover'!A7</f>
        <v xml:space="preserve">  Sandwich CUSD 430</v>
      </c>
      <c r="B1" s="2671"/>
      <c r="C1" s="2671"/>
      <c r="D1" s="2671"/>
      <c r="E1" s="2671"/>
      <c r="F1" s="2671"/>
    </row>
    <row r="2" spans="1:7" ht="13.5" customHeight="1" x14ac:dyDescent="0.2">
      <c r="A2" s="2667">
        <f>'Single Audit Cover'!E7</f>
        <v>16019430026</v>
      </c>
      <c r="B2" s="2667"/>
      <c r="C2" s="2667"/>
      <c r="D2" s="2667"/>
      <c r="E2" s="2667"/>
      <c r="F2" s="2667"/>
      <c r="G2" s="1096"/>
    </row>
    <row r="3" spans="1:7" ht="15.75" customHeight="1" x14ac:dyDescent="0.2">
      <c r="A3" s="2672" t="s">
        <v>1262</v>
      </c>
      <c r="B3" s="2672"/>
      <c r="C3" s="2672"/>
      <c r="D3" s="2672"/>
      <c r="E3" s="2672"/>
      <c r="F3" s="2672"/>
    </row>
    <row r="4" spans="1:7" ht="13.5" customHeight="1" x14ac:dyDescent="0.2">
      <c r="A4" s="2673" t="str">
        <f>'Single Audit Cover'!A4</f>
        <v>Year Ending June 30, 2020</v>
      </c>
      <c r="B4" s="2673"/>
      <c r="C4" s="2673"/>
      <c r="D4" s="2673"/>
      <c r="E4" s="2673"/>
      <c r="F4" s="2673"/>
    </row>
    <row r="5" spans="1:7" ht="8.25" customHeight="1" x14ac:dyDescent="0.2">
      <c r="C5" s="295"/>
      <c r="D5" s="295"/>
    </row>
    <row r="6" spans="1:7" ht="13.5" customHeight="1" x14ac:dyDescent="0.2">
      <c r="A6" s="1097" t="s">
        <v>1708</v>
      </c>
      <c r="C6" s="295"/>
      <c r="D6" s="295"/>
    </row>
    <row r="7" spans="1:7" ht="60.95" customHeight="1" x14ac:dyDescent="0.2">
      <c r="A7" s="2670" t="s">
        <v>2208</v>
      </c>
      <c r="B7" s="2670"/>
      <c r="C7" s="2670"/>
      <c r="D7" s="2670"/>
      <c r="E7" s="2670"/>
      <c r="F7" s="2670"/>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2043</v>
      </c>
      <c r="F10" s="1101" t="s">
        <v>99</v>
      </c>
      <c r="G10" s="1099"/>
    </row>
    <row r="11" spans="1:7" ht="12" customHeight="1" x14ac:dyDescent="0.2">
      <c r="A11" s="1100"/>
      <c r="B11" s="1101"/>
      <c r="C11" s="1574"/>
      <c r="D11" s="1101"/>
      <c r="E11" s="1574"/>
      <c r="F11" s="1101"/>
      <c r="G11" s="1099"/>
    </row>
    <row r="12" spans="1:7" x14ac:dyDescent="0.2">
      <c r="A12" s="1097" t="s">
        <v>1573</v>
      </c>
      <c r="C12" s="1081"/>
      <c r="D12" s="1081"/>
    </row>
    <row r="13" spans="1:7" ht="15" customHeight="1" x14ac:dyDescent="0.2">
      <c r="A13" s="2670" t="s">
        <v>2218</v>
      </c>
      <c r="B13" s="2670"/>
      <c r="C13" s="2670"/>
      <c r="D13" s="2670"/>
      <c r="E13" s="2670"/>
      <c r="F13" s="2670"/>
    </row>
    <row r="14" spans="1:7" ht="9.75" customHeight="1" x14ac:dyDescent="0.2">
      <c r="C14" s="1081"/>
      <c r="D14" s="1081"/>
    </row>
    <row r="15" spans="1:7" ht="13.5" customHeight="1" x14ac:dyDescent="0.2">
      <c r="C15" s="1524" t="s">
        <v>1261</v>
      </c>
      <c r="D15" s="2675" t="s">
        <v>1260</v>
      </c>
      <c r="E15" s="2675"/>
      <c r="F15" s="2675"/>
    </row>
    <row r="16" spans="1:7" ht="13.5" customHeight="1" x14ac:dyDescent="0.2">
      <c r="A16" s="1103"/>
      <c r="B16" s="1097" t="s">
        <v>1259</v>
      </c>
      <c r="C16" s="1524" t="s">
        <v>1258</v>
      </c>
      <c r="D16" s="2676" t="s">
        <v>1574</v>
      </c>
      <c r="E16" s="2676"/>
      <c r="F16" s="2676"/>
    </row>
    <row r="17" spans="1:6" ht="20.45" customHeight="1" x14ac:dyDescent="0.2">
      <c r="A17" s="1104"/>
      <c r="B17" s="1105" t="s">
        <v>2217</v>
      </c>
      <c r="C17" s="1106"/>
      <c r="D17" s="2674"/>
      <c r="E17" s="2674"/>
      <c r="F17" s="2674"/>
    </row>
    <row r="18" spans="1:6" ht="20.65" customHeight="1" x14ac:dyDescent="0.2">
      <c r="A18" s="1104"/>
      <c r="B18" s="1105"/>
      <c r="C18" s="1106"/>
      <c r="D18" s="2674"/>
      <c r="E18" s="2674"/>
      <c r="F18" s="2674"/>
    </row>
    <row r="19" spans="1:6" ht="20.65" customHeight="1" x14ac:dyDescent="0.2">
      <c r="A19" s="1104"/>
      <c r="B19" s="1105"/>
      <c r="C19" s="1106"/>
      <c r="D19" s="2674"/>
      <c r="E19" s="2674"/>
      <c r="F19" s="2674"/>
    </row>
    <row r="20" spans="1:6" ht="20.65" customHeight="1" x14ac:dyDescent="0.2">
      <c r="A20" s="1104"/>
      <c r="B20" s="1105"/>
      <c r="C20" s="1106"/>
      <c r="D20" s="2674"/>
      <c r="E20" s="2674"/>
      <c r="F20" s="2674"/>
    </row>
    <row r="21" spans="1:6" ht="20.65" customHeight="1" x14ac:dyDescent="0.2">
      <c r="A21" s="1104"/>
      <c r="B21" s="1105"/>
      <c r="C21" s="1106"/>
      <c r="D21" s="2674"/>
      <c r="E21" s="2674"/>
      <c r="F21" s="2674"/>
    </row>
    <row r="22" spans="1:6" ht="20.65" customHeight="1" x14ac:dyDescent="0.2">
      <c r="A22" s="1104"/>
      <c r="B22" s="1105"/>
      <c r="C22" s="1106"/>
      <c r="D22" s="2674"/>
      <c r="E22" s="2674"/>
      <c r="F22" s="2674"/>
    </row>
    <row r="23" spans="1:6" ht="20.65" customHeight="1" x14ac:dyDescent="0.2">
      <c r="A23" s="1104"/>
      <c r="B23" s="1105"/>
      <c r="C23" s="1106"/>
      <c r="D23" s="2674"/>
      <c r="E23" s="2674"/>
      <c r="F23" s="2674"/>
    </row>
    <row r="24" spans="1:6" ht="20.65" customHeight="1" x14ac:dyDescent="0.2">
      <c r="A24" s="1104"/>
      <c r="B24" s="1105"/>
      <c r="C24" s="1106"/>
      <c r="D24" s="2674"/>
      <c r="E24" s="2674"/>
      <c r="F24" s="2674"/>
    </row>
    <row r="25" spans="1:6" ht="20.65" customHeight="1" x14ac:dyDescent="0.2">
      <c r="A25" s="1104"/>
      <c r="B25" s="1105"/>
      <c r="C25" s="1106"/>
      <c r="D25" s="2674"/>
      <c r="E25" s="2674"/>
      <c r="F25" s="2674"/>
    </row>
    <row r="26" spans="1:6" ht="20.65" customHeight="1" x14ac:dyDescent="0.2">
      <c r="A26" s="1104"/>
      <c r="B26" s="1105"/>
      <c r="C26" s="1106"/>
      <c r="D26" s="2674"/>
      <c r="E26" s="2674"/>
      <c r="F26" s="2674"/>
    </row>
    <row r="27" spans="1:6" ht="20.65" customHeight="1" x14ac:dyDescent="0.2">
      <c r="A27" s="1104"/>
      <c r="B27" s="1105"/>
      <c r="C27" s="1106"/>
      <c r="D27" s="2674"/>
      <c r="E27" s="2674"/>
      <c r="F27" s="2674"/>
    </row>
    <row r="28" spans="1:6" ht="20.65" customHeight="1" x14ac:dyDescent="0.2">
      <c r="A28" s="1104"/>
      <c r="B28" s="1105"/>
      <c r="C28" s="1106"/>
      <c r="D28" s="2674"/>
      <c r="E28" s="2674"/>
      <c r="F28" s="2674"/>
    </row>
    <row r="29" spans="1:6" ht="20.65" customHeight="1" x14ac:dyDescent="0.2">
      <c r="A29" s="1104"/>
      <c r="B29" s="1105"/>
      <c r="C29" s="1106"/>
      <c r="D29" s="2674"/>
      <c r="E29" s="2674"/>
      <c r="F29" s="2674"/>
    </row>
    <row r="30" spans="1:6" ht="12" customHeight="1" x14ac:dyDescent="0.2">
      <c r="A30" s="306"/>
      <c r="B30" s="306"/>
      <c r="C30" s="1278"/>
      <c r="D30" s="1575"/>
      <c r="E30" s="1107"/>
    </row>
    <row r="31" spans="1:6" ht="12" customHeight="1" x14ac:dyDescent="0.2">
      <c r="A31" s="1108" t="s">
        <v>1535</v>
      </c>
      <c r="B31" s="306"/>
      <c r="C31" s="1278"/>
      <c r="D31" s="1575"/>
      <c r="E31" s="1107"/>
    </row>
    <row r="32" spans="1:6" ht="30" customHeight="1" x14ac:dyDescent="0.2">
      <c r="A32" s="2678" t="s">
        <v>2209</v>
      </c>
      <c r="B32" s="2678"/>
      <c r="C32" s="2678"/>
      <c r="D32" s="2678"/>
      <c r="E32" s="2678"/>
      <c r="F32" s="2678"/>
    </row>
    <row r="33" spans="1:6" ht="13.5" customHeight="1" x14ac:dyDescent="0.2">
      <c r="A33" s="306" t="s">
        <v>1420</v>
      </c>
      <c r="B33" s="306"/>
      <c r="C33" s="1109">
        <v>32156</v>
      </c>
      <c r="D33" s="1575"/>
      <c r="E33" s="1107"/>
    </row>
    <row r="34" spans="1:6" ht="13.5" customHeight="1" x14ac:dyDescent="0.2">
      <c r="A34" s="306" t="s">
        <v>1811</v>
      </c>
      <c r="B34" s="306"/>
      <c r="C34" s="1110">
        <v>8499</v>
      </c>
      <c r="D34" s="1575" t="s">
        <v>1575</v>
      </c>
      <c r="E34" s="2679">
        <f>+C33+C34</f>
        <v>40655</v>
      </c>
      <c r="F34" s="2680"/>
    </row>
    <row r="35" spans="1:6" ht="12" customHeight="1" x14ac:dyDescent="0.2">
      <c r="A35" s="306"/>
      <c r="B35" s="306"/>
      <c r="C35" s="1576"/>
      <c r="D35" s="1575"/>
      <c r="E35" s="1111"/>
      <c r="F35" s="1112"/>
    </row>
    <row r="36" spans="1:6" ht="13.5" customHeight="1" x14ac:dyDescent="0.2">
      <c r="A36" s="1108" t="s">
        <v>1536</v>
      </c>
      <c r="B36" s="306"/>
      <c r="C36" s="1278"/>
      <c r="D36" s="1575"/>
      <c r="E36" s="1107"/>
    </row>
    <row r="37" spans="1:6" ht="14.25" customHeight="1" x14ac:dyDescent="0.2">
      <c r="A37" s="306" t="s">
        <v>1470</v>
      </c>
      <c r="B37" s="306"/>
      <c r="C37" s="1577"/>
      <c r="D37" s="1575"/>
      <c r="E37" s="1107"/>
    </row>
    <row r="38" spans="1:6" ht="14.25" customHeight="1" x14ac:dyDescent="0.2">
      <c r="A38" s="306"/>
      <c r="B38" s="306" t="s">
        <v>1421</v>
      </c>
      <c r="C38" s="1113">
        <v>0</v>
      </c>
      <c r="D38" s="1575"/>
      <c r="E38" s="1107"/>
    </row>
    <row r="39" spans="1:6" ht="14.25" customHeight="1" x14ac:dyDescent="0.2">
      <c r="A39" s="306"/>
      <c r="B39" s="306" t="s">
        <v>1422</v>
      </c>
      <c r="C39" s="1113">
        <v>0</v>
      </c>
      <c r="D39" s="1575"/>
      <c r="E39" s="1107"/>
    </row>
    <row r="40" spans="1:6" ht="14.25" customHeight="1" x14ac:dyDescent="0.2">
      <c r="A40" s="306"/>
      <c r="B40" s="306" t="s">
        <v>1423</v>
      </c>
      <c r="C40" s="1113">
        <v>0</v>
      </c>
      <c r="D40" s="1575"/>
      <c r="E40" s="1107"/>
    </row>
    <row r="41" spans="1:6" ht="14.25" customHeight="1" x14ac:dyDescent="0.2">
      <c r="A41" s="306"/>
      <c r="B41" s="306" t="s">
        <v>1424</v>
      </c>
      <c r="C41" s="1113">
        <v>0</v>
      </c>
      <c r="D41" s="1575"/>
      <c r="E41" s="1107"/>
    </row>
    <row r="42" spans="1:6" ht="14.25" customHeight="1" x14ac:dyDescent="0.2">
      <c r="A42" s="306" t="s">
        <v>1425</v>
      </c>
      <c r="B42" s="306"/>
      <c r="C42" s="1573">
        <v>0</v>
      </c>
      <c r="D42" s="1575"/>
      <c r="E42" s="1107"/>
    </row>
    <row r="43" spans="1:6" ht="14.25" customHeight="1" x14ac:dyDescent="0.2">
      <c r="A43" s="306" t="s">
        <v>1426</v>
      </c>
      <c r="B43" s="306"/>
      <c r="C43" s="1114" t="s">
        <v>568</v>
      </c>
      <c r="D43" s="1575"/>
      <c r="E43" s="1107"/>
    </row>
    <row r="44" spans="1:6" ht="14.25" customHeight="1" x14ac:dyDescent="0.2">
      <c r="A44" s="306"/>
      <c r="B44" s="306"/>
      <c r="C44" s="1577" t="s">
        <v>1427</v>
      </c>
      <c r="D44" s="1575"/>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1" t="s">
        <v>1576</v>
      </c>
      <c r="C49" s="2681"/>
      <c r="D49" s="2681"/>
      <c r="E49" s="1213"/>
    </row>
    <row r="50" spans="1:5" s="1121" customFormat="1" ht="3.75" customHeight="1" x14ac:dyDescent="0.2">
      <c r="A50" s="1120"/>
      <c r="B50" s="1523"/>
      <c r="C50" s="1523"/>
      <c r="D50" s="1523"/>
      <c r="E50" s="1213"/>
    </row>
    <row r="51" spans="1:5" s="1121" customFormat="1" ht="20.25" customHeight="1" x14ac:dyDescent="0.2">
      <c r="A51" s="1122">
        <v>6</v>
      </c>
      <c r="B51" s="2677" t="s">
        <v>1537</v>
      </c>
      <c r="C51" s="2677"/>
      <c r="D51" s="2677"/>
    </row>
    <row r="52" spans="1:5" ht="14.25" customHeight="1" x14ac:dyDescent="0.2">
      <c r="A52" s="1122"/>
      <c r="B52" s="2677"/>
      <c r="C52" s="2677"/>
      <c r="D52" s="26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8" zoomScale="110" zoomScaleNormal="110" workbookViewId="0">
      <selection activeCell="N42" sqref="N4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6" t="str">
        <f>'Single Audit Cover'!A7</f>
        <v xml:space="preserve">  Sandwich CUSD 430</v>
      </c>
      <c r="C1" s="2687"/>
      <c r="D1" s="2687"/>
      <c r="E1" s="2687"/>
      <c r="F1" s="2687"/>
      <c r="G1" s="2687"/>
      <c r="H1" s="2687"/>
      <c r="I1" s="2687"/>
      <c r="J1" s="1223"/>
    </row>
    <row r="2" spans="2:10" s="295" customFormat="1" ht="12.75" customHeight="1" x14ac:dyDescent="0.2">
      <c r="B2" s="2688">
        <f>'Single Audit Cover'!E7</f>
        <v>16019430026</v>
      </c>
      <c r="C2" s="2689"/>
      <c r="D2" s="2689"/>
      <c r="E2" s="2689"/>
      <c r="F2" s="2689"/>
      <c r="G2" s="2689"/>
      <c r="H2" s="2689"/>
      <c r="I2" s="2689"/>
      <c r="J2" s="1223"/>
    </row>
    <row r="3" spans="2:10" s="295" customFormat="1" ht="12.75" customHeight="1" x14ac:dyDescent="0.2">
      <c r="B3" s="2690" t="s">
        <v>1276</v>
      </c>
      <c r="C3" s="2691"/>
      <c r="D3" s="2691"/>
      <c r="E3" s="2691"/>
      <c r="F3" s="2691"/>
      <c r="G3" s="2691"/>
      <c r="H3" s="2691"/>
      <c r="I3" s="2691"/>
      <c r="J3" s="1224"/>
    </row>
    <row r="4" spans="2:10" s="295" customFormat="1" ht="12.75" customHeight="1" x14ac:dyDescent="0.2">
      <c r="B4" s="2690" t="str">
        <f>'Single Audit Cover'!A4</f>
        <v>Year Ending June 30, 2020</v>
      </c>
      <c r="C4" s="2691"/>
      <c r="D4" s="2691"/>
      <c r="E4" s="2691"/>
      <c r="F4" s="2691"/>
      <c r="G4" s="2691"/>
      <c r="H4" s="2691"/>
      <c r="I4" s="2691"/>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0" t="s">
        <v>1275</v>
      </c>
      <c r="C7" s="2691"/>
      <c r="D7" s="2691"/>
      <c r="E7" s="2691"/>
      <c r="F7" s="2691"/>
      <c r="G7" s="2691"/>
      <c r="H7" s="2691"/>
      <c r="I7" s="2691"/>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2" t="s">
        <v>2163</v>
      </c>
      <c r="D11" s="2692"/>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2030</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t="s">
        <v>2030</v>
      </c>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2030</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2030</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2030</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3" t="s">
        <v>2163</v>
      </c>
      <c r="E29" s="2693"/>
      <c r="F29" s="2693"/>
      <c r="G29" s="2693"/>
      <c r="H29" s="2693"/>
      <c r="I29" s="2693"/>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t="s">
        <v>2030</v>
      </c>
      <c r="F33" s="1121" t="s">
        <v>879</v>
      </c>
      <c r="G33" s="1239"/>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694" t="s">
        <v>1728</v>
      </c>
      <c r="D37" s="2695"/>
      <c r="E37" s="2695"/>
      <c r="F37" s="2696"/>
      <c r="G37" s="2694" t="s">
        <v>1578</v>
      </c>
      <c r="H37" s="2695"/>
      <c r="I37" s="2696"/>
    </row>
    <row r="38" spans="2:9" ht="16.5" customHeight="1" x14ac:dyDescent="0.2">
      <c r="B38" s="1245" t="s">
        <v>2210</v>
      </c>
      <c r="C38" s="2682" t="s">
        <v>2211</v>
      </c>
      <c r="D38" s="2683"/>
      <c r="E38" s="2683"/>
      <c r="F38" s="2684"/>
      <c r="G38" s="2697">
        <v>557022</v>
      </c>
      <c r="H38" s="2698"/>
      <c r="I38" s="2699"/>
    </row>
    <row r="39" spans="2:9" ht="16.5" customHeight="1" x14ac:dyDescent="0.2">
      <c r="B39" s="1245"/>
      <c r="C39" s="2682"/>
      <c r="D39" s="2683"/>
      <c r="E39" s="2683"/>
      <c r="F39" s="2684"/>
      <c r="G39" s="2685"/>
      <c r="H39" s="2685"/>
      <c r="I39" s="2685"/>
    </row>
    <row r="40" spans="2:9" ht="16.5" customHeight="1" x14ac:dyDescent="0.2">
      <c r="B40" s="1245"/>
      <c r="C40" s="2682"/>
      <c r="D40" s="2683"/>
      <c r="E40" s="2683"/>
      <c r="F40" s="2684"/>
      <c r="G40" s="2685"/>
      <c r="H40" s="2685"/>
      <c r="I40" s="2685"/>
    </row>
    <row r="41" spans="2:9" ht="16.5" customHeight="1" x14ac:dyDescent="0.2">
      <c r="B41" s="1245"/>
      <c r="C41" s="2682"/>
      <c r="D41" s="2683"/>
      <c r="E41" s="2683"/>
      <c r="F41" s="2684"/>
      <c r="G41" s="2685"/>
      <c r="H41" s="2685"/>
      <c r="I41" s="2685"/>
    </row>
    <row r="42" spans="2:9" ht="16.5" customHeight="1" x14ac:dyDescent="0.2">
      <c r="B42" s="1245"/>
      <c r="C42" s="2682"/>
      <c r="D42" s="2683"/>
      <c r="E42" s="2683"/>
      <c r="F42" s="2684"/>
      <c r="G42" s="2685"/>
      <c r="H42" s="2685"/>
      <c r="I42" s="2685"/>
    </row>
    <row r="43" spans="2:9" ht="16.5" customHeight="1" x14ac:dyDescent="0.2">
      <c r="B43" s="1245"/>
      <c r="C43" s="2700" t="s">
        <v>1579</v>
      </c>
      <c r="D43" s="2701"/>
      <c r="E43" s="2701"/>
      <c r="F43" s="2702"/>
      <c r="G43" s="2703">
        <f>SUM(G38:I42)</f>
        <v>557022</v>
      </c>
      <c r="H43" s="2703"/>
      <c r="I43" s="2703"/>
    </row>
    <row r="44" spans="2:9" ht="12.75" customHeight="1" x14ac:dyDescent="0.2"/>
    <row r="45" spans="2:9" ht="12.75" customHeight="1" x14ac:dyDescent="0.2">
      <c r="B45" s="1984" t="str">
        <f>"Total Federal Expenditures for 7/1/"&amp;MID('AFR20'!E2,3,2)-1&amp;"-6/30/"&amp;MID('AFR20'!E2,3,2)</f>
        <v>Total Federal Expenditures for 7/1/19-6/30/20</v>
      </c>
      <c r="C45" s="1985"/>
      <c r="D45" s="2704">
        <v>1309956</v>
      </c>
      <c r="E45" s="2705"/>
    </row>
    <row r="46" spans="2:9" ht="5.25" customHeight="1" x14ac:dyDescent="0.2">
      <c r="B46" s="1246"/>
      <c r="D46" s="1247"/>
      <c r="E46" s="1248"/>
    </row>
    <row r="47" spans="2:9" ht="12.75" customHeight="1" x14ac:dyDescent="0.2">
      <c r="B47" s="1121" t="s">
        <v>1580</v>
      </c>
      <c r="C47" s="1121"/>
      <c r="D47" s="1249">
        <f>+G43/D45</f>
        <v>0.4252219158506087</v>
      </c>
      <c r="E47" s="1250"/>
      <c r="F47" s="1251"/>
      <c r="I47" s="1252"/>
    </row>
    <row r="48" spans="2:9" ht="9.9499999999999993" customHeight="1" x14ac:dyDescent="0.2"/>
    <row r="49" spans="1:9" x14ac:dyDescent="0.2">
      <c r="B49" s="1183" t="s">
        <v>1264</v>
      </c>
      <c r="C49" s="1103"/>
      <c r="D49" s="1103"/>
      <c r="E49" s="2706">
        <v>750000</v>
      </c>
      <c r="F49" s="2706"/>
      <c r="G49" s="2706"/>
      <c r="H49" s="300"/>
    </row>
    <row r="51" spans="1:9" ht="13.5" customHeight="1" x14ac:dyDescent="0.2">
      <c r="B51" s="1183" t="s">
        <v>1263</v>
      </c>
      <c r="C51" s="1103"/>
      <c r="E51" s="1239"/>
      <c r="F51" s="1121" t="s">
        <v>879</v>
      </c>
      <c r="G51" s="1239" t="s">
        <v>2030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4" zoomScale="110" zoomScaleNormal="110" workbookViewId="0">
      <selection activeCell="Q19" sqref="Q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6" t="str">
        <f>'Single Audit Cover'!A7</f>
        <v xml:space="preserve">  Sandwich CUSD 430</v>
      </c>
      <c r="C1" s="2686"/>
      <c r="D1" s="2686"/>
      <c r="E1" s="2686"/>
      <c r="F1" s="2686"/>
      <c r="G1" s="2686"/>
      <c r="H1" s="2686"/>
      <c r="I1" s="2686"/>
      <c r="J1" s="2686"/>
      <c r="K1" s="2686"/>
      <c r="L1" s="1189"/>
      <c r="M1" s="1189"/>
    </row>
    <row r="2" spans="1:13" ht="12" customHeight="1" x14ac:dyDescent="0.2">
      <c r="B2" s="2688">
        <f>'Single Audit Cover'!E7</f>
        <v>16019430026</v>
      </c>
      <c r="C2" s="2688"/>
      <c r="D2" s="2688"/>
      <c r="E2" s="2688"/>
      <c r="F2" s="2688"/>
      <c r="G2" s="2688"/>
      <c r="H2" s="2688"/>
      <c r="I2" s="2688"/>
      <c r="J2" s="2688"/>
      <c r="K2" s="2688"/>
      <c r="L2" s="1190"/>
      <c r="M2" s="1191"/>
    </row>
    <row r="3" spans="1:13" ht="10.35" customHeight="1" x14ac:dyDescent="0.2">
      <c r="B3" s="2708" t="s">
        <v>1276</v>
      </c>
      <c r="C3" s="2708"/>
      <c r="D3" s="2708"/>
      <c r="E3" s="2708"/>
      <c r="F3" s="2708"/>
      <c r="G3" s="2708"/>
      <c r="H3" s="2708"/>
      <c r="I3" s="2708"/>
      <c r="J3" s="2708"/>
      <c r="K3" s="2708"/>
      <c r="L3" s="1192"/>
      <c r="M3" s="1192"/>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v>1</v>
      </c>
      <c r="E10" s="300"/>
      <c r="F10" s="1201" t="s">
        <v>1286</v>
      </c>
      <c r="G10" s="1202"/>
      <c r="H10" s="1203" t="s">
        <v>1285</v>
      </c>
      <c r="I10" s="1202" t="s">
        <v>2030</v>
      </c>
      <c r="J10" s="1204" t="s">
        <v>1284</v>
      </c>
      <c r="K10" s="300"/>
      <c r="L10" s="1196"/>
    </row>
    <row r="11" spans="1:13" ht="13.5" customHeight="1" x14ac:dyDescent="0.2">
      <c r="B11" s="300"/>
      <c r="C11" s="300"/>
      <c r="D11" s="300"/>
      <c r="E11" s="300"/>
      <c r="F11" s="300"/>
      <c r="G11" s="1198"/>
      <c r="H11" s="300"/>
      <c r="I11" s="1205" t="s">
        <v>1283</v>
      </c>
      <c r="J11" s="300"/>
      <c r="K11" s="1206">
        <v>2016</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t="s">
        <v>2164</v>
      </c>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t="s">
        <v>2212</v>
      </c>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1" t="s">
        <v>2165</v>
      </c>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t="s">
        <v>2166</v>
      </c>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t="s">
        <v>2167</v>
      </c>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7" t="s">
        <v>2168</v>
      </c>
      <c r="C29" s="2707"/>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7" t="s">
        <v>2169</v>
      </c>
      <c r="C32" s="2707"/>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2779E-BC86-4531-B409-334B5ED6A3DC}">
  <sheetPr>
    <tabColor rgb="FF92D050"/>
  </sheetPr>
  <dimension ref="A1:M41"/>
  <sheetViews>
    <sheetView showGridLines="0" zoomScale="110" zoomScaleNormal="110" workbookViewId="0">
      <selection activeCell="R26" sqref="R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6" t="str">
        <f>'Single Audit Cover'!A7</f>
        <v xml:space="preserve">  Sandwich CUSD 430</v>
      </c>
      <c r="C1" s="2686"/>
      <c r="D1" s="2686"/>
      <c r="E1" s="2686"/>
      <c r="F1" s="2686"/>
      <c r="G1" s="2686"/>
      <c r="H1" s="2686"/>
      <c r="I1" s="2686"/>
      <c r="J1" s="2686"/>
      <c r="K1" s="2686"/>
      <c r="L1" s="1189"/>
      <c r="M1" s="1189"/>
    </row>
    <row r="2" spans="1:13" ht="12" customHeight="1" x14ac:dyDescent="0.2">
      <c r="B2" s="2688">
        <f>'Single Audit Cover'!E7</f>
        <v>16019430026</v>
      </c>
      <c r="C2" s="2688"/>
      <c r="D2" s="2688"/>
      <c r="E2" s="2688"/>
      <c r="F2" s="2688"/>
      <c r="G2" s="2688"/>
      <c r="H2" s="2688"/>
      <c r="I2" s="2688"/>
      <c r="J2" s="2688"/>
      <c r="K2" s="2688"/>
      <c r="L2" s="1190"/>
      <c r="M2" s="1191"/>
    </row>
    <row r="3" spans="1:13" ht="10.35" customHeight="1" x14ac:dyDescent="0.2">
      <c r="B3" s="2708" t="s">
        <v>1276</v>
      </c>
      <c r="C3" s="2708"/>
      <c r="D3" s="2708"/>
      <c r="E3" s="2708"/>
      <c r="F3" s="2708"/>
      <c r="G3" s="2708"/>
      <c r="H3" s="2708"/>
      <c r="I3" s="2708"/>
      <c r="J3" s="2708"/>
      <c r="K3" s="2708"/>
      <c r="L3" s="1988"/>
      <c r="M3" s="1988"/>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v>2</v>
      </c>
      <c r="E10" s="300"/>
      <c r="F10" s="1201" t="s">
        <v>1286</v>
      </c>
      <c r="G10" s="1202"/>
      <c r="H10" s="1203" t="s">
        <v>1285</v>
      </c>
      <c r="I10" s="1202" t="s">
        <v>2030</v>
      </c>
      <c r="J10" s="1204" t="s">
        <v>1284</v>
      </c>
      <c r="K10" s="300"/>
      <c r="L10" s="1196"/>
    </row>
    <row r="11" spans="1:13" ht="13.5" customHeight="1" x14ac:dyDescent="0.2">
      <c r="B11" s="300"/>
      <c r="C11" s="300"/>
      <c r="D11" s="300"/>
      <c r="E11" s="300"/>
      <c r="F11" s="300"/>
      <c r="G11" s="1198"/>
      <c r="H11" s="300"/>
      <c r="I11" s="1205" t="s">
        <v>1283</v>
      </c>
      <c r="J11" s="300"/>
      <c r="K11" s="1206">
        <v>2016</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t="s">
        <v>2170</v>
      </c>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t="s">
        <v>2171</v>
      </c>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1" t="s">
        <v>2172</v>
      </c>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t="s">
        <v>2173</v>
      </c>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t="s">
        <v>2174</v>
      </c>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7" t="s">
        <v>2175</v>
      </c>
      <c r="C29" s="2707"/>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7" t="s">
        <v>2169</v>
      </c>
      <c r="C32" s="2707"/>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73BDF-F97C-411F-8442-C1F638D733EB}">
  <sheetPr>
    <tabColor rgb="FF92D050"/>
  </sheetPr>
  <dimension ref="A1:M41"/>
  <sheetViews>
    <sheetView showGridLines="0" topLeftCell="A20" zoomScale="110" zoomScaleNormal="110" workbookViewId="0">
      <selection activeCell="U51" sqref="U51:U5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6" t="str">
        <f>'Single Audit Cover'!A7</f>
        <v xml:space="preserve">  Sandwich CUSD 430</v>
      </c>
      <c r="C1" s="2686"/>
      <c r="D1" s="2686"/>
      <c r="E1" s="2686"/>
      <c r="F1" s="2686"/>
      <c r="G1" s="2686"/>
      <c r="H1" s="2686"/>
      <c r="I1" s="2686"/>
      <c r="J1" s="2686"/>
      <c r="K1" s="2686"/>
      <c r="L1" s="1189"/>
      <c r="M1" s="1189"/>
    </row>
    <row r="2" spans="1:13" ht="12" customHeight="1" x14ac:dyDescent="0.2">
      <c r="B2" s="2688">
        <f>'Single Audit Cover'!E7</f>
        <v>16019430026</v>
      </c>
      <c r="C2" s="2688"/>
      <c r="D2" s="2688"/>
      <c r="E2" s="2688"/>
      <c r="F2" s="2688"/>
      <c r="G2" s="2688"/>
      <c r="H2" s="2688"/>
      <c r="I2" s="2688"/>
      <c r="J2" s="2688"/>
      <c r="K2" s="2688"/>
      <c r="L2" s="1190"/>
      <c r="M2" s="1191"/>
    </row>
    <row r="3" spans="1:13" ht="10.35" customHeight="1" x14ac:dyDescent="0.2">
      <c r="B3" s="2708" t="s">
        <v>1276</v>
      </c>
      <c r="C3" s="2708"/>
      <c r="D3" s="2708"/>
      <c r="E3" s="2708"/>
      <c r="F3" s="2708"/>
      <c r="G3" s="2708"/>
      <c r="H3" s="2708"/>
      <c r="I3" s="2708"/>
      <c r="J3" s="2708"/>
      <c r="K3" s="2708"/>
      <c r="L3" s="1988"/>
      <c r="M3" s="1988"/>
    </row>
    <row r="4" spans="1:13" ht="14.25" customHeight="1" x14ac:dyDescent="0.2">
      <c r="B4" s="2709" t="str">
        <f>'Single Audit Cover'!A4</f>
        <v>Year Ending June 30, 2020</v>
      </c>
      <c r="C4" s="2709"/>
      <c r="D4" s="2709"/>
      <c r="E4" s="2709"/>
      <c r="F4" s="2709"/>
      <c r="G4" s="2709"/>
      <c r="H4" s="2709"/>
      <c r="I4" s="2709"/>
      <c r="J4" s="2709"/>
      <c r="K4" s="270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9" t="s">
        <v>1287</v>
      </c>
      <c r="C7" s="2709"/>
      <c r="D7" s="2710"/>
      <c r="E7" s="2710"/>
      <c r="F7" s="2710"/>
      <c r="G7" s="2710"/>
      <c r="H7" s="2710"/>
      <c r="I7" s="2710"/>
      <c r="J7" s="2710"/>
      <c r="K7" s="271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v>3</v>
      </c>
      <c r="E10" s="300"/>
      <c r="F10" s="1201" t="s">
        <v>1286</v>
      </c>
      <c r="G10" s="1202"/>
      <c r="H10" s="1203" t="s">
        <v>1285</v>
      </c>
      <c r="I10" s="1202" t="s">
        <v>2030</v>
      </c>
      <c r="J10" s="1204" t="s">
        <v>1284</v>
      </c>
      <c r="K10" s="300"/>
      <c r="L10" s="1196"/>
    </row>
    <row r="11" spans="1:13" ht="13.5" customHeight="1" x14ac:dyDescent="0.2">
      <c r="B11" s="300"/>
      <c r="C11" s="300"/>
      <c r="D11" s="300"/>
      <c r="E11" s="300"/>
      <c r="F11" s="300"/>
      <c r="G11" s="1198"/>
      <c r="H11" s="300"/>
      <c r="I11" s="1205" t="s">
        <v>1283</v>
      </c>
      <c r="J11" s="300"/>
      <c r="K11" s="1206">
        <v>2016</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7" t="s">
        <v>2176</v>
      </c>
      <c r="C14" s="2707"/>
      <c r="D14" s="2707"/>
      <c r="E14" s="2707"/>
      <c r="F14" s="2707"/>
      <c r="G14" s="2707"/>
      <c r="H14" s="2707"/>
      <c r="I14" s="2707"/>
      <c r="J14" s="2707"/>
      <c r="K14" s="270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7" t="s">
        <v>2177</v>
      </c>
      <c r="C17" s="2707"/>
      <c r="D17" s="2707"/>
      <c r="E17" s="2707"/>
      <c r="F17" s="2707"/>
      <c r="G17" s="2707"/>
      <c r="H17" s="2707"/>
      <c r="I17" s="2707"/>
      <c r="J17" s="2707"/>
      <c r="K17" s="2707"/>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1" t="s">
        <v>2178</v>
      </c>
      <c r="C20" s="2711"/>
      <c r="D20" s="2707"/>
      <c r="E20" s="2707"/>
      <c r="F20" s="2707"/>
      <c r="G20" s="2707"/>
      <c r="H20" s="2707"/>
      <c r="I20" s="2707"/>
      <c r="J20" s="2707"/>
      <c r="K20" s="270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7" t="s">
        <v>2179</v>
      </c>
      <c r="C23" s="2707"/>
      <c r="D23" s="2707"/>
      <c r="E23" s="2707"/>
      <c r="F23" s="2707"/>
      <c r="G23" s="2707"/>
      <c r="H23" s="2707"/>
      <c r="I23" s="2707"/>
      <c r="J23" s="2707"/>
      <c r="K23" s="270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7" t="s">
        <v>2180</v>
      </c>
      <c r="C26" s="2707"/>
      <c r="D26" s="2707"/>
      <c r="E26" s="2707"/>
      <c r="F26" s="2707"/>
      <c r="G26" s="2707"/>
      <c r="H26" s="2707"/>
      <c r="I26" s="2707"/>
      <c r="J26" s="2707"/>
      <c r="K26" s="270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7" t="s">
        <v>2181</v>
      </c>
      <c r="C29" s="2707"/>
      <c r="D29" s="2707"/>
      <c r="E29" s="2707"/>
      <c r="F29" s="2707"/>
      <c r="G29" s="2707"/>
      <c r="H29" s="2707"/>
      <c r="I29" s="2707"/>
      <c r="J29" s="2707"/>
      <c r="K29" s="270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7" t="s">
        <v>2169</v>
      </c>
      <c r="C32" s="2707"/>
      <c r="D32" s="2707"/>
      <c r="E32" s="2707"/>
      <c r="F32" s="2707"/>
      <c r="G32" s="2707"/>
      <c r="H32" s="2707"/>
      <c r="I32" s="2707"/>
      <c r="J32" s="2707"/>
      <c r="K32" s="270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Y38" sqref="Y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Sandwich CUSD 430</v>
      </c>
      <c r="C1" s="2712"/>
      <c r="D1" s="2712"/>
      <c r="E1" s="2712"/>
      <c r="F1" s="2712"/>
      <c r="G1" s="2712"/>
      <c r="H1" s="2712"/>
      <c r="I1" s="2712"/>
      <c r="J1" s="2712"/>
      <c r="K1" s="2712"/>
      <c r="L1" s="1266"/>
    </row>
    <row r="2" spans="1:12" ht="12.75" customHeight="1" x14ac:dyDescent="0.2">
      <c r="B2" s="2713">
        <f>'Single Audit Cover'!E7</f>
        <v>16019430026</v>
      </c>
      <c r="C2" s="2713"/>
      <c r="D2" s="2713"/>
      <c r="E2" s="2713"/>
      <c r="F2" s="2713"/>
      <c r="G2" s="2713"/>
      <c r="H2" s="2713"/>
      <c r="I2" s="2713"/>
      <c r="J2" s="2713"/>
      <c r="K2" s="2713"/>
      <c r="L2" s="1267"/>
    </row>
    <row r="3" spans="1:12" ht="12.75" customHeight="1" x14ac:dyDescent="0.2">
      <c r="B3" s="2708" t="s">
        <v>1276</v>
      </c>
      <c r="C3" s="2708"/>
      <c r="D3" s="2708"/>
      <c r="E3" s="2708"/>
      <c r="F3" s="2708"/>
      <c r="G3" s="2708"/>
      <c r="H3" s="2708"/>
      <c r="I3" s="2708"/>
      <c r="J3" s="2708"/>
      <c r="K3" s="2708"/>
      <c r="L3" s="1192"/>
    </row>
    <row r="4" spans="1:12" ht="12.75" customHeight="1" x14ac:dyDescent="0.2">
      <c r="B4" s="2708" t="str">
        <f>'Single Audit Cover'!A4</f>
        <v>Year Ending June 30, 2020</v>
      </c>
      <c r="C4" s="2708"/>
      <c r="D4" s="2708"/>
      <c r="E4" s="2708"/>
      <c r="F4" s="2708"/>
      <c r="G4" s="2708"/>
      <c r="H4" s="2708"/>
      <c r="I4" s="2708"/>
      <c r="J4" s="2708"/>
      <c r="K4" s="2708"/>
      <c r="L4" s="1192"/>
    </row>
    <row r="5" spans="1:12" ht="5.25" customHeight="1" x14ac:dyDescent="0.2">
      <c r="B5" s="1081" t="s">
        <v>1161</v>
      </c>
      <c r="C5" s="1081"/>
      <c r="L5" s="300"/>
    </row>
    <row r="6" spans="1:12" ht="30.75" customHeight="1" x14ac:dyDescent="0.2">
      <c r="A6" s="300"/>
      <c r="B6" s="2714" t="s">
        <v>1299</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6" t="str">
        <f>'AFR20'!$E$2&amp;"-"</f>
        <v>2020-</v>
      </c>
      <c r="D8" s="1268" t="s">
        <v>2182</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3"/>
      <c r="G12" s="2693"/>
      <c r="H12" s="2693"/>
      <c r="I12" s="2693"/>
      <c r="J12" s="2693"/>
      <c r="K12" s="2693"/>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5"/>
      <c r="E14" s="2715"/>
      <c r="F14" s="2715"/>
      <c r="H14" s="1275" t="s">
        <v>1294</v>
      </c>
      <c r="I14" s="2716"/>
      <c r="J14" s="2716"/>
      <c r="K14" s="271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6"/>
      <c r="E16" s="2716"/>
      <c r="F16" s="2716"/>
      <c r="G16" s="2716"/>
      <c r="H16" s="2716"/>
      <c r="I16" s="2716"/>
      <c r="J16" s="2716"/>
      <c r="K16" s="2716"/>
      <c r="L16" s="300"/>
    </row>
    <row r="17" spans="2:12" ht="13.5" customHeight="1" x14ac:dyDescent="0.2">
      <c r="B17" s="1201" t="s">
        <v>1292</v>
      </c>
      <c r="C17" s="1201"/>
      <c r="D17" s="2717"/>
      <c r="E17" s="2717"/>
      <c r="F17" s="2717"/>
      <c r="G17" s="2717"/>
      <c r="H17" s="2717"/>
      <c r="I17" s="2717"/>
      <c r="J17" s="2717"/>
      <c r="K17" s="271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7"/>
      <c r="C20" s="2707"/>
      <c r="D20" s="2707"/>
      <c r="E20" s="2707"/>
      <c r="F20" s="2707"/>
      <c r="G20" s="2707"/>
      <c r="H20" s="2707"/>
      <c r="I20" s="2707"/>
      <c r="J20" s="2707"/>
      <c r="K20" s="270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07"/>
      <c r="C23" s="2707"/>
      <c r="D23" s="2707"/>
      <c r="E23" s="2707"/>
      <c r="F23" s="2707"/>
      <c r="G23" s="2707"/>
      <c r="H23" s="2707"/>
      <c r="I23" s="2707"/>
      <c r="J23" s="2707"/>
      <c r="K23" s="270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07"/>
      <c r="C26" s="2707"/>
      <c r="D26" s="2707"/>
      <c r="E26" s="2707"/>
      <c r="F26" s="2707"/>
      <c r="G26" s="2707"/>
      <c r="H26" s="2707"/>
      <c r="I26" s="2707"/>
      <c r="J26" s="2707"/>
      <c r="K26" s="270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07"/>
      <c r="C29" s="2707"/>
      <c r="D29" s="2707"/>
      <c r="E29" s="2707"/>
      <c r="F29" s="2707"/>
      <c r="G29" s="2707"/>
      <c r="H29" s="2707"/>
      <c r="I29" s="2707"/>
      <c r="J29" s="2707"/>
      <c r="K29" s="270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7"/>
      <c r="C32" s="2707"/>
      <c r="D32" s="2707"/>
      <c r="E32" s="2707"/>
      <c r="F32" s="2707"/>
      <c r="G32" s="2707"/>
      <c r="H32" s="2707"/>
      <c r="I32" s="2707"/>
      <c r="J32" s="2707"/>
      <c r="K32" s="270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7"/>
      <c r="C35" s="2707"/>
      <c r="D35" s="2707"/>
      <c r="E35" s="2707"/>
      <c r="F35" s="2707"/>
      <c r="G35" s="2707"/>
      <c r="H35" s="2707"/>
      <c r="I35" s="2707"/>
      <c r="J35" s="2707"/>
      <c r="K35" s="270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7"/>
      <c r="C38" s="2707"/>
      <c r="D38" s="2707"/>
      <c r="E38" s="2707"/>
      <c r="F38" s="2707"/>
      <c r="G38" s="2707"/>
      <c r="H38" s="2707"/>
      <c r="I38" s="2707"/>
      <c r="J38" s="2707"/>
      <c r="K38" s="270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07"/>
      <c r="C41" s="2707"/>
      <c r="D41" s="2707"/>
      <c r="E41" s="2707"/>
      <c r="F41" s="2707"/>
      <c r="G41" s="2707"/>
      <c r="H41" s="2707"/>
      <c r="I41" s="2707"/>
      <c r="J41" s="2707"/>
      <c r="K41" s="270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2" sqref="D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6" t="str">
        <f>'Single Audit Cover'!A7</f>
        <v xml:space="preserve">  Sandwich CUSD 430</v>
      </c>
      <c r="C1" s="2686"/>
      <c r="D1" s="2686"/>
      <c r="E1" s="1285"/>
    </row>
    <row r="2" spans="2:5" s="1103" customFormat="1" ht="12.75" customHeight="1" x14ac:dyDescent="0.2">
      <c r="B2" s="2688">
        <f>'Single Audit Cover'!E7</f>
        <v>16019430026</v>
      </c>
      <c r="C2" s="2688"/>
      <c r="D2" s="2688"/>
      <c r="E2" s="1286"/>
    </row>
    <row r="3" spans="2:5" ht="12.75" customHeight="1" x14ac:dyDescent="0.2">
      <c r="B3" s="2708" t="s">
        <v>1743</v>
      </c>
      <c r="C3" s="2708"/>
      <c r="D3" s="2708"/>
      <c r="E3" s="1095"/>
    </row>
    <row r="4" spans="2:5" s="1103" customFormat="1" ht="12.75" customHeight="1" x14ac:dyDescent="0.2">
      <c r="B4" s="2718" t="str">
        <f>'Single Audit Cover'!A4</f>
        <v>Year Ending June 30, 2020</v>
      </c>
      <c r="C4" s="2718"/>
      <c r="D4" s="2718"/>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2" t="s">
        <v>2201</v>
      </c>
      <c r="C7" s="301" t="s">
        <v>2200</v>
      </c>
      <c r="D7" s="301" t="s">
        <v>2204</v>
      </c>
      <c r="E7" s="302"/>
    </row>
    <row r="8" spans="2:5" ht="13.5" customHeight="1" x14ac:dyDescent="0.2">
      <c r="B8" s="1292"/>
      <c r="C8" s="301" t="s">
        <v>2183</v>
      </c>
      <c r="D8" s="301"/>
      <c r="E8" s="302"/>
    </row>
    <row r="9" spans="2:5" ht="13.5" customHeight="1" x14ac:dyDescent="0.2">
      <c r="B9" s="1293"/>
      <c r="C9" s="301" t="s">
        <v>2184</v>
      </c>
      <c r="D9" s="301"/>
      <c r="E9" s="301"/>
    </row>
    <row r="10" spans="2:5" ht="13.5" customHeight="1" x14ac:dyDescent="0.2">
      <c r="B10" s="1292"/>
      <c r="C10" s="301" t="s">
        <v>2185</v>
      </c>
      <c r="D10" s="301"/>
      <c r="E10" s="301"/>
    </row>
    <row r="11" spans="2:5" ht="13.5" customHeight="1" x14ac:dyDescent="0.2">
      <c r="B11" s="1292"/>
      <c r="C11" s="301" t="s">
        <v>2186</v>
      </c>
      <c r="D11" s="301"/>
      <c r="E11" s="301"/>
    </row>
    <row r="12" spans="2:5" ht="13.5" customHeight="1" x14ac:dyDescent="0.2">
      <c r="B12" s="1292"/>
      <c r="C12" s="301" t="s">
        <v>2187</v>
      </c>
      <c r="D12" s="301"/>
      <c r="E12" s="301"/>
    </row>
    <row r="13" spans="2:5" ht="13.5" customHeight="1" x14ac:dyDescent="0.2">
      <c r="B13" s="1292"/>
      <c r="C13" s="301" t="s">
        <v>2188</v>
      </c>
      <c r="D13" s="301"/>
      <c r="E13" s="301"/>
    </row>
    <row r="14" spans="2:5" ht="13.5" customHeight="1" x14ac:dyDescent="0.2">
      <c r="B14" s="1292"/>
      <c r="C14" s="301"/>
      <c r="D14" s="301"/>
      <c r="E14" s="301"/>
    </row>
    <row r="15" spans="2:5" ht="13.5" customHeight="1" x14ac:dyDescent="0.2">
      <c r="B15" s="1292" t="s">
        <v>2202</v>
      </c>
      <c r="C15" s="301" t="s">
        <v>2189</v>
      </c>
      <c r="D15" s="301" t="s">
        <v>2205</v>
      </c>
      <c r="E15" s="301"/>
    </row>
    <row r="16" spans="2:5" ht="13.5" customHeight="1" x14ac:dyDescent="0.2">
      <c r="B16" s="1292"/>
      <c r="C16" s="301" t="s">
        <v>2190</v>
      </c>
      <c r="D16" s="301"/>
      <c r="E16" s="301"/>
    </row>
    <row r="17" spans="2:5" ht="13.5" customHeight="1" x14ac:dyDescent="0.2">
      <c r="B17" s="1292"/>
      <c r="C17" s="301" t="s">
        <v>2191</v>
      </c>
      <c r="D17" s="301"/>
      <c r="E17" s="301"/>
    </row>
    <row r="18" spans="2:5" ht="13.5" customHeight="1" x14ac:dyDescent="0.2">
      <c r="B18" s="1292"/>
      <c r="C18" s="301" t="s">
        <v>2192</v>
      </c>
      <c r="D18" s="301"/>
      <c r="E18" s="301"/>
    </row>
    <row r="19" spans="2:5" ht="13.5" customHeight="1" x14ac:dyDescent="0.2">
      <c r="B19" s="1292"/>
      <c r="C19" s="301" t="s">
        <v>2193</v>
      </c>
      <c r="D19" s="301"/>
      <c r="E19" s="301"/>
    </row>
    <row r="20" spans="2:5" ht="13.5" customHeight="1" x14ac:dyDescent="0.2">
      <c r="B20" s="1292"/>
      <c r="C20" s="301"/>
      <c r="D20" s="301"/>
      <c r="E20" s="301"/>
    </row>
    <row r="21" spans="2:5" ht="13.5" customHeight="1" x14ac:dyDescent="0.2">
      <c r="B21" s="1292" t="s">
        <v>2203</v>
      </c>
      <c r="C21" s="301" t="s">
        <v>2194</v>
      </c>
      <c r="D21" s="301" t="s">
        <v>2206</v>
      </c>
      <c r="E21" s="301"/>
    </row>
    <row r="22" spans="2:5" ht="13.5" customHeight="1" x14ac:dyDescent="0.2">
      <c r="B22" s="1292"/>
      <c r="C22" s="301" t="s">
        <v>2195</v>
      </c>
      <c r="D22" s="301"/>
      <c r="E22" s="301"/>
    </row>
    <row r="23" spans="2:5" ht="13.5" customHeight="1" x14ac:dyDescent="0.2">
      <c r="B23" s="1292"/>
      <c r="C23" s="301" t="s">
        <v>2196</v>
      </c>
      <c r="D23" s="301"/>
      <c r="E23" s="301"/>
    </row>
    <row r="24" spans="2:5" ht="13.5" customHeight="1" x14ac:dyDescent="0.2">
      <c r="B24" s="1292"/>
      <c r="C24" s="301" t="s">
        <v>2197</v>
      </c>
      <c r="D24" s="301"/>
      <c r="E24" s="301"/>
    </row>
    <row r="25" spans="2:5" ht="13.5" customHeight="1" x14ac:dyDescent="0.2">
      <c r="B25" s="1292"/>
      <c r="C25" s="301" t="s">
        <v>2198</v>
      </c>
      <c r="D25" s="301"/>
      <c r="E25" s="301"/>
    </row>
    <row r="26" spans="2:5" ht="13.5" customHeight="1" x14ac:dyDescent="0.2">
      <c r="B26" s="1292"/>
      <c r="C26" s="301" t="s">
        <v>2199</v>
      </c>
      <c r="D26" s="301"/>
      <c r="E26" s="301"/>
    </row>
    <row r="27" spans="2:5" ht="13.5" customHeight="1" x14ac:dyDescent="0.2">
      <c r="B27" s="1292"/>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8"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5" colorId="8" zoomScale="110" zoomScaleNormal="110" workbookViewId="0">
      <selection activeCell="U51" sqref="U5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383</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327339626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3.9285E-2</v>
      </c>
      <c r="E10" s="333" t="s">
        <v>998</v>
      </c>
      <c r="F10" s="332">
        <v>4.9649999999999998E-3</v>
      </c>
      <c r="G10" s="333" t="s">
        <v>998</v>
      </c>
      <c r="H10" s="332">
        <v>5.6300000000000002E-4</v>
      </c>
      <c r="I10" s="333" t="s">
        <v>999</v>
      </c>
      <c r="J10" s="1472">
        <f>ROUND(D10+F10+H10,5)</f>
        <v>4.4810000000000003E-2</v>
      </c>
      <c r="K10" s="217"/>
      <c r="L10" s="332">
        <v>9.9999999999999995E-7</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23623853</v>
      </c>
      <c r="E16" s="1596"/>
      <c r="F16" s="1595">
        <f>SUM('Acct Summary 7-8'!C17,'Acct Summary 7-8'!D17,'Acct Summary 7-8'!F17)</f>
        <v>24995769</v>
      </c>
      <c r="G16" s="1596"/>
      <c r="H16" s="1595">
        <f>SUM(D16-F16)</f>
        <v>-1371916</v>
      </c>
      <c r="I16" s="1597"/>
      <c r="J16" s="1595">
        <f>SUM('Acct Summary 7-8'!C81,'Acct Summary 7-8'!D81,'Acct Summary 7-8'!F81,'Acct Summary 7-8'!I81)</f>
        <v>863335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4042775</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4042775</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45172868.388000004</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2620512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U51" sqref="U5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552</v>
      </c>
      <c r="B2" s="2281"/>
      <c r="C2" s="2281"/>
      <c r="D2" s="2281"/>
      <c r="E2" s="2281"/>
      <c r="F2" s="2281"/>
      <c r="G2" s="2281"/>
      <c r="H2" s="2281"/>
      <c r="I2" s="2281"/>
      <c r="J2" s="2281"/>
      <c r="K2" s="2281"/>
      <c r="L2" s="2281"/>
      <c r="M2" s="2281"/>
      <c r="N2" s="2281"/>
      <c r="O2" s="2281"/>
      <c r="P2" s="2281"/>
      <c r="Q2" s="2281"/>
      <c r="R2" s="2281"/>
    </row>
    <row r="3" spans="1:18" ht="12.75" x14ac:dyDescent="0.2">
      <c r="A3" s="2282" t="s">
        <v>1399</v>
      </c>
      <c r="B3" s="2282"/>
      <c r="C3" s="2282"/>
      <c r="D3" s="2282"/>
      <c r="E3" s="2282"/>
      <c r="F3" s="2282"/>
      <c r="G3" s="2282"/>
      <c r="H3" s="2282"/>
      <c r="I3" s="2282"/>
      <c r="J3" s="2282"/>
      <c r="K3" s="2282"/>
      <c r="L3" s="2282"/>
      <c r="M3" s="2282"/>
      <c r="N3" s="2282"/>
      <c r="O3" s="2282"/>
      <c r="P3" s="2282"/>
      <c r="Q3" s="2282"/>
      <c r="R3" s="2282"/>
    </row>
    <row r="4" spans="1:18" x14ac:dyDescent="0.2">
      <c r="A4" s="2283" t="s">
        <v>1540</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Sandwich CUSD 430</v>
      </c>
      <c r="E7" s="368"/>
      <c r="G7" s="247"/>
      <c r="H7" s="364"/>
      <c r="I7" s="364"/>
      <c r="J7" s="364"/>
      <c r="K7" s="364"/>
      <c r="L7" s="307"/>
      <c r="M7" s="307"/>
      <c r="N7" s="307"/>
      <c r="O7" s="307"/>
      <c r="P7" s="307"/>
    </row>
    <row r="8" spans="1:18" ht="12.75" x14ac:dyDescent="0.2">
      <c r="A8" s="307"/>
      <c r="B8" s="307"/>
      <c r="C8" s="366" t="s">
        <v>1117</v>
      </c>
      <c r="D8" s="369">
        <f>COVER!A13</f>
        <v>16019430026</v>
      </c>
      <c r="E8" s="370"/>
      <c r="G8" s="307"/>
      <c r="H8" s="307"/>
      <c r="I8" s="307"/>
      <c r="J8" s="307"/>
      <c r="K8" s="307"/>
      <c r="L8" s="307"/>
      <c r="M8" s="307"/>
      <c r="N8" s="307"/>
      <c r="O8" s="307"/>
      <c r="P8" s="307"/>
    </row>
    <row r="9" spans="1:18" ht="12.75" x14ac:dyDescent="0.2">
      <c r="A9" s="307"/>
      <c r="B9" s="307"/>
      <c r="C9" s="366" t="s">
        <v>708</v>
      </c>
      <c r="D9" s="371" t="str">
        <f>COVER!A15</f>
        <v>DeKalb / LaSalle / 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2</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863335</v>
      </c>
      <c r="I12" s="380"/>
      <c r="J12" s="380"/>
      <c r="K12" s="1608">
        <f>TRUNC((H12/H13*100000),5)/100000</f>
        <v>3.6545054600000001E-2</v>
      </c>
      <c r="L12" s="381"/>
      <c r="M12" s="337" t="s">
        <v>1136</v>
      </c>
      <c r="N12" s="337"/>
      <c r="O12" s="1611">
        <v>0.35</v>
      </c>
      <c r="P12" s="213"/>
      <c r="Q12" s="213"/>
    </row>
    <row r="13" spans="1:18" s="382" customFormat="1" ht="12.75" x14ac:dyDescent="0.2">
      <c r="A13" s="213"/>
      <c r="B13" s="377"/>
      <c r="C13" s="2279" t="s">
        <v>1315</v>
      </c>
      <c r="D13" s="2280"/>
      <c r="E13" s="213"/>
      <c r="F13" s="383" t="s">
        <v>788</v>
      </c>
      <c r="G13" s="378"/>
      <c r="H13" s="1600">
        <f>SUM('Acct Summary 7-8'!C8+'Acct Summary 7-8'!D8+'Acct Summary 7-8'!F8+'Acct Summary 7-8'!I8)+H14</f>
        <v>23623853</v>
      </c>
      <c r="I13" s="380"/>
      <c r="J13" s="380"/>
      <c r="K13" s="1607"/>
      <c r="L13" s="213"/>
      <c r="M13" s="337" t="s">
        <v>1137</v>
      </c>
      <c r="N13" s="337"/>
      <c r="O13" s="1612">
        <f>(O11*O12)</f>
        <v>0.7</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IF(K17&gt;1.2,"1",IF(K17&gt;1.1,"2",IF(K17&gt;1,"3",4)))</f>
        <v>3</v>
      </c>
      <c r="P16" s="211"/>
      <c r="R16" s="361"/>
    </row>
    <row r="17" spans="1:18" s="382" customFormat="1" ht="11.25" x14ac:dyDescent="0.2">
      <c r="A17" s="213"/>
      <c r="B17" s="377"/>
      <c r="C17" s="213" t="s">
        <v>792</v>
      </c>
      <c r="D17" s="213"/>
      <c r="E17" s="213"/>
      <c r="F17" s="213" t="s">
        <v>441</v>
      </c>
      <c r="G17" s="378"/>
      <c r="H17" s="1600">
        <f>SUM('Acct Summary 7-8'!C17+'Acct Summary 7-8'!D17+'Acct Summary 7-8'!F17)</f>
        <v>24995769</v>
      </c>
      <c r="I17" s="380"/>
      <c r="J17" s="389"/>
      <c r="K17" s="1608">
        <f>TRUNC((H17/H18*100000),5)/100000</f>
        <v>1.0580733379</v>
      </c>
      <c r="L17" s="381"/>
      <c r="M17" s="390" t="s">
        <v>1163</v>
      </c>
      <c r="O17" s="1614" t="str">
        <f>IF(AND(O16="2", J20 &gt; 2),"1",IF(AND(O16 = "1", J20 &gt; 2),"2",IF(AND(O16="1", J20 &gt;1),"1","0")))</f>
        <v>0</v>
      </c>
      <c r="P17" s="213"/>
    </row>
    <row r="18" spans="1:18" s="382" customFormat="1" ht="11.25" x14ac:dyDescent="0.2">
      <c r="A18" s="213"/>
      <c r="B18" s="377"/>
      <c r="C18" s="2279" t="s">
        <v>1308</v>
      </c>
      <c r="D18" s="2280"/>
      <c r="E18" s="213"/>
      <c r="F18" s="391" t="s">
        <v>789</v>
      </c>
      <c r="G18" s="378"/>
      <c r="H18" s="1600">
        <f>SUM('Acct Summary 7-8'!C8+'Acct Summary 7-8'!D8+'Acct Summary 7-8'!F8+'Acct Summary 7-8'!I8)+H19</f>
        <v>23623853</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IF(K17&lt;=1,"0",TRUNC(((K12-0.1)/(K17-1)*100),5)/100)</f>
        <v>-1.0926690999999999</v>
      </c>
      <c r="K20" s="1608" t="str">
        <f>IF(K17&lt;=1,"0",IF(AND(O16="2", J20 &gt; 2),TRUNC(((K12-0.1)/(K17-1)*100),5)/100,IF(AND(O16 = "1", J20 &gt; 2),TRUNC(((K12-0.1)/(K17-1)*100),5)/100,IF(AND(O16="1", J20 &gt;1),TRUNC(((K12-0.1)/(K17-1)*100),5)/100,""))))</f>
        <v/>
      </c>
      <c r="L20" s="213"/>
      <c r="M20" s="337" t="s">
        <v>1137</v>
      </c>
      <c r="N20" s="337"/>
      <c r="O20" s="1612">
        <f>(O16+O17)*O18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2</v>
      </c>
      <c r="P23" s="211"/>
      <c r="R23" s="361"/>
    </row>
    <row r="24" spans="1:18" s="382" customFormat="1" ht="11.25" x14ac:dyDescent="0.2">
      <c r="A24" s="213"/>
      <c r="B24" s="377"/>
      <c r="C24" s="2276" t="s">
        <v>1398</v>
      </c>
      <c r="D24" s="2276"/>
      <c r="E24" s="213"/>
      <c r="F24" s="213" t="s">
        <v>442</v>
      </c>
      <c r="G24" s="378"/>
      <c r="H24" s="1600">
        <f>SUM('Assets-Liab 5-6'!C4+'Assets-Liab 5-6'!D4+'Assets-Liab 5-6'!F4+'Assets-Liab 5-6'!I4+'Assets-Liab 5-6'!C5+'Assets-Liab 5-6'!D5+'Assets-Liab 5-6'!F5+'Assets-Liab 5-6'!I5)</f>
        <v>4906109</v>
      </c>
      <c r="I24" s="394"/>
      <c r="J24" s="394"/>
      <c r="K24" s="1604">
        <f>TRUNC(((H24/H25*100000)/100000),2)</f>
        <v>70.650000000000006</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69432.69167</v>
      </c>
      <c r="I25" s="396"/>
      <c r="J25" s="396"/>
      <c r="K25" s="1607"/>
      <c r="L25" s="213"/>
      <c r="M25" s="337" t="s">
        <v>1137</v>
      </c>
      <c r="N25" s="337"/>
      <c r="O25" s="1612">
        <f>O23*O24</f>
        <v>0.2</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12467875.344900001</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2620512</v>
      </c>
      <c r="I32" s="392"/>
      <c r="J32" s="392"/>
      <c r="K32" s="1604">
        <f>TRUNC(100-((((H32/H33*100))*100)/100),2)</f>
        <v>94.19</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45172868.388000004</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2.7499999999999996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U51" sqref="U51"/>
      <selection pane="bottomLeft" activeCell="I46" sqref="I4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6" t="s">
        <v>967</v>
      </c>
      <c r="B3" s="2287"/>
      <c r="C3" s="1350"/>
      <c r="D3" s="1351"/>
      <c r="E3" s="1351"/>
      <c r="F3" s="1351"/>
      <c r="G3" s="1351"/>
      <c r="H3" s="1351"/>
      <c r="I3" s="1351"/>
      <c r="J3" s="1351"/>
      <c r="K3" s="1351"/>
      <c r="L3" s="1351"/>
      <c r="M3" s="1352"/>
      <c r="N3" s="1353"/>
    </row>
    <row r="4" spans="1:14" ht="13.5" customHeight="1" x14ac:dyDescent="0.2">
      <c r="A4" s="427" t="s">
        <v>1635</v>
      </c>
      <c r="B4" s="428"/>
      <c r="C4" s="1621">
        <v>4142774</v>
      </c>
      <c r="D4" s="1622">
        <v>6500</v>
      </c>
      <c r="E4" s="1622">
        <v>266588</v>
      </c>
      <c r="F4" s="1622">
        <v>4300</v>
      </c>
      <c r="G4" s="1622"/>
      <c r="H4" s="1622"/>
      <c r="I4" s="1622">
        <v>752535</v>
      </c>
      <c r="J4" s="1623">
        <v>1592</v>
      </c>
      <c r="K4" s="1622">
        <v>305047</v>
      </c>
      <c r="L4" s="1622">
        <v>205373</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4142774</v>
      </c>
      <c r="D13" s="1636">
        <f t="shared" ref="D13:L13" si="0">SUM(D4:D12)</f>
        <v>6500</v>
      </c>
      <c r="E13" s="1636">
        <f t="shared" si="0"/>
        <v>266588</v>
      </c>
      <c r="F13" s="1636">
        <f t="shared" si="0"/>
        <v>4300</v>
      </c>
      <c r="G13" s="1636">
        <f t="shared" si="0"/>
        <v>0</v>
      </c>
      <c r="H13" s="1636">
        <f t="shared" si="0"/>
        <v>0</v>
      </c>
      <c r="I13" s="1636">
        <f t="shared" si="0"/>
        <v>752535</v>
      </c>
      <c r="J13" s="1636">
        <f t="shared" si="0"/>
        <v>1592</v>
      </c>
      <c r="K13" s="1636">
        <f t="shared" si="0"/>
        <v>305047</v>
      </c>
      <c r="L13" s="1636">
        <f t="shared" si="0"/>
        <v>205373</v>
      </c>
      <c r="M13" s="1624"/>
      <c r="N13" s="1625"/>
    </row>
    <row r="14" spans="1:14" ht="18" customHeight="1" thickTop="1" x14ac:dyDescent="0.2">
      <c r="A14" s="2288" t="s">
        <v>146</v>
      </c>
      <c r="B14" s="2289"/>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3614067</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10742615</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v>158375</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494989</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266588</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2353924</v>
      </c>
    </row>
    <row r="23" spans="1:14" ht="13.5" customHeight="1" thickBot="1" x14ac:dyDescent="0.25">
      <c r="A23" s="1474" t="s">
        <v>638</v>
      </c>
      <c r="B23" s="1477"/>
      <c r="C23" s="1624"/>
      <c r="D23" s="1624"/>
      <c r="E23" s="1624"/>
      <c r="F23" s="1624"/>
      <c r="G23" s="1624"/>
      <c r="H23" s="1624"/>
      <c r="I23" s="1624"/>
      <c r="J23" s="1624"/>
      <c r="K23" s="1624"/>
      <c r="L23" s="1624"/>
      <c r="M23" s="1643">
        <f>SUM(M15:M22)</f>
        <v>15010046</v>
      </c>
      <c r="N23" s="1643">
        <f>SUM(N21:N22)</f>
        <v>2620512</v>
      </c>
    </row>
    <row r="24" spans="1:14" ht="18" customHeight="1" thickTop="1" x14ac:dyDescent="0.2">
      <c r="A24" s="2290" t="s">
        <v>594</v>
      </c>
      <c r="B24" s="2291"/>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v>4042774</v>
      </c>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205373</v>
      </c>
      <c r="M33" s="1624"/>
      <c r="N33" s="1625"/>
    </row>
    <row r="34" spans="1:14" ht="13.5" customHeight="1" thickBot="1" x14ac:dyDescent="0.25">
      <c r="A34" s="1475" t="s">
        <v>649</v>
      </c>
      <c r="B34" s="1476"/>
      <c r="C34" s="1649">
        <f>SUM(C25:C33)</f>
        <v>4042774</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205373</v>
      </c>
      <c r="M34" s="1624"/>
      <c r="N34" s="1634"/>
    </row>
    <row r="35" spans="1:14" ht="18" customHeight="1" thickTop="1" x14ac:dyDescent="0.2">
      <c r="A35" s="2292" t="s">
        <v>526</v>
      </c>
      <c r="B35" s="2293"/>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2620512</v>
      </c>
    </row>
    <row r="37" spans="1:14" ht="13.5" thickBot="1" x14ac:dyDescent="0.25">
      <c r="A37" s="1474" t="s">
        <v>648</v>
      </c>
      <c r="B37" s="1477"/>
      <c r="C37" s="1631"/>
      <c r="D37" s="1631"/>
      <c r="E37" s="1631"/>
      <c r="F37" s="1631"/>
      <c r="G37" s="1631"/>
      <c r="H37" s="1631"/>
      <c r="I37" s="1631"/>
      <c r="J37" s="1631"/>
      <c r="K37" s="1631"/>
      <c r="L37" s="1634"/>
      <c r="M37" s="1624"/>
      <c r="N37" s="1643">
        <f>SUM(N36:N36)</f>
        <v>2620512</v>
      </c>
    </row>
    <row r="38" spans="1:14" s="307" customFormat="1" ht="13.5" customHeight="1" thickTop="1" x14ac:dyDescent="0.2">
      <c r="A38" s="438" t="s">
        <v>417</v>
      </c>
      <c r="B38" s="432">
        <v>714</v>
      </c>
      <c r="C38" s="1622">
        <v>989744</v>
      </c>
      <c r="D38" s="1622"/>
      <c r="E38" s="1622">
        <v>266588</v>
      </c>
      <c r="F38" s="1622"/>
      <c r="G38" s="1622"/>
      <c r="H38" s="1622"/>
      <c r="I38" s="1622"/>
      <c r="J38" s="1623">
        <v>1592</v>
      </c>
      <c r="K38" s="1622">
        <v>305047</v>
      </c>
      <c r="L38" s="1635"/>
      <c r="M38" s="1653"/>
      <c r="N38" s="1653"/>
    </row>
    <row r="39" spans="1:14" s="307" customFormat="1" ht="13.5" customHeight="1" x14ac:dyDescent="0.2">
      <c r="A39" s="438" t="s">
        <v>339</v>
      </c>
      <c r="B39" s="432">
        <v>730</v>
      </c>
      <c r="C39" s="1622">
        <v>-889744</v>
      </c>
      <c r="D39" s="1622">
        <v>6500</v>
      </c>
      <c r="E39" s="1622"/>
      <c r="F39" s="1622">
        <v>4300</v>
      </c>
      <c r="G39" s="1622"/>
      <c r="H39" s="1622"/>
      <c r="I39" s="1622">
        <v>752535</v>
      </c>
      <c r="J39" s="1623"/>
      <c r="K39" s="1622"/>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15010046</v>
      </c>
      <c r="N40" s="1653"/>
    </row>
    <row r="41" spans="1:14" ht="13.5" customHeight="1" thickBot="1" x14ac:dyDescent="0.25">
      <c r="A41" s="1474" t="s">
        <v>650</v>
      </c>
      <c r="B41" s="1453"/>
      <c r="C41" s="1643">
        <f>(SUM(C34,C37,C38,C39))</f>
        <v>4142774</v>
      </c>
      <c r="D41" s="1643">
        <f t="shared" ref="D41:L41" si="2">SUM(D34,D37,D38:D39)</f>
        <v>6500</v>
      </c>
      <c r="E41" s="1643">
        <f t="shared" si="2"/>
        <v>266588</v>
      </c>
      <c r="F41" s="1643">
        <f t="shared" si="2"/>
        <v>4300</v>
      </c>
      <c r="G41" s="1643">
        <f t="shared" si="2"/>
        <v>0</v>
      </c>
      <c r="H41" s="1643">
        <f t="shared" si="2"/>
        <v>0</v>
      </c>
      <c r="I41" s="1643">
        <f t="shared" si="2"/>
        <v>752535</v>
      </c>
      <c r="J41" s="1643">
        <f t="shared" si="2"/>
        <v>1592</v>
      </c>
      <c r="K41" s="1643">
        <f t="shared" si="2"/>
        <v>305047</v>
      </c>
      <c r="L41" s="1643">
        <f t="shared" si="2"/>
        <v>205373</v>
      </c>
      <c r="M41" s="1643">
        <f>SUM(M40)</f>
        <v>15010046</v>
      </c>
      <c r="N41" s="1643">
        <f>SUM(N37)</f>
        <v>2620512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6" activePane="bottomLeft" state="frozen"/>
      <selection activeCell="U51" sqref="U51"/>
      <selection pane="bottomLeft" activeCell="C43" sqref="C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4" t="s">
        <v>1167</v>
      </c>
      <c r="B3" s="2315"/>
      <c r="C3" s="1355"/>
      <c r="D3" s="1356"/>
      <c r="E3" s="1356"/>
      <c r="F3" s="1356"/>
      <c r="G3" s="1356"/>
      <c r="H3" s="1356"/>
      <c r="I3" s="1356"/>
      <c r="J3" s="1356"/>
      <c r="K3" s="1357"/>
      <c r="L3" s="446"/>
    </row>
    <row r="4" spans="1:13" ht="15.75" customHeight="1" x14ac:dyDescent="0.2">
      <c r="A4" s="1586" t="s">
        <v>1485</v>
      </c>
      <c r="B4" s="1587">
        <v>1000</v>
      </c>
      <c r="C4" s="1655">
        <f>'Revenues 9-14'!C109</f>
        <v>13686648</v>
      </c>
      <c r="D4" s="1655">
        <f>'Revenues 9-14'!D109</f>
        <v>1714644</v>
      </c>
      <c r="E4" s="1655">
        <f>'Revenues 9-14'!E109</f>
        <v>788194</v>
      </c>
      <c r="F4" s="1655">
        <f>'Revenues 9-14'!F109</f>
        <v>221454</v>
      </c>
      <c r="G4" s="1655">
        <f>'Revenues 9-14'!G109</f>
        <v>415480</v>
      </c>
      <c r="H4" s="1655">
        <f>'Revenues 9-14'!H109</f>
        <v>0</v>
      </c>
      <c r="I4" s="1655">
        <f>'Revenues 9-14'!I109</f>
        <v>389</v>
      </c>
      <c r="J4" s="1655">
        <f>'Revenues 9-14'!J109</f>
        <v>353</v>
      </c>
      <c r="K4" s="1655">
        <f>'Revenues 9-14'!K109</f>
        <v>12582</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4869041</v>
      </c>
      <c r="D6" s="1656">
        <f>'Revenues 9-14'!D170</f>
        <v>403836</v>
      </c>
      <c r="E6" s="1656">
        <f>'Revenues 9-14'!E170</f>
        <v>107693</v>
      </c>
      <c r="F6" s="1656">
        <f>'Revenues 9-14'!F170</f>
        <v>1147962</v>
      </c>
      <c r="G6" s="1656">
        <f>'Revenues 9-14'!G170</f>
        <v>351725</v>
      </c>
      <c r="H6" s="1656">
        <f>'Revenues 9-14'!H170</f>
        <v>0</v>
      </c>
      <c r="I6" s="1656">
        <f>'Revenues 9-14'!I170</f>
        <v>0</v>
      </c>
      <c r="J6" s="1656">
        <f>'Revenues 9-14'!J170</f>
        <v>0</v>
      </c>
      <c r="K6" s="1656">
        <f>'Revenues 9-14'!K170</f>
        <v>728364</v>
      </c>
      <c r="L6" s="325"/>
      <c r="M6" s="448"/>
    </row>
    <row r="7" spans="1:13" ht="15.75" customHeight="1" x14ac:dyDescent="0.2">
      <c r="A7" s="1358" t="s">
        <v>1488</v>
      </c>
      <c r="B7" s="1360">
        <v>4000</v>
      </c>
      <c r="C7" s="1656">
        <f>'Revenues 9-14'!C267</f>
        <v>1579879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20135568</v>
      </c>
      <c r="D8" s="1643">
        <f t="shared" ref="D8:K8" si="0">SUM(D4:D7)</f>
        <v>2118480</v>
      </c>
      <c r="E8" s="1643">
        <f t="shared" si="0"/>
        <v>895887</v>
      </c>
      <c r="F8" s="1643">
        <f t="shared" si="0"/>
        <v>1369416</v>
      </c>
      <c r="G8" s="1643">
        <f t="shared" si="0"/>
        <v>767205</v>
      </c>
      <c r="H8" s="1643">
        <f t="shared" si="0"/>
        <v>0</v>
      </c>
      <c r="I8" s="1643">
        <f t="shared" si="0"/>
        <v>389</v>
      </c>
      <c r="J8" s="1643">
        <f t="shared" si="0"/>
        <v>353</v>
      </c>
      <c r="K8" s="1643">
        <f t="shared" si="0"/>
        <v>740946</v>
      </c>
      <c r="L8" s="325"/>
    </row>
    <row r="9" spans="1:13" ht="15.75" thickTop="1" x14ac:dyDescent="0.2">
      <c r="A9" s="449" t="s">
        <v>1637</v>
      </c>
      <c r="B9" s="450">
        <v>3998</v>
      </c>
      <c r="C9" s="1635">
        <v>1567938</v>
      </c>
      <c r="D9" s="1662"/>
      <c r="E9" s="1635"/>
      <c r="F9" s="1635"/>
      <c r="G9" s="1663"/>
      <c r="H9" s="1635"/>
      <c r="I9" s="1658" t="s">
        <v>1161</v>
      </c>
      <c r="J9" s="1632"/>
      <c r="K9" s="1635"/>
      <c r="L9" s="325"/>
    </row>
    <row r="10" spans="1:13" s="452" customFormat="1" ht="13.5" thickBot="1" x14ac:dyDescent="0.25">
      <c r="A10" s="1474" t="s">
        <v>1165</v>
      </c>
      <c r="B10" s="1455"/>
      <c r="C10" s="1643">
        <f>SUM(C8:C9)</f>
        <v>21703506</v>
      </c>
      <c r="D10" s="1643">
        <f t="shared" ref="D10:K10" si="1">SUM(D8:D9)</f>
        <v>2118480</v>
      </c>
      <c r="E10" s="1643">
        <f t="shared" si="1"/>
        <v>895887</v>
      </c>
      <c r="F10" s="1643">
        <f t="shared" si="1"/>
        <v>1369416</v>
      </c>
      <c r="G10" s="1643">
        <f t="shared" si="1"/>
        <v>767205</v>
      </c>
      <c r="H10" s="1643">
        <f t="shared" si="1"/>
        <v>0</v>
      </c>
      <c r="I10" s="1643">
        <f t="shared" si="1"/>
        <v>389</v>
      </c>
      <c r="J10" s="1643">
        <f t="shared" si="1"/>
        <v>353</v>
      </c>
      <c r="K10" s="1643">
        <f t="shared" si="1"/>
        <v>740946</v>
      </c>
      <c r="L10" s="451"/>
    </row>
    <row r="11" spans="1:13" s="452" customFormat="1" ht="16.7" customHeight="1" thickTop="1" x14ac:dyDescent="0.2">
      <c r="A11" s="2288" t="s">
        <v>1168</v>
      </c>
      <c r="B11" s="2289"/>
      <c r="C11" s="1651"/>
      <c r="D11" s="1652"/>
      <c r="E11" s="1652"/>
      <c r="F11" s="1652"/>
      <c r="G11" s="1652"/>
      <c r="H11" s="1652"/>
      <c r="I11" s="1652"/>
      <c r="J11" s="1652"/>
      <c r="K11" s="1664"/>
      <c r="L11" s="451"/>
    </row>
    <row r="12" spans="1:13" ht="15.75" customHeight="1" x14ac:dyDescent="0.2">
      <c r="A12" s="1358" t="s">
        <v>453</v>
      </c>
      <c r="B12" s="1360">
        <v>1000</v>
      </c>
      <c r="C12" s="1655">
        <f>'Expenditures 15-22'!K33</f>
        <v>16570517</v>
      </c>
      <c r="D12" s="1665" t="s">
        <v>1161</v>
      </c>
      <c r="E12" s="1624" t="s">
        <v>1161</v>
      </c>
      <c r="F12" s="1624" t="s">
        <v>1161</v>
      </c>
      <c r="G12" s="1655">
        <f>'Expenditures 15-22'!K229</f>
        <v>336299</v>
      </c>
      <c r="H12" s="1666"/>
      <c r="I12" s="1624" t="s">
        <v>1161</v>
      </c>
      <c r="J12" s="1624" t="s">
        <v>1161</v>
      </c>
      <c r="K12" s="1666" t="s">
        <v>1161</v>
      </c>
      <c r="L12" s="325"/>
    </row>
    <row r="13" spans="1:13" ht="15.75" customHeight="1" x14ac:dyDescent="0.2">
      <c r="A13" s="1358" t="s">
        <v>454</v>
      </c>
      <c r="B13" s="1360">
        <v>2000</v>
      </c>
      <c r="C13" s="1656">
        <f>'Expenditures 15-22'!K74</f>
        <v>4299644</v>
      </c>
      <c r="D13" s="1656">
        <f>'Expenditures 15-22'!K129</f>
        <v>2261381</v>
      </c>
      <c r="E13" s="1625" t="s">
        <v>1161</v>
      </c>
      <c r="F13" s="1656">
        <f>'Expenditures 15-22'!K184</f>
        <v>1390771</v>
      </c>
      <c r="G13" s="1656">
        <f>'Expenditures 15-22'!K279</f>
        <v>430887</v>
      </c>
      <c r="H13" s="1656">
        <f>'Expenditures 15-22'!K303</f>
        <v>0</v>
      </c>
      <c r="I13" s="1624" t="s">
        <v>1161</v>
      </c>
      <c r="J13" s="1656">
        <f>'Expenditures 15-22'!K330</f>
        <v>0</v>
      </c>
      <c r="K13" s="1667">
        <f>'Expenditures 15-22'!K352</f>
        <v>1009227</v>
      </c>
      <c r="L13" s="325"/>
    </row>
    <row r="14" spans="1:13" ht="15.75" customHeight="1" x14ac:dyDescent="0.2">
      <c r="A14" s="1358" t="s">
        <v>446</v>
      </c>
      <c r="B14" s="1360">
        <v>3000</v>
      </c>
      <c r="C14" s="1656">
        <f>'Expenditures 15-22'!K75</f>
        <v>9812</v>
      </c>
      <c r="D14" s="1656">
        <f>'Expenditures 15-22'!K130</f>
        <v>0</v>
      </c>
      <c r="E14" s="1665" t="s">
        <v>1161</v>
      </c>
      <c r="F14" s="1656">
        <f>'Expenditures 15-22'!K185</f>
        <v>0</v>
      </c>
      <c r="G14" s="1656">
        <f>'Expenditures 15-22'!K280</f>
        <v>722</v>
      </c>
      <c r="H14" s="1661"/>
      <c r="I14" s="1624" t="s">
        <v>1161</v>
      </c>
      <c r="J14" s="1624" t="s">
        <v>1161</v>
      </c>
      <c r="K14" s="1661" t="s">
        <v>1161</v>
      </c>
      <c r="L14" s="325"/>
    </row>
    <row r="15" spans="1:13" ht="15.75" customHeight="1" x14ac:dyDescent="0.2">
      <c r="A15" s="1358" t="s">
        <v>107</v>
      </c>
      <c r="B15" s="1360">
        <v>4000</v>
      </c>
      <c r="C15" s="1656">
        <f>'Expenditures 15-22'!K102</f>
        <v>355309</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41055</v>
      </c>
      <c r="D16" s="1656">
        <f>'Expenditures 15-22'!K149</f>
        <v>0</v>
      </c>
      <c r="E16" s="1656">
        <f>'Expenditures 15-22'!K172</f>
        <v>835781</v>
      </c>
      <c r="F16" s="1656">
        <f>'Expenditures 15-22'!K208</f>
        <v>67280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21276337</v>
      </c>
      <c r="D17" s="1643">
        <f t="shared" si="2"/>
        <v>2261381</v>
      </c>
      <c r="E17" s="1643">
        <f t="shared" si="2"/>
        <v>835781</v>
      </c>
      <c r="F17" s="1643">
        <f t="shared" si="2"/>
        <v>1458051</v>
      </c>
      <c r="G17" s="1643">
        <f t="shared" si="2"/>
        <v>767908</v>
      </c>
      <c r="H17" s="1643">
        <f t="shared" si="2"/>
        <v>0</v>
      </c>
      <c r="I17" s="1624"/>
      <c r="J17" s="1643">
        <f>SUM(J12:J16)</f>
        <v>0</v>
      </c>
      <c r="K17" s="1643">
        <f>SUM(K12:K16)</f>
        <v>1009227</v>
      </c>
      <c r="L17" s="325"/>
    </row>
    <row r="18" spans="1:12" ht="15" customHeight="1" thickTop="1" x14ac:dyDescent="0.2">
      <c r="A18" s="1478" t="s">
        <v>1638</v>
      </c>
      <c r="B18" s="1479">
        <v>4180</v>
      </c>
      <c r="C18" s="1655">
        <f t="shared" ref="C18:H18" si="3">C9</f>
        <v>1567938</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22844275</v>
      </c>
      <c r="D19" s="1643">
        <f t="shared" si="4"/>
        <v>2261381</v>
      </c>
      <c r="E19" s="1643">
        <f t="shared" si="4"/>
        <v>835781</v>
      </c>
      <c r="F19" s="1643">
        <f t="shared" si="4"/>
        <v>1458051</v>
      </c>
      <c r="G19" s="1643">
        <f t="shared" si="4"/>
        <v>767908</v>
      </c>
      <c r="H19" s="1643">
        <f t="shared" si="4"/>
        <v>0</v>
      </c>
      <c r="I19" s="1624"/>
      <c r="J19" s="1643">
        <f>SUM(J17:J18)</f>
        <v>0</v>
      </c>
      <c r="K19" s="1643">
        <f>SUM(K17:K18)</f>
        <v>1009227</v>
      </c>
      <c r="L19" s="325"/>
    </row>
    <row r="20" spans="1:12" ht="16.5" thickTop="1" thickBot="1" x14ac:dyDescent="0.25">
      <c r="A20" s="2304" t="s">
        <v>1639</v>
      </c>
      <c r="B20" s="2305"/>
      <c r="C20" s="1671">
        <f>C8-C17</f>
        <v>-1140769</v>
      </c>
      <c r="D20" s="1671">
        <f t="shared" ref="D20:K20" si="5">D8-D17</f>
        <v>-142901</v>
      </c>
      <c r="E20" s="1671">
        <f t="shared" si="5"/>
        <v>60106</v>
      </c>
      <c r="F20" s="1671">
        <f t="shared" si="5"/>
        <v>-88635</v>
      </c>
      <c r="G20" s="1671">
        <f t="shared" si="5"/>
        <v>-703</v>
      </c>
      <c r="H20" s="1671">
        <f t="shared" si="5"/>
        <v>0</v>
      </c>
      <c r="I20" s="1671">
        <f t="shared" si="5"/>
        <v>389</v>
      </c>
      <c r="J20" s="1671">
        <f t="shared" si="5"/>
        <v>353</v>
      </c>
      <c r="K20" s="1671">
        <f t="shared" si="5"/>
        <v>-268281</v>
      </c>
      <c r="L20" s="325"/>
    </row>
    <row r="21" spans="1:12" ht="16.7" customHeight="1" thickTop="1" x14ac:dyDescent="0.2">
      <c r="A21" s="2316" t="s">
        <v>591</v>
      </c>
      <c r="B21" s="2317"/>
      <c r="C21" s="1651"/>
      <c r="D21" s="1652"/>
      <c r="E21" s="1652"/>
      <c r="F21" s="1652"/>
      <c r="G21" s="1652"/>
      <c r="H21" s="1652"/>
      <c r="I21" s="1652"/>
      <c r="J21" s="1652"/>
      <c r="K21" s="1664"/>
      <c r="L21" s="453"/>
    </row>
    <row r="22" spans="1:12" ht="15.75" customHeight="1" collapsed="1" x14ac:dyDescent="0.2">
      <c r="A22" s="2312" t="s">
        <v>592</v>
      </c>
      <c r="B22" s="2313"/>
      <c r="C22" s="1631"/>
      <c r="D22" s="1631"/>
      <c r="E22" s="1631"/>
      <c r="F22" s="1631"/>
      <c r="G22" s="1631"/>
      <c r="H22" s="1631"/>
      <c r="I22" s="1631"/>
      <c r="J22" s="1631"/>
      <c r="K22" s="1631"/>
      <c r="L22" s="325"/>
    </row>
    <row r="23" spans="1:12" s="433" customFormat="1" ht="15.75" customHeight="1" x14ac:dyDescent="0.2">
      <c r="A23" s="2308" t="s">
        <v>290</v>
      </c>
      <c r="B23" s="2309"/>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10" t="s">
        <v>974</v>
      </c>
      <c r="B32" s="2311"/>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v>943527</v>
      </c>
      <c r="D43" s="1623"/>
      <c r="E43" s="1623"/>
      <c r="F43" s="1623">
        <v>65000</v>
      </c>
      <c r="G43" s="1623"/>
      <c r="H43" s="1623"/>
      <c r="I43" s="1623"/>
      <c r="J43" s="1623"/>
      <c r="K43" s="1623"/>
      <c r="L43" s="453"/>
    </row>
    <row r="44" spans="1:12" s="433" customFormat="1" ht="13.5" customHeight="1" thickBot="1" x14ac:dyDescent="0.25">
      <c r="A44" s="2318" t="s">
        <v>371</v>
      </c>
      <c r="B44" s="2319"/>
      <c r="C44" s="1673">
        <f>SUM(C24:C43)</f>
        <v>943527</v>
      </c>
      <c r="D44" s="1673">
        <f t="shared" ref="D44:K44" si="6">SUM(D24:D43)</f>
        <v>0</v>
      </c>
      <c r="E44" s="1673">
        <f t="shared" si="6"/>
        <v>0</v>
      </c>
      <c r="F44" s="1673">
        <f t="shared" si="6"/>
        <v>65000</v>
      </c>
      <c r="G44" s="1673">
        <f t="shared" si="6"/>
        <v>0</v>
      </c>
      <c r="H44" s="1673">
        <f t="shared" si="6"/>
        <v>0</v>
      </c>
      <c r="I44" s="1673">
        <f t="shared" si="6"/>
        <v>0</v>
      </c>
      <c r="J44" s="1673">
        <f t="shared" si="6"/>
        <v>0</v>
      </c>
      <c r="K44" s="1673">
        <f t="shared" si="6"/>
        <v>0</v>
      </c>
      <c r="L44" s="453"/>
    </row>
    <row r="45" spans="1:12" ht="15.75" customHeight="1" thickTop="1" x14ac:dyDescent="0.2">
      <c r="A45" s="2312" t="s">
        <v>108</v>
      </c>
      <c r="B45" s="2313"/>
      <c r="C45" s="1674"/>
      <c r="D45" s="1674"/>
      <c r="E45" s="1674"/>
      <c r="F45" s="1674"/>
      <c r="G45" s="1674"/>
      <c r="H45" s="1674"/>
      <c r="I45" s="1674"/>
      <c r="J45" s="1674"/>
      <c r="K45" s="1674"/>
      <c r="L45" s="325"/>
    </row>
    <row r="46" spans="1:12" s="433" customFormat="1" ht="15.75" customHeight="1" x14ac:dyDescent="0.2">
      <c r="A46" s="2320" t="s">
        <v>109</v>
      </c>
      <c r="B46" s="2321"/>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v>943527</v>
      </c>
      <c r="L75" s="453"/>
    </row>
    <row r="76" spans="1:12" s="433" customFormat="1" ht="14.25" thickTop="1" thickBot="1" x14ac:dyDescent="0.25">
      <c r="A76" s="2294" t="s">
        <v>437</v>
      </c>
      <c r="B76" s="2295"/>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943527</v>
      </c>
      <c r="L76" s="453"/>
    </row>
    <row r="77" spans="1:12" ht="14.25" thickTop="1" thickBot="1" x14ac:dyDescent="0.25">
      <c r="A77" s="2296" t="s">
        <v>1169</v>
      </c>
      <c r="B77" s="2297"/>
      <c r="C77" s="1673">
        <f t="shared" ref="C77:K77" si="8">C44-C76</f>
        <v>943527</v>
      </c>
      <c r="D77" s="1673">
        <f t="shared" si="8"/>
        <v>0</v>
      </c>
      <c r="E77" s="1673">
        <f t="shared" si="8"/>
        <v>0</v>
      </c>
      <c r="F77" s="1673">
        <f t="shared" si="8"/>
        <v>65000</v>
      </c>
      <c r="G77" s="1673">
        <f t="shared" si="8"/>
        <v>0</v>
      </c>
      <c r="H77" s="1673">
        <f t="shared" si="8"/>
        <v>0</v>
      </c>
      <c r="I77" s="1673">
        <f t="shared" si="8"/>
        <v>0</v>
      </c>
      <c r="J77" s="1673">
        <f t="shared" si="8"/>
        <v>0</v>
      </c>
      <c r="K77" s="1673">
        <f t="shared" si="8"/>
        <v>-943527</v>
      </c>
      <c r="L77" s="325"/>
    </row>
    <row r="78" spans="1:12" ht="21.75" customHeight="1" thickTop="1" thickBot="1" x14ac:dyDescent="0.25">
      <c r="A78" s="2300" t="s">
        <v>593</v>
      </c>
      <c r="B78" s="2301"/>
      <c r="C78" s="1678">
        <f t="shared" ref="C78:K78" si="9">C20+C77</f>
        <v>-197242</v>
      </c>
      <c r="D78" s="1678">
        <f t="shared" si="9"/>
        <v>-142901</v>
      </c>
      <c r="E78" s="1678">
        <f t="shared" si="9"/>
        <v>60106</v>
      </c>
      <c r="F78" s="1678">
        <f t="shared" si="9"/>
        <v>-23635</v>
      </c>
      <c r="G78" s="1678">
        <f t="shared" si="9"/>
        <v>-703</v>
      </c>
      <c r="H78" s="1678">
        <f t="shared" si="9"/>
        <v>0</v>
      </c>
      <c r="I78" s="1678">
        <f t="shared" si="9"/>
        <v>389</v>
      </c>
      <c r="J78" s="1678">
        <f t="shared" si="9"/>
        <v>353</v>
      </c>
      <c r="K78" s="1678">
        <f t="shared" si="9"/>
        <v>-1211808</v>
      </c>
      <c r="L78" s="457"/>
    </row>
    <row r="79" spans="1:12" ht="13.5" thickTop="1" x14ac:dyDescent="0.2">
      <c r="A79" s="1901" t="str">
        <f>"Fund Balances - July 1, "&amp;'AFR20'!E2-1</f>
        <v>Fund Balances - July 1, 2019</v>
      </c>
      <c r="B79" s="458"/>
      <c r="C79" s="1632">
        <v>297242</v>
      </c>
      <c r="D79" s="1679">
        <v>149401</v>
      </c>
      <c r="E79" s="1679">
        <v>206482</v>
      </c>
      <c r="F79" s="1679">
        <v>27935</v>
      </c>
      <c r="G79" s="1679">
        <v>703</v>
      </c>
      <c r="H79" s="1679"/>
      <c r="I79" s="1679">
        <v>752146</v>
      </c>
      <c r="J79" s="1679">
        <v>1239</v>
      </c>
      <c r="K79" s="1679">
        <v>1516855</v>
      </c>
      <c r="L79" s="325"/>
    </row>
    <row r="80" spans="1:12" x14ac:dyDescent="0.2">
      <c r="A80" s="2306" t="s">
        <v>1772</v>
      </c>
      <c r="B80" s="2307"/>
      <c r="C80" s="1623"/>
      <c r="D80" s="1623"/>
      <c r="E80" s="1623"/>
      <c r="F80" s="1623"/>
      <c r="G80" s="1623"/>
      <c r="H80" s="1623"/>
      <c r="I80" s="1623"/>
      <c r="J80" s="1623"/>
      <c r="K80" s="1623"/>
      <c r="L80" s="325"/>
    </row>
    <row r="81" spans="1:12" ht="13.5" thickBot="1" x14ac:dyDescent="0.25">
      <c r="A81" s="2298" t="str">
        <f>"Fund Balances - June 30, "&amp;'AFR20'!E2</f>
        <v>Fund Balances - June 30, 2020</v>
      </c>
      <c r="B81" s="2299"/>
      <c r="C81" s="1643">
        <f>(SUM(C78:C80))</f>
        <v>100000</v>
      </c>
      <c r="D81" s="1643">
        <f>SUM(D78:D80)</f>
        <v>6500</v>
      </c>
      <c r="E81" s="1643">
        <f t="shared" ref="E81:K81" si="10">SUM(E78:E80)</f>
        <v>266588</v>
      </c>
      <c r="F81" s="1643">
        <f t="shared" si="10"/>
        <v>4300</v>
      </c>
      <c r="G81" s="1643">
        <f t="shared" si="10"/>
        <v>0</v>
      </c>
      <c r="H81" s="1643">
        <f t="shared" si="10"/>
        <v>0</v>
      </c>
      <c r="I81" s="1643">
        <f t="shared" si="10"/>
        <v>752535</v>
      </c>
      <c r="J81" s="1643">
        <f t="shared" si="10"/>
        <v>1592</v>
      </c>
      <c r="K81" s="1643">
        <f t="shared" si="10"/>
        <v>305047</v>
      </c>
      <c r="L81" s="325"/>
    </row>
    <row r="82" spans="1:12" ht="0.75" customHeight="1" thickTop="1" thickBot="1" x14ac:dyDescent="0.25">
      <c r="A82" s="459" t="s">
        <v>340</v>
      </c>
      <c r="B82" s="460"/>
      <c r="C82" s="461">
        <f>(C81-C79)</f>
        <v>-197242</v>
      </c>
      <c r="D82" s="461">
        <f t="shared" ref="D82:K82" si="11">(D81-D79)</f>
        <v>-142901</v>
      </c>
      <c r="E82" s="461">
        <f t="shared" si="11"/>
        <v>60106</v>
      </c>
      <c r="F82" s="461">
        <f t="shared" si="11"/>
        <v>-23635</v>
      </c>
      <c r="G82" s="461">
        <f t="shared" si="11"/>
        <v>-703</v>
      </c>
      <c r="H82" s="461">
        <f t="shared" si="11"/>
        <v>0</v>
      </c>
      <c r="I82" s="461">
        <f t="shared" si="11"/>
        <v>389</v>
      </c>
      <c r="J82" s="461">
        <f t="shared" si="11"/>
        <v>353</v>
      </c>
      <c r="K82" s="461">
        <f t="shared" si="11"/>
        <v>-1211808</v>
      </c>
    </row>
    <row r="83" spans="1:12" ht="14.25" hidden="1" thickTop="1" thickBot="1" x14ac:dyDescent="0.25">
      <c r="A83" s="462" t="s">
        <v>341</v>
      </c>
      <c r="B83" s="428"/>
      <c r="C83" s="463">
        <f>C82/C81</f>
        <v>-1.9724200000000001</v>
      </c>
      <c r="D83" s="463">
        <f t="shared" ref="D83:K83" si="12">D82/D81</f>
        <v>-21.984769230769231</v>
      </c>
      <c r="E83" s="463">
        <f t="shared" si="12"/>
        <v>0.22546401188350562</v>
      </c>
      <c r="F83" s="463">
        <f t="shared" si="12"/>
        <v>-5.496511627906977</v>
      </c>
      <c r="G83" s="463" t="e">
        <f t="shared" si="12"/>
        <v>#DIV/0!</v>
      </c>
      <c r="H83" s="463" t="e">
        <f t="shared" si="12"/>
        <v>#DIV/0!</v>
      </c>
      <c r="I83" s="463">
        <f t="shared" si="12"/>
        <v>5.169194788282273E-4</v>
      </c>
      <c r="J83" s="463">
        <f t="shared" si="12"/>
        <v>0.22173366834170855</v>
      </c>
      <c r="K83" s="463">
        <f t="shared" si="12"/>
        <v>-3.9725288234272096</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77" activePane="bottomLeft" state="frozen"/>
      <selection activeCell="U51" sqref="U51"/>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1779</v>
      </c>
      <c r="B1" s="416"/>
      <c r="C1" s="417" t="s">
        <v>422</v>
      </c>
      <c r="D1" s="417" t="s">
        <v>423</v>
      </c>
      <c r="E1" s="417" t="s">
        <v>424</v>
      </c>
      <c r="F1" s="417" t="s">
        <v>425</v>
      </c>
      <c r="G1" s="417" t="s">
        <v>426</v>
      </c>
      <c r="H1" s="417" t="s">
        <v>427</v>
      </c>
      <c r="I1" s="417" t="s">
        <v>428</v>
      </c>
      <c r="J1" s="417" t="s">
        <v>429</v>
      </c>
      <c r="K1" s="417" t="s">
        <v>751</v>
      </c>
    </row>
    <row r="2" spans="1:12" ht="36" x14ac:dyDescent="0.2">
      <c r="A2" s="230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12220563</v>
      </c>
      <c r="D5" s="1635">
        <v>1624960</v>
      </c>
      <c r="E5" s="1622">
        <v>784198</v>
      </c>
      <c r="F5" s="1680">
        <v>163741</v>
      </c>
      <c r="G5" s="1622">
        <v>207589</v>
      </c>
      <c r="H5" s="1622"/>
      <c r="I5" s="1622">
        <v>353</v>
      </c>
      <c r="J5" s="1623">
        <v>353</v>
      </c>
      <c r="K5" s="1622">
        <v>3348</v>
      </c>
    </row>
    <row r="6" spans="1:12" ht="15" x14ac:dyDescent="0.2">
      <c r="A6" s="427" t="s">
        <v>1646</v>
      </c>
      <c r="B6" s="429">
        <v>1130</v>
      </c>
      <c r="C6" s="1622">
        <v>352</v>
      </c>
      <c r="D6" s="1622"/>
      <c r="E6" s="1629"/>
      <c r="F6" s="1629"/>
      <c r="G6" s="1624"/>
      <c r="H6" s="1624"/>
      <c r="I6" s="1624"/>
      <c r="J6" s="1624"/>
      <c r="K6" s="1624"/>
    </row>
    <row r="7" spans="1:12" x14ac:dyDescent="0.2">
      <c r="A7" s="427" t="s">
        <v>110</v>
      </c>
      <c r="B7" s="471">
        <v>1140</v>
      </c>
      <c r="C7" s="1622">
        <v>530953</v>
      </c>
      <c r="D7" s="1622"/>
      <c r="E7" s="1624"/>
      <c r="F7" s="1623"/>
      <c r="G7" s="1623"/>
      <c r="H7" s="1623"/>
      <c r="I7" s="1624"/>
      <c r="J7" s="1624"/>
      <c r="K7" s="1624"/>
    </row>
    <row r="8" spans="1:12" x14ac:dyDescent="0.2">
      <c r="A8" s="427" t="s">
        <v>410</v>
      </c>
      <c r="B8" s="429">
        <v>1150</v>
      </c>
      <c r="C8" s="1629"/>
      <c r="D8" s="1629"/>
      <c r="E8" s="1631"/>
      <c r="F8" s="1631"/>
      <c r="G8" s="1635">
        <v>207589</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12751868</v>
      </c>
      <c r="D12" s="1682">
        <f t="shared" si="0"/>
        <v>1624960</v>
      </c>
      <c r="E12" s="1682">
        <f t="shared" si="0"/>
        <v>784198</v>
      </c>
      <c r="F12" s="1682">
        <f t="shared" si="0"/>
        <v>163741</v>
      </c>
      <c r="G12" s="1682">
        <f t="shared" si="0"/>
        <v>415178</v>
      </c>
      <c r="H12" s="1682">
        <f t="shared" si="0"/>
        <v>0</v>
      </c>
      <c r="I12" s="1682">
        <f t="shared" si="0"/>
        <v>353</v>
      </c>
      <c r="J12" s="1682">
        <f t="shared" si="0"/>
        <v>353</v>
      </c>
      <c r="K12" s="1643">
        <f t="shared" si="0"/>
        <v>3348</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364032</v>
      </c>
      <c r="D16" s="1622"/>
      <c r="E16" s="1622"/>
      <c r="F16" s="1622"/>
      <c r="G16" s="1622"/>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364032</v>
      </c>
      <c r="D18" s="1684">
        <f t="shared" ref="D18:K18" si="1">SUM(D14:D17)</f>
        <v>0</v>
      </c>
      <c r="E18" s="1684">
        <f t="shared" si="1"/>
        <v>0</v>
      </c>
      <c r="F18" s="1684">
        <f t="shared" si="1"/>
        <v>0</v>
      </c>
      <c r="G18" s="1684">
        <f t="shared" si="1"/>
        <v>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v>5874</v>
      </c>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5874</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11038</v>
      </c>
      <c r="D65" s="1622">
        <v>1401</v>
      </c>
      <c r="E65" s="1622">
        <v>726</v>
      </c>
      <c r="F65" s="1623">
        <v>281</v>
      </c>
      <c r="G65" s="1622">
        <v>302</v>
      </c>
      <c r="H65" s="1622"/>
      <c r="I65" s="1622">
        <v>36</v>
      </c>
      <c r="J65" s="1623"/>
      <c r="K65" s="1622">
        <v>9234</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11038</v>
      </c>
      <c r="D67" s="1643">
        <f t="shared" ref="D67:K67" si="2">SUM(D65:D66)</f>
        <v>1401</v>
      </c>
      <c r="E67" s="1643">
        <f t="shared" si="2"/>
        <v>726</v>
      </c>
      <c r="F67" s="1643">
        <f t="shared" si="2"/>
        <v>281</v>
      </c>
      <c r="G67" s="1643">
        <f t="shared" si="2"/>
        <v>302</v>
      </c>
      <c r="H67" s="1643">
        <f t="shared" si="2"/>
        <v>0</v>
      </c>
      <c r="I67" s="1643">
        <f t="shared" si="2"/>
        <v>36</v>
      </c>
      <c r="J67" s="1643">
        <f t="shared" si="2"/>
        <v>0</v>
      </c>
      <c r="K67" s="1643">
        <f t="shared" si="2"/>
        <v>9234</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161924</v>
      </c>
      <c r="D69" s="1624"/>
      <c r="E69" s="1624"/>
      <c r="F69" s="1624"/>
      <c r="G69" s="1624"/>
      <c r="H69" s="1624"/>
      <c r="I69" s="1624"/>
      <c r="J69" s="1624"/>
      <c r="K69" s="1624"/>
    </row>
    <row r="70" spans="1:11" ht="12.75" customHeight="1" x14ac:dyDescent="0.2">
      <c r="A70" s="427" t="s">
        <v>990</v>
      </c>
      <c r="B70" s="429">
        <v>1612</v>
      </c>
      <c r="C70" s="1681">
        <v>15401</v>
      </c>
      <c r="D70" s="1624"/>
      <c r="E70" s="1624"/>
      <c r="F70" s="1624"/>
      <c r="G70" s="1624"/>
      <c r="H70" s="1624"/>
      <c r="I70" s="1624"/>
      <c r="J70" s="1624"/>
      <c r="K70" s="1624"/>
    </row>
    <row r="71" spans="1:11" ht="12.75" customHeight="1" x14ac:dyDescent="0.2">
      <c r="A71" s="427" t="s">
        <v>271</v>
      </c>
      <c r="B71" s="429">
        <v>1613</v>
      </c>
      <c r="C71" s="1681">
        <v>53914</v>
      </c>
      <c r="D71" s="1624"/>
      <c r="E71" s="1624"/>
      <c r="F71" s="1624"/>
      <c r="G71" s="1624"/>
      <c r="H71" s="1624"/>
      <c r="I71" s="1624"/>
      <c r="J71" s="1624"/>
      <c r="K71" s="1624"/>
    </row>
    <row r="72" spans="1:11" ht="12.75" customHeight="1" x14ac:dyDescent="0.2">
      <c r="A72" s="427" t="s">
        <v>24</v>
      </c>
      <c r="B72" s="429">
        <v>1614</v>
      </c>
      <c r="C72" s="1681">
        <v>1733</v>
      </c>
      <c r="D72" s="1624"/>
      <c r="E72" s="1624"/>
      <c r="F72" s="1624"/>
      <c r="G72" s="1624"/>
      <c r="H72" s="1624"/>
      <c r="I72" s="1624"/>
      <c r="J72" s="1624"/>
      <c r="K72" s="1624"/>
    </row>
    <row r="73" spans="1:11" ht="12.75" customHeight="1" x14ac:dyDescent="0.2">
      <c r="A73" s="427" t="s">
        <v>991</v>
      </c>
      <c r="B73" s="429">
        <v>1620</v>
      </c>
      <c r="C73" s="1681">
        <v>1999</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234971</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24259</v>
      </c>
      <c r="D77" s="1622"/>
      <c r="E77" s="1624"/>
      <c r="F77" s="1624"/>
      <c r="G77" s="1624"/>
      <c r="H77" s="1624"/>
      <c r="I77" s="1624"/>
      <c r="J77" s="1624"/>
      <c r="K77" s="1624"/>
    </row>
    <row r="78" spans="1:11" ht="12.75" customHeight="1" x14ac:dyDescent="0.2">
      <c r="A78" s="427" t="s">
        <v>76</v>
      </c>
      <c r="B78" s="429">
        <v>1719</v>
      </c>
      <c r="C78" s="1681">
        <v>4613</v>
      </c>
      <c r="D78" s="1622"/>
      <c r="E78" s="1624"/>
      <c r="F78" s="1624"/>
      <c r="G78" s="1624"/>
      <c r="H78" s="1624"/>
      <c r="I78" s="1624"/>
      <c r="J78" s="1624"/>
      <c r="K78" s="1624"/>
    </row>
    <row r="79" spans="1:11" ht="12.75" customHeight="1" x14ac:dyDescent="0.2">
      <c r="A79" s="427" t="s">
        <v>546</v>
      </c>
      <c r="B79" s="429">
        <v>1720</v>
      </c>
      <c r="C79" s="1681">
        <v>71265</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100137</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165839</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165839</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v>17278</v>
      </c>
      <c r="E95" s="1666"/>
      <c r="F95" s="1666"/>
      <c r="G95" s="1666"/>
      <c r="H95" s="1666"/>
      <c r="I95" s="1666"/>
      <c r="J95" s="1666"/>
      <c r="K95" s="1666"/>
    </row>
    <row r="96" spans="1:11" ht="12.75" customHeight="1" x14ac:dyDescent="0.2">
      <c r="A96" s="427" t="s">
        <v>388</v>
      </c>
      <c r="B96" s="429">
        <v>1920</v>
      </c>
      <c r="C96" s="1681"/>
      <c r="D96" s="1681"/>
      <c r="E96" s="1633"/>
      <c r="F96" s="1632"/>
      <c r="G96" s="1632"/>
      <c r="H96" s="1632"/>
      <c r="I96" s="1632"/>
      <c r="J96" s="1632"/>
      <c r="K96" s="1632"/>
    </row>
    <row r="97" spans="1:12" ht="12.75" customHeight="1" x14ac:dyDescent="0.2">
      <c r="A97" s="1309" t="s">
        <v>242</v>
      </c>
      <c r="B97" s="477">
        <v>1930</v>
      </c>
      <c r="C97" s="1647"/>
      <c r="D97" s="1623"/>
      <c r="E97" s="1628">
        <v>3270</v>
      </c>
      <c r="F97" s="1623"/>
      <c r="G97" s="1623"/>
      <c r="H97" s="1623"/>
      <c r="I97" s="1623"/>
      <c r="J97" s="1623"/>
      <c r="K97" s="1623"/>
    </row>
    <row r="98" spans="1:12" ht="12.75" customHeight="1" x14ac:dyDescent="0.2">
      <c r="A98" s="427" t="s">
        <v>188</v>
      </c>
      <c r="B98" s="429">
        <v>1940</v>
      </c>
      <c r="C98" s="1647">
        <v>13840</v>
      </c>
      <c r="D98" s="1622"/>
      <c r="E98" s="1661"/>
      <c r="F98" s="1622"/>
      <c r="G98" s="1661"/>
      <c r="H98" s="1661"/>
      <c r="I98" s="1659"/>
      <c r="J98" s="1661"/>
      <c r="K98" s="1661"/>
    </row>
    <row r="99" spans="1:12" ht="12.75" customHeight="1" x14ac:dyDescent="0.2">
      <c r="A99" s="427" t="s">
        <v>816</v>
      </c>
      <c r="B99" s="429">
        <v>1950</v>
      </c>
      <c r="C99" s="1647">
        <v>450</v>
      </c>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v>18255</v>
      </c>
      <c r="D101" s="1672"/>
      <c r="E101" s="1634"/>
      <c r="F101" s="1672"/>
      <c r="G101" s="1629"/>
      <c r="H101" s="1672"/>
      <c r="I101" s="1624"/>
      <c r="J101" s="1629"/>
      <c r="K101" s="1629"/>
    </row>
    <row r="102" spans="1:12" ht="12.75" customHeight="1" x14ac:dyDescent="0.2">
      <c r="A102" s="427" t="s">
        <v>245</v>
      </c>
      <c r="B102" s="429">
        <v>1980</v>
      </c>
      <c r="C102" s="1647">
        <v>8979</v>
      </c>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17239</v>
      </c>
      <c r="D107" s="1622">
        <v>71005</v>
      </c>
      <c r="E107" s="1622"/>
      <c r="F107" s="1622">
        <v>51558</v>
      </c>
      <c r="G107" s="1622"/>
      <c r="H107" s="1622"/>
      <c r="I107" s="1622"/>
      <c r="J107" s="1623"/>
      <c r="K107" s="1622"/>
    </row>
    <row r="108" spans="1:12" ht="12.75" customHeight="1" thickBot="1" x14ac:dyDescent="0.25">
      <c r="A108" s="1454" t="s">
        <v>484</v>
      </c>
      <c r="B108" s="1456"/>
      <c r="C108" s="1682">
        <f>SUM(C95:C107)</f>
        <v>58763</v>
      </c>
      <c r="D108" s="1682">
        <f t="shared" ref="D108:K108" si="3">SUM(D95:D107)</f>
        <v>88283</v>
      </c>
      <c r="E108" s="1682">
        <f t="shared" si="3"/>
        <v>3270</v>
      </c>
      <c r="F108" s="1682">
        <f t="shared" si="3"/>
        <v>51558</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13686648</v>
      </c>
      <c r="D109" s="1690">
        <f t="shared" si="4"/>
        <v>1714644</v>
      </c>
      <c r="E109" s="1690">
        <f t="shared" si="4"/>
        <v>788194</v>
      </c>
      <c r="F109" s="1690">
        <f t="shared" si="4"/>
        <v>221454</v>
      </c>
      <c r="G109" s="1690">
        <f t="shared" si="4"/>
        <v>415480</v>
      </c>
      <c r="H109" s="1690">
        <f t="shared" si="4"/>
        <v>0</v>
      </c>
      <c r="I109" s="1690">
        <f t="shared" si="4"/>
        <v>389</v>
      </c>
      <c r="J109" s="1690">
        <f t="shared" si="4"/>
        <v>353</v>
      </c>
      <c r="K109" s="1678">
        <f t="shared" si="4"/>
        <v>12582</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4124763</v>
      </c>
      <c r="D117" s="1635">
        <v>353836</v>
      </c>
      <c r="E117" s="1622">
        <v>107693</v>
      </c>
      <c r="F117" s="1635">
        <v>508138</v>
      </c>
      <c r="G117" s="1635">
        <v>351725</v>
      </c>
      <c r="H117" s="1622"/>
      <c r="I117" s="1624"/>
      <c r="J117" s="1623"/>
      <c r="K117" s="1622">
        <v>728364</v>
      </c>
    </row>
    <row r="118" spans="1:11" ht="12.75" customHeight="1" x14ac:dyDescent="0.2">
      <c r="A118" s="427" t="s">
        <v>1776</v>
      </c>
      <c r="B118" s="478">
        <v>3002</v>
      </c>
      <c r="C118" s="1681"/>
      <c r="D118" s="1622"/>
      <c r="E118" s="1622"/>
      <c r="F118" s="1622"/>
      <c r="G118" s="1622"/>
      <c r="H118" s="1622"/>
      <c r="I118" s="1624"/>
      <c r="J118" s="1623"/>
      <c r="K118" s="1622"/>
    </row>
    <row r="119" spans="1:11" ht="12.75" customHeight="1" x14ac:dyDescent="0.2">
      <c r="A119" s="427" t="s">
        <v>1777</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4124763</v>
      </c>
      <c r="D122" s="1682">
        <f t="shared" si="5"/>
        <v>353836</v>
      </c>
      <c r="E122" s="1682">
        <f t="shared" si="5"/>
        <v>107693</v>
      </c>
      <c r="F122" s="1682">
        <f t="shared" si="5"/>
        <v>508138</v>
      </c>
      <c r="G122" s="1682">
        <f t="shared" si="5"/>
        <v>351725</v>
      </c>
      <c r="H122" s="1682">
        <f t="shared" si="5"/>
        <v>0</v>
      </c>
      <c r="I122" s="1624"/>
      <c r="J122" s="1682">
        <f>SUM(J117:J121)</f>
        <v>0</v>
      </c>
      <c r="K122" s="1643">
        <f>SUM(K117:K121)</f>
        <v>728364</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435286</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16689</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451975</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v>11411</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11411</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3884</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11312</v>
      </c>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176505</v>
      </c>
      <c r="G152" s="1623"/>
      <c r="H152" s="1624"/>
      <c r="I152" s="1624"/>
      <c r="J152" s="1624"/>
      <c r="K152" s="1624"/>
    </row>
    <row r="153" spans="1:11" ht="12.75" customHeight="1" x14ac:dyDescent="0.2">
      <c r="A153" s="427" t="s">
        <v>1050</v>
      </c>
      <c r="B153" s="478">
        <v>3510</v>
      </c>
      <c r="C153" s="1681"/>
      <c r="D153" s="1622"/>
      <c r="E153" s="1689"/>
      <c r="F153" s="1622">
        <v>463319</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639824</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265696</v>
      </c>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v>50000</v>
      </c>
      <c r="E167" s="1666"/>
      <c r="F167" s="1666"/>
      <c r="G167" s="1624"/>
      <c r="H167" s="1676"/>
      <c r="I167" s="1624"/>
      <c r="J167" s="1624"/>
      <c r="K167" s="1675"/>
    </row>
    <row r="168" spans="1:11" ht="14.25" thickTop="1" thickBot="1" x14ac:dyDescent="0.25">
      <c r="A168" s="1314" t="s">
        <v>70</v>
      </c>
      <c r="B168" s="484">
        <v>3999</v>
      </c>
      <c r="C168" s="1703"/>
      <c r="D168" s="1704"/>
      <c r="E168" s="1704"/>
      <c r="F168" s="1704"/>
      <c r="G168" s="1705"/>
      <c r="H168" s="1706"/>
      <c r="I168" s="1705"/>
      <c r="J168" s="1705"/>
      <c r="K168" s="1706"/>
    </row>
    <row r="169" spans="1:11" ht="12.75" customHeight="1" thickTop="1" thickBot="1" x14ac:dyDescent="0.25">
      <c r="A169" s="2322" t="s">
        <v>395</v>
      </c>
      <c r="B169" s="2323"/>
      <c r="C169" s="1707">
        <f t="shared" ref="C169:K169" si="6">SUM(C132,C141,C145,C146:C150,C155,C156:C167,C168)</f>
        <v>744278</v>
      </c>
      <c r="D169" s="1707">
        <f t="shared" si="6"/>
        <v>50000</v>
      </c>
      <c r="E169" s="1707">
        <f t="shared" si="6"/>
        <v>0</v>
      </c>
      <c r="F169" s="1707">
        <f t="shared" si="6"/>
        <v>639824</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4869041</v>
      </c>
      <c r="D170" s="1690">
        <f t="shared" si="7"/>
        <v>403836</v>
      </c>
      <c r="E170" s="1690">
        <f t="shared" si="7"/>
        <v>107693</v>
      </c>
      <c r="F170" s="1690">
        <f t="shared" si="7"/>
        <v>1147962</v>
      </c>
      <c r="G170" s="1690">
        <f t="shared" si="7"/>
        <v>351725</v>
      </c>
      <c r="H170" s="1690">
        <f t="shared" si="7"/>
        <v>0</v>
      </c>
      <c r="I170" s="1690">
        <f t="shared" si="7"/>
        <v>0</v>
      </c>
      <c r="J170" s="1690">
        <f t="shared" si="7"/>
        <v>0</v>
      </c>
      <c r="K170" s="1678">
        <f t="shared" si="7"/>
        <v>728364</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24" t="s">
        <v>1478</v>
      </c>
      <c r="B172" s="2325"/>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28" t="s">
        <v>1649</v>
      </c>
      <c r="B175" s="2329"/>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32" t="s">
        <v>1648</v>
      </c>
      <c r="B176" s="2333"/>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30" t="s">
        <v>780</v>
      </c>
      <c r="B181" s="2331"/>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6" t="s">
        <v>1780</v>
      </c>
      <c r="B182" s="2327"/>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200324</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52832</v>
      </c>
      <c r="D193" s="1624"/>
      <c r="E193" s="1689"/>
      <c r="F193" s="1624"/>
      <c r="G193" s="1713"/>
      <c r="H193" s="1624"/>
      <c r="I193" s="1624"/>
      <c r="J193" s="1624"/>
      <c r="K193" s="1624"/>
    </row>
    <row r="194" spans="1:11" ht="12.75" customHeight="1" x14ac:dyDescent="0.2">
      <c r="A194" s="427" t="s">
        <v>1437</v>
      </c>
      <c r="B194" s="429">
        <v>4225</v>
      </c>
      <c r="C194" s="1681">
        <v>33121</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286277</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342979</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342979</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35270</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35270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11358</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458185</v>
      </c>
      <c r="D213" s="1622"/>
      <c r="E213" s="1624"/>
      <c r="F213" s="1622"/>
      <c r="G213" s="1622"/>
      <c r="H213" s="1624"/>
      <c r="I213" s="1624"/>
      <c r="J213" s="1624"/>
      <c r="K213" s="1624"/>
    </row>
    <row r="214" spans="1:11" ht="12.75" customHeight="1" x14ac:dyDescent="0.2">
      <c r="A214" s="427" t="s">
        <v>1047</v>
      </c>
      <c r="B214" s="429">
        <v>4625</v>
      </c>
      <c r="C214" s="1681">
        <v>110860</v>
      </c>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580403</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v>17580</v>
      </c>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17580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80388</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39128</v>
      </c>
      <c r="D263" s="1700"/>
      <c r="E263" s="1624"/>
      <c r="F263" s="1700"/>
      <c r="G263" s="1700"/>
      <c r="H263" s="1624"/>
      <c r="I263" s="1624"/>
      <c r="J263" s="1624"/>
      <c r="K263" s="1624"/>
    </row>
    <row r="264" spans="1:11" ht="12.75" customHeight="1" thickTop="1" thickBot="1" x14ac:dyDescent="0.25">
      <c r="A264" s="427" t="s">
        <v>374</v>
      </c>
      <c r="B264" s="429">
        <v>4992</v>
      </c>
      <c r="C264" s="1699">
        <v>197854</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1579879</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1579879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20135568</v>
      </c>
      <c r="D268" s="1690">
        <f t="shared" si="12"/>
        <v>2118480</v>
      </c>
      <c r="E268" s="1690">
        <f t="shared" si="12"/>
        <v>895887</v>
      </c>
      <c r="F268" s="1690">
        <f t="shared" si="12"/>
        <v>1369416</v>
      </c>
      <c r="G268" s="1690">
        <f t="shared" si="12"/>
        <v>767205</v>
      </c>
      <c r="H268" s="1690">
        <f t="shared" si="12"/>
        <v>0</v>
      </c>
      <c r="I268" s="1690">
        <f t="shared" si="12"/>
        <v>389</v>
      </c>
      <c r="J268" s="1690">
        <f t="shared" si="12"/>
        <v>353</v>
      </c>
      <c r="K268" s="1678">
        <f t="shared" si="12"/>
        <v>740946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11" activePane="bottomLeft" state="frozen"/>
      <selection activeCell="U51" sqref="U51"/>
      <selection pane="bottomLeft" activeCell="L275" sqref="L27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2" t="s">
        <v>294</v>
      </c>
      <c r="B3" s="2343"/>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7707828</v>
      </c>
      <c r="D5" s="1622">
        <v>2994140</v>
      </c>
      <c r="E5" s="1622">
        <v>166171</v>
      </c>
      <c r="F5" s="1622">
        <v>303902</v>
      </c>
      <c r="G5" s="1622">
        <v>23901</v>
      </c>
      <c r="H5" s="1622">
        <v>750</v>
      </c>
      <c r="I5" s="1623"/>
      <c r="J5" s="1623"/>
      <c r="K5" s="1721">
        <f>SUM(C5:J5)</f>
        <v>11196692</v>
      </c>
      <c r="L5" s="1622">
        <v>11329100</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v>3235</v>
      </c>
      <c r="F7" s="1623">
        <v>8439</v>
      </c>
      <c r="G7" s="1623"/>
      <c r="H7" s="1623"/>
      <c r="I7" s="1623"/>
      <c r="J7" s="1623"/>
      <c r="K7" s="1721">
        <f t="shared" ref="K7:K32" si="0">SUM(C7:J7)</f>
        <v>11674</v>
      </c>
      <c r="L7" s="1622">
        <v>31266</v>
      </c>
    </row>
    <row r="8" spans="1:14" x14ac:dyDescent="0.2">
      <c r="A8" s="1318" t="s">
        <v>163</v>
      </c>
      <c r="B8" s="503">
        <v>1200</v>
      </c>
      <c r="C8" s="1622">
        <v>2221057</v>
      </c>
      <c r="D8" s="1622">
        <v>161312</v>
      </c>
      <c r="E8" s="1622">
        <v>171204</v>
      </c>
      <c r="F8" s="1622">
        <v>3210</v>
      </c>
      <c r="G8" s="1622"/>
      <c r="H8" s="1622"/>
      <c r="I8" s="1623"/>
      <c r="J8" s="1623"/>
      <c r="K8" s="1721">
        <f t="shared" si="0"/>
        <v>2556783</v>
      </c>
      <c r="L8" s="1622">
        <v>2272083</v>
      </c>
    </row>
    <row r="9" spans="1:14" x14ac:dyDescent="0.2">
      <c r="A9" s="1318" t="s">
        <v>716</v>
      </c>
      <c r="B9" s="503" t="s">
        <v>962</v>
      </c>
      <c r="C9" s="1623">
        <v>181878</v>
      </c>
      <c r="D9" s="1623">
        <v>15045</v>
      </c>
      <c r="E9" s="1623"/>
      <c r="F9" s="1623"/>
      <c r="G9" s="1623"/>
      <c r="H9" s="1623"/>
      <c r="I9" s="1623"/>
      <c r="J9" s="1623"/>
      <c r="K9" s="1721">
        <f t="shared" si="0"/>
        <v>196923</v>
      </c>
      <c r="L9" s="1622">
        <v>192616</v>
      </c>
    </row>
    <row r="10" spans="1:14" x14ac:dyDescent="0.2">
      <c r="A10" s="1318" t="s">
        <v>717</v>
      </c>
      <c r="B10" s="503">
        <v>1250</v>
      </c>
      <c r="C10" s="1622">
        <v>311600</v>
      </c>
      <c r="D10" s="1622">
        <v>47055</v>
      </c>
      <c r="E10" s="1622"/>
      <c r="F10" s="1622"/>
      <c r="G10" s="1622"/>
      <c r="H10" s="1622"/>
      <c r="I10" s="1623"/>
      <c r="J10" s="1623"/>
      <c r="K10" s="1721">
        <f t="shared" si="0"/>
        <v>358655</v>
      </c>
      <c r="L10" s="1622">
        <v>381268</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v>134364</v>
      </c>
      <c r="D13" s="1622">
        <v>15589</v>
      </c>
      <c r="E13" s="1622">
        <v>68736</v>
      </c>
      <c r="F13" s="1622">
        <v>35466</v>
      </c>
      <c r="G13" s="1622">
        <v>2780</v>
      </c>
      <c r="H13" s="1622"/>
      <c r="I13" s="1623"/>
      <c r="J13" s="1623"/>
      <c r="K13" s="1721">
        <f t="shared" si="0"/>
        <v>256935</v>
      </c>
      <c r="L13" s="1622">
        <v>266179</v>
      </c>
    </row>
    <row r="14" spans="1:14" x14ac:dyDescent="0.2">
      <c r="A14" s="1318" t="s">
        <v>957</v>
      </c>
      <c r="B14" s="503">
        <v>1500</v>
      </c>
      <c r="C14" s="1622">
        <v>419487</v>
      </c>
      <c r="D14" s="1622">
        <v>41235</v>
      </c>
      <c r="E14" s="1622">
        <v>94834</v>
      </c>
      <c r="F14" s="1622">
        <v>63443</v>
      </c>
      <c r="G14" s="1622"/>
      <c r="H14" s="1622">
        <v>6900</v>
      </c>
      <c r="I14" s="1623">
        <v>23901</v>
      </c>
      <c r="J14" s="1623"/>
      <c r="K14" s="1721">
        <f t="shared" si="0"/>
        <v>649800</v>
      </c>
      <c r="L14" s="1622">
        <v>734519</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v>92258</v>
      </c>
      <c r="D16" s="1622">
        <v>1286</v>
      </c>
      <c r="E16" s="1622"/>
      <c r="F16" s="1622"/>
      <c r="G16" s="1622"/>
      <c r="H16" s="1622"/>
      <c r="I16" s="1623"/>
      <c r="J16" s="1623"/>
      <c r="K16" s="1721">
        <f t="shared" si="0"/>
        <v>93544</v>
      </c>
      <c r="L16" s="1622">
        <v>94833</v>
      </c>
    </row>
    <row r="17" spans="1:12" x14ac:dyDescent="0.2">
      <c r="A17" s="1318" t="s">
        <v>719</v>
      </c>
      <c r="B17" s="503" t="s">
        <v>161</v>
      </c>
      <c r="C17" s="1623">
        <v>260</v>
      </c>
      <c r="D17" s="1623">
        <v>31</v>
      </c>
      <c r="E17" s="1623">
        <v>126</v>
      </c>
      <c r="F17" s="1623"/>
      <c r="G17" s="1623"/>
      <c r="H17" s="1623"/>
      <c r="I17" s="1623"/>
      <c r="J17" s="1623"/>
      <c r="K17" s="1721">
        <f t="shared" si="0"/>
        <v>417</v>
      </c>
      <c r="L17" s="1622">
        <v>500</v>
      </c>
    </row>
    <row r="18" spans="1:12" x14ac:dyDescent="0.2">
      <c r="A18" s="1318" t="s">
        <v>1080</v>
      </c>
      <c r="B18" s="503">
        <v>1800</v>
      </c>
      <c r="C18" s="1622">
        <v>94171</v>
      </c>
      <c r="D18" s="1622">
        <v>7011</v>
      </c>
      <c r="E18" s="1622"/>
      <c r="F18" s="1622"/>
      <c r="G18" s="1622"/>
      <c r="H18" s="1622"/>
      <c r="I18" s="1623"/>
      <c r="J18" s="1623"/>
      <c r="K18" s="1721">
        <f t="shared" si="0"/>
        <v>101182</v>
      </c>
      <c r="L18" s="1622">
        <v>87694</v>
      </c>
    </row>
    <row r="19" spans="1:12" x14ac:dyDescent="0.2">
      <c r="A19" s="1318" t="s">
        <v>133</v>
      </c>
      <c r="B19" s="503">
        <v>1900</v>
      </c>
      <c r="C19" s="1622"/>
      <c r="D19" s="1622"/>
      <c r="E19" s="1622"/>
      <c r="F19" s="1622"/>
      <c r="G19" s="1622"/>
      <c r="H19" s="1622">
        <v>34892</v>
      </c>
      <c r="I19" s="1623"/>
      <c r="J19" s="1623"/>
      <c r="K19" s="1721">
        <f t="shared" si="0"/>
        <v>34892</v>
      </c>
      <c r="L19" s="1622">
        <v>19000</v>
      </c>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v>1113020</v>
      </c>
      <c r="I22" s="1722"/>
      <c r="J22" s="1631"/>
      <c r="K22" s="1721">
        <f t="shared" si="0"/>
        <v>1113020</v>
      </c>
      <c r="L22" s="1626">
        <v>923640</v>
      </c>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11162903</v>
      </c>
      <c r="D33" s="1723">
        <f t="shared" ref="D33:L33" si="1">SUM(D5:D32)</f>
        <v>3282704</v>
      </c>
      <c r="E33" s="1723">
        <f t="shared" si="1"/>
        <v>504306</v>
      </c>
      <c r="F33" s="1723">
        <f t="shared" si="1"/>
        <v>414460</v>
      </c>
      <c r="G33" s="1723">
        <f t="shared" si="1"/>
        <v>26681</v>
      </c>
      <c r="H33" s="1723">
        <f t="shared" si="1"/>
        <v>1155562</v>
      </c>
      <c r="I33" s="1723">
        <f t="shared" si="1"/>
        <v>23901</v>
      </c>
      <c r="J33" s="1723">
        <f t="shared" si="1"/>
        <v>0</v>
      </c>
      <c r="K33" s="1723">
        <f t="shared" si="1"/>
        <v>16570517</v>
      </c>
      <c r="L33" s="1723">
        <f t="shared" si="1"/>
        <v>16332698</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292493</v>
      </c>
      <c r="D36" s="1635">
        <v>33889</v>
      </c>
      <c r="E36" s="1635"/>
      <c r="F36" s="1635">
        <v>230</v>
      </c>
      <c r="G36" s="1635"/>
      <c r="H36" s="1635"/>
      <c r="I36" s="1623"/>
      <c r="J36" s="1623"/>
      <c r="K36" s="1721">
        <f t="shared" ref="K36:K41" si="2">SUM(C36:J36)</f>
        <v>326612</v>
      </c>
      <c r="L36" s="1622">
        <v>329356</v>
      </c>
    </row>
    <row r="37" spans="1:14" x14ac:dyDescent="0.2">
      <c r="A37" s="1318" t="s">
        <v>1083</v>
      </c>
      <c r="B37" s="503">
        <v>2120</v>
      </c>
      <c r="C37" s="1622">
        <v>206474</v>
      </c>
      <c r="D37" s="1622">
        <v>24954</v>
      </c>
      <c r="E37" s="1622">
        <v>2000</v>
      </c>
      <c r="F37" s="1622">
        <v>1057</v>
      </c>
      <c r="G37" s="1622"/>
      <c r="H37" s="1622"/>
      <c r="I37" s="1623"/>
      <c r="J37" s="1623"/>
      <c r="K37" s="1721">
        <f t="shared" si="2"/>
        <v>234485</v>
      </c>
      <c r="L37" s="1622">
        <v>243496</v>
      </c>
    </row>
    <row r="38" spans="1:14" x14ac:dyDescent="0.2">
      <c r="A38" s="1318" t="s">
        <v>196</v>
      </c>
      <c r="B38" s="503">
        <v>2130</v>
      </c>
      <c r="C38" s="1622">
        <v>183884</v>
      </c>
      <c r="D38" s="1622">
        <v>1102</v>
      </c>
      <c r="E38" s="1622">
        <v>29151</v>
      </c>
      <c r="F38" s="1622">
        <v>4152</v>
      </c>
      <c r="G38" s="1622"/>
      <c r="H38" s="1622"/>
      <c r="I38" s="1623"/>
      <c r="J38" s="1623"/>
      <c r="K38" s="1721">
        <f t="shared" si="2"/>
        <v>218289</v>
      </c>
      <c r="L38" s="1622">
        <v>227284</v>
      </c>
    </row>
    <row r="39" spans="1:14" x14ac:dyDescent="0.2">
      <c r="A39" s="1318" t="s">
        <v>197</v>
      </c>
      <c r="B39" s="503">
        <v>2140</v>
      </c>
      <c r="C39" s="1622">
        <v>138615</v>
      </c>
      <c r="D39" s="1622">
        <v>17837</v>
      </c>
      <c r="E39" s="1622">
        <v>47584</v>
      </c>
      <c r="F39" s="1622">
        <v>404</v>
      </c>
      <c r="G39" s="1622"/>
      <c r="H39" s="1622"/>
      <c r="I39" s="1623"/>
      <c r="J39" s="1623"/>
      <c r="K39" s="1721">
        <f t="shared" si="2"/>
        <v>204440</v>
      </c>
      <c r="L39" s="1622">
        <v>168572</v>
      </c>
    </row>
    <row r="40" spans="1:14" x14ac:dyDescent="0.2">
      <c r="A40" s="1318" t="s">
        <v>198</v>
      </c>
      <c r="B40" s="503">
        <v>2150</v>
      </c>
      <c r="C40" s="1622">
        <v>147540</v>
      </c>
      <c r="D40" s="1622">
        <v>17531</v>
      </c>
      <c r="E40" s="1622">
        <v>4770</v>
      </c>
      <c r="F40" s="1622">
        <v>5340</v>
      </c>
      <c r="G40" s="1622"/>
      <c r="H40" s="1622"/>
      <c r="I40" s="1623"/>
      <c r="J40" s="1623"/>
      <c r="K40" s="1721">
        <f t="shared" si="2"/>
        <v>175181</v>
      </c>
      <c r="L40" s="1622">
        <v>180053</v>
      </c>
    </row>
    <row r="41" spans="1:14" x14ac:dyDescent="0.2">
      <c r="A41" s="1318" t="s">
        <v>1653</v>
      </c>
      <c r="B41" s="503">
        <v>2190</v>
      </c>
      <c r="C41" s="1622"/>
      <c r="D41" s="1622"/>
      <c r="E41" s="1622"/>
      <c r="F41" s="1622"/>
      <c r="G41" s="1622"/>
      <c r="H41" s="1622"/>
      <c r="I41" s="1623"/>
      <c r="J41" s="1623"/>
      <c r="K41" s="1721">
        <f t="shared" si="2"/>
        <v>0</v>
      </c>
      <c r="L41" s="1622"/>
    </row>
    <row r="42" spans="1:14" ht="12.75" customHeight="1" thickBot="1" x14ac:dyDescent="0.25">
      <c r="A42" s="1428" t="s">
        <v>556</v>
      </c>
      <c r="B42" s="1429" t="s">
        <v>711</v>
      </c>
      <c r="C42" s="1723">
        <f>SUM(C36:C41)</f>
        <v>969006</v>
      </c>
      <c r="D42" s="1723">
        <f t="shared" ref="D42:L42" si="3">SUM(D36:D41)</f>
        <v>95313</v>
      </c>
      <c r="E42" s="1723">
        <f t="shared" si="3"/>
        <v>83505</v>
      </c>
      <c r="F42" s="1723">
        <f t="shared" si="3"/>
        <v>11183</v>
      </c>
      <c r="G42" s="1723">
        <f t="shared" si="3"/>
        <v>0</v>
      </c>
      <c r="H42" s="1723">
        <f t="shared" si="3"/>
        <v>0</v>
      </c>
      <c r="I42" s="1723">
        <f t="shared" si="3"/>
        <v>0</v>
      </c>
      <c r="J42" s="1723">
        <f t="shared" si="3"/>
        <v>0</v>
      </c>
      <c r="K42" s="1723">
        <f t="shared" si="3"/>
        <v>1159007</v>
      </c>
      <c r="L42" s="1723">
        <f t="shared" si="3"/>
        <v>1148761</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12980</v>
      </c>
      <c r="D44" s="1635">
        <v>957</v>
      </c>
      <c r="E44" s="1635">
        <v>61425</v>
      </c>
      <c r="F44" s="1635">
        <v>1382</v>
      </c>
      <c r="G44" s="1635"/>
      <c r="H44" s="1635"/>
      <c r="I44" s="1623"/>
      <c r="J44" s="1623"/>
      <c r="K44" s="1727">
        <f>SUM(C44:J44)</f>
        <v>76744</v>
      </c>
      <c r="L44" s="1635">
        <v>55665</v>
      </c>
    </row>
    <row r="45" spans="1:14" x14ac:dyDescent="0.2">
      <c r="A45" s="1318" t="s">
        <v>810</v>
      </c>
      <c r="B45" s="503">
        <v>2220</v>
      </c>
      <c r="C45" s="1622">
        <v>14890</v>
      </c>
      <c r="D45" s="1622">
        <v>1344</v>
      </c>
      <c r="E45" s="1622">
        <v>13212</v>
      </c>
      <c r="F45" s="1622">
        <v>21011</v>
      </c>
      <c r="G45" s="1622"/>
      <c r="H45" s="1622"/>
      <c r="I45" s="1623"/>
      <c r="J45" s="1623"/>
      <c r="K45" s="1727">
        <f>SUM(C45:J45)</f>
        <v>50457</v>
      </c>
      <c r="L45" s="1622">
        <v>71028</v>
      </c>
    </row>
    <row r="46" spans="1:14" x14ac:dyDescent="0.2">
      <c r="A46" s="1318" t="s">
        <v>811</v>
      </c>
      <c r="B46" s="503">
        <v>2230</v>
      </c>
      <c r="C46" s="1622"/>
      <c r="D46" s="1622"/>
      <c r="E46" s="1622">
        <v>24626</v>
      </c>
      <c r="F46" s="1622"/>
      <c r="G46" s="1622"/>
      <c r="H46" s="1622"/>
      <c r="I46" s="1623"/>
      <c r="J46" s="1623"/>
      <c r="K46" s="1727">
        <f>SUM(C46:J46)</f>
        <v>24626</v>
      </c>
      <c r="L46" s="1622">
        <v>28200</v>
      </c>
    </row>
    <row r="47" spans="1:14" ht="12.75" customHeight="1" thickBot="1" x14ac:dyDescent="0.25">
      <c r="A47" s="1428" t="s">
        <v>557</v>
      </c>
      <c r="B47" s="1429" t="s">
        <v>32</v>
      </c>
      <c r="C47" s="1723">
        <f>SUM(C44:C46)</f>
        <v>27870</v>
      </c>
      <c r="D47" s="1723">
        <f t="shared" ref="D47:K47" si="4">SUM(D44:D46)</f>
        <v>2301</v>
      </c>
      <c r="E47" s="1723">
        <f t="shared" si="4"/>
        <v>99263</v>
      </c>
      <c r="F47" s="1723">
        <f t="shared" si="4"/>
        <v>22393</v>
      </c>
      <c r="G47" s="1723">
        <f t="shared" si="4"/>
        <v>0</v>
      </c>
      <c r="H47" s="1723">
        <f t="shared" si="4"/>
        <v>0</v>
      </c>
      <c r="I47" s="1723">
        <f t="shared" si="4"/>
        <v>0</v>
      </c>
      <c r="J47" s="1723">
        <f t="shared" si="4"/>
        <v>0</v>
      </c>
      <c r="K47" s="1723">
        <f t="shared" si="4"/>
        <v>151827</v>
      </c>
      <c r="L47" s="1723">
        <f>SUM(L44:L46)</f>
        <v>154893</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200978</v>
      </c>
      <c r="F49" s="1635"/>
      <c r="G49" s="1635"/>
      <c r="H49" s="1635">
        <v>8988</v>
      </c>
      <c r="I49" s="1623"/>
      <c r="J49" s="1623"/>
      <c r="K49" s="1727">
        <f>SUM(C49:J49)</f>
        <v>209966</v>
      </c>
      <c r="L49" s="1635">
        <v>249843</v>
      </c>
    </row>
    <row r="50" spans="1:14" x14ac:dyDescent="0.2">
      <c r="A50" s="1318" t="s">
        <v>813</v>
      </c>
      <c r="B50" s="503">
        <v>2320</v>
      </c>
      <c r="C50" s="1622">
        <v>130871</v>
      </c>
      <c r="D50" s="1622">
        <v>22275</v>
      </c>
      <c r="E50" s="1622">
        <v>54419</v>
      </c>
      <c r="F50" s="1622">
        <v>7069</v>
      </c>
      <c r="G50" s="1622"/>
      <c r="H50" s="1622"/>
      <c r="I50" s="1623"/>
      <c r="J50" s="1623"/>
      <c r="K50" s="1727">
        <f>SUM(C50:J50)</f>
        <v>214634</v>
      </c>
      <c r="L50" s="1622">
        <v>192785</v>
      </c>
    </row>
    <row r="51" spans="1:14" x14ac:dyDescent="0.2">
      <c r="A51" s="1318" t="s">
        <v>42</v>
      </c>
      <c r="B51" s="503">
        <v>2330</v>
      </c>
      <c r="C51" s="1622">
        <v>37926</v>
      </c>
      <c r="D51" s="1622"/>
      <c r="E51" s="1622"/>
      <c r="F51" s="1622">
        <v>2058</v>
      </c>
      <c r="G51" s="1622"/>
      <c r="H51" s="1622"/>
      <c r="I51" s="1623"/>
      <c r="J51" s="1623"/>
      <c r="K51" s="1727">
        <f>SUM(C51:J51)</f>
        <v>39984</v>
      </c>
      <c r="L51" s="1622">
        <v>38332</v>
      </c>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168797</v>
      </c>
      <c r="D53" s="1723">
        <f t="shared" ref="D53:L53" si="5">SUM(D49:D52)</f>
        <v>22275</v>
      </c>
      <c r="E53" s="1723">
        <f t="shared" si="5"/>
        <v>255397</v>
      </c>
      <c r="F53" s="1723">
        <f t="shared" si="5"/>
        <v>9127</v>
      </c>
      <c r="G53" s="1723">
        <f t="shared" si="5"/>
        <v>0</v>
      </c>
      <c r="H53" s="1723">
        <f t="shared" si="5"/>
        <v>8988</v>
      </c>
      <c r="I53" s="1723">
        <f t="shared" si="5"/>
        <v>0</v>
      </c>
      <c r="J53" s="1723">
        <f t="shared" si="5"/>
        <v>0</v>
      </c>
      <c r="K53" s="1723">
        <f t="shared" si="5"/>
        <v>464584</v>
      </c>
      <c r="L53" s="1723">
        <f t="shared" si="5"/>
        <v>480960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1410805</v>
      </c>
      <c r="D55" s="1635">
        <v>107928</v>
      </c>
      <c r="E55" s="1635">
        <v>3268</v>
      </c>
      <c r="F55" s="1635">
        <v>10741</v>
      </c>
      <c r="G55" s="1635">
        <v>2604</v>
      </c>
      <c r="H55" s="1635">
        <v>9597</v>
      </c>
      <c r="I55" s="1623"/>
      <c r="J55" s="1623"/>
      <c r="K55" s="1727">
        <f>SUM(C55:J55)</f>
        <v>1544943</v>
      </c>
      <c r="L55" s="1635">
        <v>1561540</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1410805</v>
      </c>
      <c r="D57" s="1728">
        <f t="shared" ref="D57:K57" si="6">SUM(D55:D56)</f>
        <v>107928</v>
      </c>
      <c r="E57" s="1728">
        <f t="shared" si="6"/>
        <v>3268</v>
      </c>
      <c r="F57" s="1728">
        <f t="shared" si="6"/>
        <v>10741</v>
      </c>
      <c r="G57" s="1728">
        <f t="shared" si="6"/>
        <v>2604</v>
      </c>
      <c r="H57" s="1728">
        <f t="shared" si="6"/>
        <v>9597</v>
      </c>
      <c r="I57" s="1728">
        <f t="shared" si="6"/>
        <v>0</v>
      </c>
      <c r="J57" s="1728">
        <f t="shared" si="6"/>
        <v>0</v>
      </c>
      <c r="K57" s="1728">
        <f t="shared" si="6"/>
        <v>1544943</v>
      </c>
      <c r="L57" s="1723">
        <f>SUM(L55:L56)</f>
        <v>1561540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143131</v>
      </c>
      <c r="D60" s="1622">
        <v>6222</v>
      </c>
      <c r="E60" s="1622">
        <v>46216</v>
      </c>
      <c r="F60" s="1622">
        <v>1769</v>
      </c>
      <c r="G60" s="1622"/>
      <c r="H60" s="1622">
        <v>7087</v>
      </c>
      <c r="I60" s="1623"/>
      <c r="J60" s="1623"/>
      <c r="K60" s="1727">
        <f t="shared" si="7"/>
        <v>204425</v>
      </c>
      <c r="L60" s="1622">
        <v>193948</v>
      </c>
      <c r="M60" s="501"/>
      <c r="N60" s="501"/>
    </row>
    <row r="61" spans="1:14" s="321" customFormat="1" x14ac:dyDescent="0.2">
      <c r="A61" s="1318" t="s">
        <v>195</v>
      </c>
      <c r="B61" s="503">
        <v>2540</v>
      </c>
      <c r="C61" s="1622">
        <v>38733</v>
      </c>
      <c r="D61" s="1622">
        <v>2584</v>
      </c>
      <c r="E61" s="1622">
        <v>106494</v>
      </c>
      <c r="F61" s="1622"/>
      <c r="G61" s="1622"/>
      <c r="H61" s="1622"/>
      <c r="I61" s="1623"/>
      <c r="J61" s="1623"/>
      <c r="K61" s="1727">
        <f t="shared" si="7"/>
        <v>147811</v>
      </c>
      <c r="L61" s="1622">
        <v>150818</v>
      </c>
      <c r="M61" s="501"/>
      <c r="N61" s="501"/>
    </row>
    <row r="62" spans="1:14" s="321" customFormat="1" x14ac:dyDescent="0.2">
      <c r="A62" s="1318" t="s">
        <v>947</v>
      </c>
      <c r="B62" s="503">
        <v>2550</v>
      </c>
      <c r="C62" s="1622"/>
      <c r="D62" s="1622"/>
      <c r="E62" s="1622">
        <v>7158</v>
      </c>
      <c r="F62" s="1622"/>
      <c r="G62" s="1622"/>
      <c r="H62" s="1622"/>
      <c r="I62" s="1623"/>
      <c r="J62" s="1623"/>
      <c r="K62" s="1727">
        <f t="shared" si="7"/>
        <v>7158</v>
      </c>
      <c r="L62" s="1622">
        <v>5000</v>
      </c>
      <c r="M62" s="501"/>
      <c r="N62" s="501"/>
    </row>
    <row r="63" spans="1:14" s="501" customFormat="1" x14ac:dyDescent="0.2">
      <c r="A63" s="1318" t="s">
        <v>100</v>
      </c>
      <c r="B63" s="503">
        <v>2560</v>
      </c>
      <c r="C63" s="1622"/>
      <c r="D63" s="1622"/>
      <c r="E63" s="1622">
        <v>428721</v>
      </c>
      <c r="F63" s="1622">
        <v>2365</v>
      </c>
      <c r="G63" s="1622"/>
      <c r="H63" s="1622"/>
      <c r="I63" s="1623"/>
      <c r="J63" s="1623"/>
      <c r="K63" s="1727">
        <f t="shared" si="7"/>
        <v>431086</v>
      </c>
      <c r="L63" s="1622">
        <v>486854</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181864</v>
      </c>
      <c r="D65" s="1723">
        <f t="shared" ref="D65:L65" si="8">SUM(D59:D64)</f>
        <v>8806</v>
      </c>
      <c r="E65" s="1723">
        <f t="shared" si="8"/>
        <v>588589</v>
      </c>
      <c r="F65" s="1723">
        <f t="shared" si="8"/>
        <v>4134</v>
      </c>
      <c r="G65" s="1723">
        <f t="shared" si="8"/>
        <v>0</v>
      </c>
      <c r="H65" s="1723">
        <f t="shared" si="8"/>
        <v>7087</v>
      </c>
      <c r="I65" s="1723">
        <f t="shared" si="8"/>
        <v>0</v>
      </c>
      <c r="J65" s="1723">
        <f t="shared" si="8"/>
        <v>0</v>
      </c>
      <c r="K65" s="1723">
        <f t="shared" si="8"/>
        <v>790480</v>
      </c>
      <c r="L65" s="1723">
        <f t="shared" si="8"/>
        <v>836620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v>132765</v>
      </c>
      <c r="D69" s="1622"/>
      <c r="E69" s="1622"/>
      <c r="F69" s="1622"/>
      <c r="G69" s="1622"/>
      <c r="H69" s="1622"/>
      <c r="I69" s="1623"/>
      <c r="J69" s="1623"/>
      <c r="K69" s="1727">
        <f>SUM(C69:J69)</f>
        <v>132765</v>
      </c>
      <c r="L69" s="1622">
        <v>165750</v>
      </c>
      <c r="M69" s="501"/>
      <c r="N69" s="501"/>
    </row>
    <row r="70" spans="1:14" s="321" customFormat="1" x14ac:dyDescent="0.2">
      <c r="A70" s="1318" t="s">
        <v>400</v>
      </c>
      <c r="B70" s="503">
        <v>2640</v>
      </c>
      <c r="C70" s="1622"/>
      <c r="D70" s="1622"/>
      <c r="E70" s="1622">
        <v>1737</v>
      </c>
      <c r="F70" s="1622"/>
      <c r="G70" s="1622"/>
      <c r="H70" s="1622"/>
      <c r="I70" s="1623"/>
      <c r="J70" s="1623"/>
      <c r="K70" s="1727">
        <f>SUM(C70:J70)</f>
        <v>1737</v>
      </c>
      <c r="L70" s="1622">
        <v>3300</v>
      </c>
      <c r="M70" s="501"/>
      <c r="N70" s="501"/>
    </row>
    <row r="71" spans="1:14" s="321" customFormat="1" x14ac:dyDescent="0.2">
      <c r="A71" s="1318" t="s">
        <v>401</v>
      </c>
      <c r="B71" s="503">
        <v>2660</v>
      </c>
      <c r="C71" s="1622"/>
      <c r="D71" s="1622"/>
      <c r="E71" s="1622">
        <v>54301</v>
      </c>
      <c r="F71" s="1622"/>
      <c r="G71" s="1622"/>
      <c r="H71" s="1622"/>
      <c r="I71" s="1623"/>
      <c r="J71" s="1623"/>
      <c r="K71" s="1727">
        <f>SUM(C71:J71)</f>
        <v>54301</v>
      </c>
      <c r="L71" s="1622">
        <v>50500</v>
      </c>
      <c r="M71" s="501"/>
      <c r="N71" s="501"/>
    </row>
    <row r="72" spans="1:14" s="321" customFormat="1" ht="12.75" customHeight="1" thickBot="1" x14ac:dyDescent="0.25">
      <c r="A72" s="1428" t="s">
        <v>37</v>
      </c>
      <c r="B72" s="1431" t="s">
        <v>36</v>
      </c>
      <c r="C72" s="1723">
        <f>SUM(C67:C71)</f>
        <v>132765</v>
      </c>
      <c r="D72" s="1723">
        <f t="shared" ref="D72:K72" si="9">SUM(D67:D71)</f>
        <v>0</v>
      </c>
      <c r="E72" s="1723">
        <f t="shared" si="9"/>
        <v>56038</v>
      </c>
      <c r="F72" s="1723">
        <f t="shared" si="9"/>
        <v>0</v>
      </c>
      <c r="G72" s="1723">
        <f t="shared" si="9"/>
        <v>0</v>
      </c>
      <c r="H72" s="1723">
        <f t="shared" si="9"/>
        <v>0</v>
      </c>
      <c r="I72" s="1723">
        <f t="shared" si="9"/>
        <v>0</v>
      </c>
      <c r="J72" s="1723">
        <f t="shared" si="9"/>
        <v>0</v>
      </c>
      <c r="K72" s="1723">
        <f t="shared" si="9"/>
        <v>188803</v>
      </c>
      <c r="L72" s="1723">
        <f>SUM(L67:L71)</f>
        <v>219550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2891107</v>
      </c>
      <c r="D74" s="1730">
        <f t="shared" ref="D74:K74" si="10">SUM(D42,D47,D53,D57,D65,D72,D73)</f>
        <v>236623</v>
      </c>
      <c r="E74" s="1730">
        <f t="shared" si="10"/>
        <v>1086060</v>
      </c>
      <c r="F74" s="1730">
        <f t="shared" si="10"/>
        <v>57578</v>
      </c>
      <c r="G74" s="1730">
        <f t="shared" si="10"/>
        <v>2604</v>
      </c>
      <c r="H74" s="1730">
        <f t="shared" si="10"/>
        <v>25672</v>
      </c>
      <c r="I74" s="1730">
        <f t="shared" si="10"/>
        <v>0</v>
      </c>
      <c r="J74" s="1730">
        <f t="shared" si="10"/>
        <v>0</v>
      </c>
      <c r="K74" s="1730">
        <f t="shared" si="10"/>
        <v>4299644</v>
      </c>
      <c r="L74" s="1730">
        <f>SUM(L42,L47,L53,L57,L65,L72,L73)</f>
        <v>4402324</v>
      </c>
    </row>
    <row r="75" spans="1:14" s="254" customFormat="1" ht="15.75" customHeight="1" thickTop="1" thickBot="1" x14ac:dyDescent="0.25">
      <c r="A75" s="1392" t="s">
        <v>47</v>
      </c>
      <c r="B75" s="1393" t="s">
        <v>571</v>
      </c>
      <c r="C75" s="1698">
        <v>9435</v>
      </c>
      <c r="D75" s="1698"/>
      <c r="E75" s="1698"/>
      <c r="F75" s="1698">
        <v>377</v>
      </c>
      <c r="G75" s="1698"/>
      <c r="H75" s="1698"/>
      <c r="I75" s="1676"/>
      <c r="J75" s="1676"/>
      <c r="K75" s="1723">
        <f>SUM(C75:J75)</f>
        <v>9812</v>
      </c>
      <c r="L75" s="1700">
        <v>7000</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row>
    <row r="79" spans="1:14" x14ac:dyDescent="0.2">
      <c r="A79" s="1318" t="s">
        <v>301</v>
      </c>
      <c r="B79" s="503">
        <v>4120</v>
      </c>
      <c r="C79" s="1722"/>
      <c r="D79" s="1722"/>
      <c r="E79" s="1622">
        <v>7257</v>
      </c>
      <c r="F79" s="1722"/>
      <c r="G79" s="1722"/>
      <c r="H79" s="1622"/>
      <c r="I79" s="1631"/>
      <c r="J79" s="1631"/>
      <c r="K79" s="1721">
        <f t="shared" si="11"/>
        <v>7257</v>
      </c>
      <c r="L79" s="1622">
        <v>2000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row>
    <row r="84" spans="1:12" ht="13.5" thickBot="1" x14ac:dyDescent="0.25">
      <c r="A84" s="1428" t="s">
        <v>1471</v>
      </c>
      <c r="B84" s="1433">
        <v>4100</v>
      </c>
      <c r="C84" s="1722"/>
      <c r="D84" s="1722"/>
      <c r="E84" s="1723">
        <f>SUM(E78:E83)</f>
        <v>7257</v>
      </c>
      <c r="F84" s="1722"/>
      <c r="G84" s="1722"/>
      <c r="H84" s="1723">
        <f>SUM(H78:H83)</f>
        <v>0</v>
      </c>
      <c r="I84" s="1631"/>
      <c r="J84" s="1631"/>
      <c r="K84" s="1723">
        <f>SUM(K78:K83)</f>
        <v>7257</v>
      </c>
      <c r="L84" s="1723">
        <f>SUM(L78:L83)</f>
        <v>2000</v>
      </c>
    </row>
    <row r="85" spans="1:12" ht="12.75" customHeight="1" thickTop="1" thickBot="1" x14ac:dyDescent="0.25">
      <c r="A85" s="1325" t="s">
        <v>253</v>
      </c>
      <c r="B85" s="517">
        <v>4210</v>
      </c>
      <c r="C85" s="1722"/>
      <c r="D85" s="1722"/>
      <c r="E85" s="1732"/>
      <c r="F85" s="1722"/>
      <c r="G85" s="1722"/>
      <c r="H85" s="1679">
        <v>1005</v>
      </c>
      <c r="I85" s="1631"/>
      <c r="J85" s="1631"/>
      <c r="K85" s="1730">
        <f>H85</f>
        <v>1005</v>
      </c>
      <c r="L85" s="1675"/>
    </row>
    <row r="86" spans="1:12" ht="12.75" customHeight="1" thickTop="1" thickBot="1" x14ac:dyDescent="0.25">
      <c r="A86" s="1326" t="s">
        <v>694</v>
      </c>
      <c r="B86" s="518">
        <v>4220</v>
      </c>
      <c r="C86" s="1722"/>
      <c r="D86" s="1722"/>
      <c r="E86" s="1733"/>
      <c r="F86" s="1722"/>
      <c r="G86" s="1722"/>
      <c r="H86" s="1623">
        <v>24844</v>
      </c>
      <c r="I86" s="1631"/>
      <c r="J86" s="1631"/>
      <c r="K86" s="1730">
        <f t="shared" ref="K86:K98" si="12">H86</f>
        <v>24844</v>
      </c>
      <c r="L86" s="1675">
        <v>150000</v>
      </c>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v>322203</v>
      </c>
      <c r="I88" s="1631"/>
      <c r="J88" s="1631"/>
      <c r="K88" s="1730">
        <f t="shared" si="12"/>
        <v>322203</v>
      </c>
      <c r="L88" s="1675">
        <v>365000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348052</v>
      </c>
      <c r="I92" s="1631"/>
      <c r="J92" s="1631"/>
      <c r="K92" s="1730">
        <f t="shared" si="12"/>
        <v>348052</v>
      </c>
      <c r="L92" s="1723">
        <f>SUM(L85:L91)</f>
        <v>515000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7257</v>
      </c>
      <c r="F102" s="1722"/>
      <c r="G102" s="1722"/>
      <c r="H102" s="1730">
        <f>SUM(H84,H92,H100,H101)</f>
        <v>348052</v>
      </c>
      <c r="I102" s="1631"/>
      <c r="J102" s="1631"/>
      <c r="K102" s="1730">
        <f>SUM(K84,K92,K100,K101)</f>
        <v>355309</v>
      </c>
      <c r="L102" s="1730">
        <f>SUM(L84,L92,L100,L101)</f>
        <v>517000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v>41055</v>
      </c>
      <c r="I106" s="1624"/>
      <c r="J106" s="1624"/>
      <c r="K106" s="1721">
        <f>H106</f>
        <v>41055</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41055</v>
      </c>
      <c r="I110" s="1624"/>
      <c r="J110" s="1624"/>
      <c r="K110" s="1723">
        <f>SUM(K105:K109)</f>
        <v>41055</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41055</v>
      </c>
      <c r="I112" s="1624"/>
      <c r="J112" s="1624"/>
      <c r="K112" s="1723">
        <f>SUM(K110:K111)</f>
        <v>41055</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14063445</v>
      </c>
      <c r="D114" s="1723">
        <f t="shared" ref="D114:K114" si="13">SUM(D33,D74,D75,D102,D112,D113)</f>
        <v>3519327</v>
      </c>
      <c r="E114" s="1723">
        <f t="shared" si="13"/>
        <v>1597623</v>
      </c>
      <c r="F114" s="1723">
        <f t="shared" si="13"/>
        <v>472415</v>
      </c>
      <c r="G114" s="1723">
        <f t="shared" si="13"/>
        <v>29285</v>
      </c>
      <c r="H114" s="1723">
        <f>SUM(H33,H74,H75,H102,H112,H113)</f>
        <v>1570341</v>
      </c>
      <c r="I114" s="1723">
        <f t="shared" si="13"/>
        <v>23901</v>
      </c>
      <c r="J114" s="1723">
        <f t="shared" si="13"/>
        <v>0</v>
      </c>
      <c r="K114" s="1723">
        <f t="shared" si="13"/>
        <v>21276337</v>
      </c>
      <c r="L114" s="1723">
        <f>SUM(L33,L74,L75,L102,L112,L113)</f>
        <v>21259022</v>
      </c>
    </row>
    <row r="115" spans="1:14" ht="13.5" thickTop="1" x14ac:dyDescent="0.2">
      <c r="A115" s="2334" t="s">
        <v>989</v>
      </c>
      <c r="B115" s="2335"/>
      <c r="C115" s="1724"/>
      <c r="D115" s="1724"/>
      <c r="E115" s="1724"/>
      <c r="F115" s="1724"/>
      <c r="G115" s="1724"/>
      <c r="H115" s="1724"/>
      <c r="I115" s="1724"/>
      <c r="J115" s="1724"/>
      <c r="K115" s="1738">
        <f>'Revenues 9-14'!C268-'Expenditures 15-22'!K114</f>
        <v>-1140769</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9" t="s">
        <v>293</v>
      </c>
      <c r="B117" s="2340"/>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794191</v>
      </c>
      <c r="D124" s="1622">
        <v>113730</v>
      </c>
      <c r="E124" s="1622">
        <v>770616</v>
      </c>
      <c r="F124" s="1622">
        <v>572545</v>
      </c>
      <c r="G124" s="1622">
        <v>5000</v>
      </c>
      <c r="H124" s="1622"/>
      <c r="I124" s="1623">
        <v>5299</v>
      </c>
      <c r="J124" s="1623"/>
      <c r="K124" s="1723">
        <f>SUM(C124:J124)</f>
        <v>2261381</v>
      </c>
      <c r="L124" s="1622">
        <v>2245070</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794191</v>
      </c>
      <c r="D127" s="1723">
        <f t="shared" ref="D127:L127" si="14">SUM(D122:D126)</f>
        <v>113730</v>
      </c>
      <c r="E127" s="1723">
        <f t="shared" si="14"/>
        <v>770616</v>
      </c>
      <c r="F127" s="1723">
        <f t="shared" si="14"/>
        <v>572545</v>
      </c>
      <c r="G127" s="1723">
        <f t="shared" si="14"/>
        <v>5000</v>
      </c>
      <c r="H127" s="1723">
        <f t="shared" si="14"/>
        <v>0</v>
      </c>
      <c r="I127" s="1723">
        <f t="shared" si="14"/>
        <v>5299</v>
      </c>
      <c r="J127" s="1723">
        <f t="shared" si="14"/>
        <v>0</v>
      </c>
      <c r="K127" s="1723">
        <f t="shared" si="14"/>
        <v>2261381</v>
      </c>
      <c r="L127" s="1723">
        <f t="shared" si="14"/>
        <v>2245070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794191</v>
      </c>
      <c r="D129" s="1730">
        <f t="shared" ref="D129:L129" si="15">SUM(D120,D127,D128)</f>
        <v>113730</v>
      </c>
      <c r="E129" s="1730">
        <f t="shared" si="15"/>
        <v>770616</v>
      </c>
      <c r="F129" s="1730">
        <f t="shared" si="15"/>
        <v>572545</v>
      </c>
      <c r="G129" s="1730">
        <f t="shared" si="15"/>
        <v>5000</v>
      </c>
      <c r="H129" s="1730">
        <f t="shared" si="15"/>
        <v>0</v>
      </c>
      <c r="I129" s="1730">
        <f t="shared" si="15"/>
        <v>5299</v>
      </c>
      <c r="J129" s="1730">
        <f t="shared" si="15"/>
        <v>0</v>
      </c>
      <c r="K129" s="1730">
        <f t="shared" si="15"/>
        <v>2261381</v>
      </c>
      <c r="L129" s="1730">
        <f t="shared" si="15"/>
        <v>2245070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351" t="s">
        <v>616</v>
      </c>
      <c r="B151" s="2331"/>
      <c r="C151" s="1723">
        <f>SUM(C129,C130,C139,C149,C150)</f>
        <v>794191</v>
      </c>
      <c r="D151" s="1723">
        <f t="shared" ref="D151:K151" si="16">SUM(D129,D130,D139,D149,D150)</f>
        <v>113730</v>
      </c>
      <c r="E151" s="1723">
        <f t="shared" si="16"/>
        <v>770616</v>
      </c>
      <c r="F151" s="1723">
        <f t="shared" si="16"/>
        <v>572545</v>
      </c>
      <c r="G151" s="1723">
        <f t="shared" si="16"/>
        <v>5000</v>
      </c>
      <c r="H151" s="1723">
        <f t="shared" si="16"/>
        <v>0</v>
      </c>
      <c r="I151" s="1723">
        <f t="shared" si="16"/>
        <v>5299</v>
      </c>
      <c r="J151" s="1723">
        <f t="shared" si="16"/>
        <v>0</v>
      </c>
      <c r="K151" s="1723">
        <f t="shared" si="16"/>
        <v>2261381</v>
      </c>
      <c r="L151" s="1723">
        <f>SUM(L129,L130,L139,L149,L150)</f>
        <v>2245070</v>
      </c>
    </row>
    <row r="152" spans="1:14" ht="12.75" customHeight="1" thickTop="1" x14ac:dyDescent="0.2">
      <c r="A152" s="2354" t="s">
        <v>1170</v>
      </c>
      <c r="B152" s="2355"/>
      <c r="C152" s="1724"/>
      <c r="D152" s="1724"/>
      <c r="E152" s="1724"/>
      <c r="F152" s="1724"/>
      <c r="G152" s="1724"/>
      <c r="H152" s="1724"/>
      <c r="I152" s="1724"/>
      <c r="J152" s="1722"/>
      <c r="K152" s="1738">
        <f>'Revenues 9-14'!D268-'Expenditures 15-22'!K151</f>
        <v>-142901</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9" t="s">
        <v>617</v>
      </c>
      <c r="B154" s="2341"/>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255391</v>
      </c>
      <c r="I169" s="1722"/>
      <c r="J169" s="1722"/>
      <c r="K169" s="1721">
        <f>SUM(C169:H169)</f>
        <v>255391</v>
      </c>
      <c r="L169" s="1744">
        <v>529574</v>
      </c>
    </row>
    <row r="170" spans="1:14" ht="33.75" customHeight="1" x14ac:dyDescent="0.2">
      <c r="A170" s="543" t="s">
        <v>1654</v>
      </c>
      <c r="B170" s="545" t="s">
        <v>31</v>
      </c>
      <c r="C170" s="1722"/>
      <c r="D170" s="1722"/>
      <c r="E170" s="1722"/>
      <c r="F170" s="1722"/>
      <c r="G170" s="1722"/>
      <c r="H170" s="1695">
        <v>575090</v>
      </c>
      <c r="I170" s="1722"/>
      <c r="J170" s="1722"/>
      <c r="K170" s="1721">
        <f>SUM(C170:J170)</f>
        <v>575090</v>
      </c>
      <c r="L170" s="1695">
        <v>44927</v>
      </c>
    </row>
    <row r="171" spans="1:14" ht="15.75" customHeight="1" x14ac:dyDescent="0.2">
      <c r="A171" s="507" t="s">
        <v>761</v>
      </c>
      <c r="B171" s="546" t="s">
        <v>84</v>
      </c>
      <c r="C171" s="1722"/>
      <c r="D171" s="1722"/>
      <c r="E171" s="1622"/>
      <c r="F171" s="1722"/>
      <c r="G171" s="1722"/>
      <c r="H171" s="1695">
        <v>5300</v>
      </c>
      <c r="I171" s="1631"/>
      <c r="J171" s="1722"/>
      <c r="K171" s="1721">
        <f>SUM(C171:J171)</f>
        <v>5300</v>
      </c>
      <c r="L171" s="1695"/>
    </row>
    <row r="172" spans="1:14" ht="12.75" customHeight="1" thickBot="1" x14ac:dyDescent="0.25">
      <c r="A172" s="1428" t="s">
        <v>633</v>
      </c>
      <c r="B172" s="1429" t="s">
        <v>489</v>
      </c>
      <c r="C172" s="1722"/>
      <c r="D172" s="1722"/>
      <c r="E172" s="1730">
        <f>SUM(E168,E169,E170,E171)</f>
        <v>0</v>
      </c>
      <c r="F172" s="1722"/>
      <c r="G172" s="1722"/>
      <c r="H172" s="1730">
        <f>SUM(H168,H169,H170,H171)</f>
        <v>835781</v>
      </c>
      <c r="I172" s="1733"/>
      <c r="J172" s="1722"/>
      <c r="K172" s="1730">
        <f>SUM(K168,K169,K170,K171)</f>
        <v>835781</v>
      </c>
      <c r="L172" s="1730">
        <f>SUM(L168,L169,L170,L171)</f>
        <v>574501</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835781</v>
      </c>
      <c r="I174" s="1733"/>
      <c r="J174" s="1722"/>
      <c r="K174" s="1730">
        <f>SUM(K160,K172,K173)</f>
        <v>835781</v>
      </c>
      <c r="L174" s="1730">
        <f>SUM(L160,L172,L173)</f>
        <v>574501</v>
      </c>
    </row>
    <row r="175" spans="1:14" ht="13.5" thickTop="1" x14ac:dyDescent="0.2">
      <c r="A175" s="2334" t="s">
        <v>989</v>
      </c>
      <c r="B175" s="2335"/>
      <c r="C175" s="1722"/>
      <c r="D175" s="1722"/>
      <c r="E175" s="1722"/>
      <c r="F175" s="1722"/>
      <c r="G175" s="1722"/>
      <c r="H175" s="1724"/>
      <c r="I175" s="1722"/>
      <c r="J175" s="1722"/>
      <c r="K175" s="1738">
        <f>'Revenues 9-14'!E268-'Expenditures 15-22'!K174</f>
        <v>60106</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663467</v>
      </c>
      <c r="D182" s="1622">
        <v>62167</v>
      </c>
      <c r="E182" s="1622">
        <v>410009</v>
      </c>
      <c r="F182" s="1622">
        <v>171874</v>
      </c>
      <c r="G182" s="1622">
        <v>83254</v>
      </c>
      <c r="H182" s="1622"/>
      <c r="I182" s="1623"/>
      <c r="J182" s="1623"/>
      <c r="K182" s="1721">
        <f>SUM(C182:J182)</f>
        <v>1390771</v>
      </c>
      <c r="L182" s="1622">
        <v>1311664</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663467</v>
      </c>
      <c r="D184" s="1730">
        <f t="shared" ref="D184:J184" si="17">SUM(D180,D182,D183)</f>
        <v>62167</v>
      </c>
      <c r="E184" s="1730">
        <f t="shared" si="17"/>
        <v>410009</v>
      </c>
      <c r="F184" s="1730">
        <f t="shared" si="17"/>
        <v>171874</v>
      </c>
      <c r="G184" s="1730">
        <f t="shared" si="17"/>
        <v>83254</v>
      </c>
      <c r="H184" s="1730">
        <f t="shared" si="17"/>
        <v>0</v>
      </c>
      <c r="I184" s="1730">
        <f t="shared" si="17"/>
        <v>0</v>
      </c>
      <c r="J184" s="1730">
        <f t="shared" si="17"/>
        <v>0</v>
      </c>
      <c r="K184" s="1730">
        <f>SUM(K180,K182,K183)</f>
        <v>1390771</v>
      </c>
      <c r="L184" s="1730">
        <f>SUM(L180, L182:L183)</f>
        <v>1311664</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v>9579</v>
      </c>
      <c r="I205" s="1722"/>
      <c r="J205" s="1722"/>
      <c r="K205" s="1745">
        <f>SUM(H205)</f>
        <v>9579</v>
      </c>
      <c r="L205" s="1679"/>
    </row>
    <row r="206" spans="1:14" ht="30" customHeight="1" x14ac:dyDescent="0.2">
      <c r="A206" s="555" t="s">
        <v>1655</v>
      </c>
      <c r="B206" s="546" t="s">
        <v>31</v>
      </c>
      <c r="C206" s="1722"/>
      <c r="D206" s="1722"/>
      <c r="E206" s="1722"/>
      <c r="F206" s="1722"/>
      <c r="G206" s="1722"/>
      <c r="H206" s="1622">
        <v>57701</v>
      </c>
      <c r="I206" s="1722"/>
      <c r="J206" s="1722"/>
      <c r="K206" s="1721">
        <f>SUM(H206)</f>
        <v>57701</v>
      </c>
      <c r="L206" s="1622">
        <v>53128</v>
      </c>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67280</v>
      </c>
      <c r="I208" s="1722"/>
      <c r="J208" s="1722"/>
      <c r="K208" s="1730">
        <f>SUM(K204,K205,K206,K207)</f>
        <v>67280</v>
      </c>
      <c r="L208" s="1730">
        <f>SUM(L204,L205,L206,L207)</f>
        <v>53128</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663467</v>
      </c>
      <c r="D210" s="1723">
        <f>SUM(D184,D185)</f>
        <v>62167</v>
      </c>
      <c r="E210" s="1723">
        <f>SUM(E184,E185,E196)</f>
        <v>410009</v>
      </c>
      <c r="F210" s="1723">
        <f>SUM(F184,F185)</f>
        <v>171874</v>
      </c>
      <c r="G210" s="1723">
        <f>SUM(G184,G185)</f>
        <v>83254</v>
      </c>
      <c r="H210" s="1723">
        <f>SUM(H184,H185,H196,H208,H209)</f>
        <v>67280</v>
      </c>
      <c r="I210" s="1723">
        <f>SUM(I184,I185)</f>
        <v>0</v>
      </c>
      <c r="J210" s="1723">
        <f>SUM(J184,J185)</f>
        <v>0</v>
      </c>
      <c r="K210" s="1721">
        <f>SUM(K184,K185,K196,K208,K209)</f>
        <v>1458051</v>
      </c>
      <c r="L210" s="1723">
        <f>SUM(L184,L185,L196,L208,L209)</f>
        <v>1364792</v>
      </c>
    </row>
    <row r="211" spans="1:14" ht="13.5" thickTop="1" x14ac:dyDescent="0.2">
      <c r="A211" s="2334" t="s">
        <v>989</v>
      </c>
      <c r="B211" s="2335"/>
      <c r="C211" s="1724"/>
      <c r="D211" s="1724"/>
      <c r="E211" s="1724"/>
      <c r="F211" s="1724"/>
      <c r="G211" s="1724"/>
      <c r="H211" s="1724"/>
      <c r="I211" s="1722"/>
      <c r="J211" s="1722"/>
      <c r="K211" s="1738">
        <f>'Revenues 9-14'!F268-'Expenditures 15-22'!K210</f>
        <v>-88635</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6" t="s">
        <v>959</v>
      </c>
      <c r="B213" s="2357"/>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134030</v>
      </c>
      <c r="E215" s="1722"/>
      <c r="F215" s="1722"/>
      <c r="G215" s="1722"/>
      <c r="H215" s="1722"/>
      <c r="I215" s="1722"/>
      <c r="J215" s="1722"/>
      <c r="K215" s="1721">
        <f>D215</f>
        <v>134030</v>
      </c>
      <c r="L215" s="1622">
        <v>123763</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149995</v>
      </c>
      <c r="E217" s="1722"/>
      <c r="F217" s="1722"/>
      <c r="G217" s="1722"/>
      <c r="H217" s="1722"/>
      <c r="I217" s="1722"/>
      <c r="J217" s="1722"/>
      <c r="K217" s="1721">
        <f t="shared" si="19"/>
        <v>149995</v>
      </c>
      <c r="L217" s="1622">
        <v>146149</v>
      </c>
    </row>
    <row r="218" spans="1:14" x14ac:dyDescent="0.2">
      <c r="A218" s="1318" t="s">
        <v>276</v>
      </c>
      <c r="B218" s="503" t="s">
        <v>962</v>
      </c>
      <c r="C218" s="1722"/>
      <c r="D218" s="1623">
        <v>32626</v>
      </c>
      <c r="E218" s="1722"/>
      <c r="F218" s="1722"/>
      <c r="G218" s="1722"/>
      <c r="H218" s="1722"/>
      <c r="I218" s="1722"/>
      <c r="J218" s="1722"/>
      <c r="K218" s="1721">
        <f t="shared" si="19"/>
        <v>32626</v>
      </c>
      <c r="L218" s="1622">
        <v>11004</v>
      </c>
    </row>
    <row r="219" spans="1:14" x14ac:dyDescent="0.2">
      <c r="A219" s="1318" t="s">
        <v>277</v>
      </c>
      <c r="B219" s="503">
        <v>1250</v>
      </c>
      <c r="C219" s="1722"/>
      <c r="D219" s="1622"/>
      <c r="E219" s="1722"/>
      <c r="F219" s="1722"/>
      <c r="G219" s="1722"/>
      <c r="H219" s="1722"/>
      <c r="I219" s="1722"/>
      <c r="J219" s="1722"/>
      <c r="K219" s="1721">
        <f t="shared" si="19"/>
        <v>0</v>
      </c>
      <c r="L219" s="1622">
        <v>34110</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v>1942</v>
      </c>
      <c r="E222" s="1722"/>
      <c r="F222" s="1722"/>
      <c r="G222" s="1722"/>
      <c r="H222" s="1722"/>
      <c r="I222" s="1722"/>
      <c r="J222" s="1722"/>
      <c r="K222" s="1721">
        <f t="shared" si="19"/>
        <v>1942</v>
      </c>
      <c r="L222" s="1622">
        <v>1953</v>
      </c>
    </row>
    <row r="223" spans="1:14" x14ac:dyDescent="0.2">
      <c r="A223" s="1318" t="s">
        <v>957</v>
      </c>
      <c r="B223" s="503">
        <v>1500</v>
      </c>
      <c r="C223" s="1722"/>
      <c r="D223" s="1622">
        <v>11828</v>
      </c>
      <c r="E223" s="1722"/>
      <c r="F223" s="1722"/>
      <c r="G223" s="1722"/>
      <c r="H223" s="1722"/>
      <c r="I223" s="1722"/>
      <c r="J223" s="1722"/>
      <c r="K223" s="1721">
        <f t="shared" si="19"/>
        <v>11828</v>
      </c>
      <c r="L223" s="1622">
        <v>13779</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v>1338</v>
      </c>
      <c r="E225" s="1722"/>
      <c r="F225" s="1722"/>
      <c r="G225" s="1722"/>
      <c r="H225" s="1722"/>
      <c r="I225" s="1722"/>
      <c r="J225" s="1722"/>
      <c r="K225" s="1721">
        <f t="shared" si="19"/>
        <v>1338</v>
      </c>
      <c r="L225" s="1622">
        <v>1258</v>
      </c>
    </row>
    <row r="226" spans="1:12" x14ac:dyDescent="0.2">
      <c r="A226" s="1318" t="s">
        <v>719</v>
      </c>
      <c r="B226" s="503" t="s">
        <v>161</v>
      </c>
      <c r="C226" s="1722"/>
      <c r="D226" s="1623">
        <v>4</v>
      </c>
      <c r="E226" s="1722"/>
      <c r="F226" s="1722"/>
      <c r="G226" s="1722"/>
      <c r="H226" s="1722"/>
      <c r="I226" s="1722"/>
      <c r="J226" s="1722"/>
      <c r="K226" s="1721">
        <f t="shared" si="19"/>
        <v>4</v>
      </c>
      <c r="L226" s="1622"/>
    </row>
    <row r="227" spans="1:12" x14ac:dyDescent="0.2">
      <c r="A227" s="1318" t="s">
        <v>1080</v>
      </c>
      <c r="B227" s="503">
        <v>1800</v>
      </c>
      <c r="C227" s="1722"/>
      <c r="D227" s="1622">
        <v>4536</v>
      </c>
      <c r="E227" s="1722"/>
      <c r="F227" s="1722"/>
      <c r="G227" s="1722"/>
      <c r="H227" s="1722"/>
      <c r="I227" s="1722"/>
      <c r="J227" s="1722"/>
      <c r="K227" s="1721">
        <f t="shared" si="19"/>
        <v>4536</v>
      </c>
      <c r="L227" s="1622">
        <v>7066</v>
      </c>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336299</v>
      </c>
      <c r="E229" s="1722"/>
      <c r="F229" s="1722"/>
      <c r="G229" s="1722"/>
      <c r="H229" s="1722"/>
      <c r="I229" s="1722"/>
      <c r="J229" s="1722"/>
      <c r="K229" s="1723">
        <f>SUM(K215:K228)</f>
        <v>336299</v>
      </c>
      <c r="L229" s="1723">
        <f>SUM(L215:L228)</f>
        <v>339082</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4241</v>
      </c>
      <c r="E232" s="1722"/>
      <c r="F232" s="1722"/>
      <c r="G232" s="1722"/>
      <c r="H232" s="1722"/>
      <c r="I232" s="1722"/>
      <c r="J232" s="1722"/>
      <c r="K232" s="1721">
        <f t="shared" ref="K232:K237" si="20">D232</f>
        <v>4241</v>
      </c>
      <c r="L232" s="1622">
        <v>4152</v>
      </c>
    </row>
    <row r="233" spans="1:12" x14ac:dyDescent="0.2">
      <c r="A233" s="1318" t="s">
        <v>1083</v>
      </c>
      <c r="B233" s="503">
        <v>2120</v>
      </c>
      <c r="C233" s="1722"/>
      <c r="D233" s="1622">
        <v>3006</v>
      </c>
      <c r="E233" s="1722"/>
      <c r="F233" s="1722"/>
      <c r="G233" s="1722"/>
      <c r="H233" s="1722"/>
      <c r="I233" s="1722"/>
      <c r="J233" s="1722"/>
      <c r="K233" s="1721">
        <f t="shared" si="20"/>
        <v>3006</v>
      </c>
      <c r="L233" s="1622">
        <v>6215</v>
      </c>
    </row>
    <row r="234" spans="1:12" x14ac:dyDescent="0.2">
      <c r="A234" s="1318" t="s">
        <v>196</v>
      </c>
      <c r="B234" s="503">
        <v>2130</v>
      </c>
      <c r="C234" s="1722"/>
      <c r="D234" s="1622">
        <v>18582</v>
      </c>
      <c r="E234" s="1722"/>
      <c r="F234" s="1722"/>
      <c r="G234" s="1722"/>
      <c r="H234" s="1722"/>
      <c r="I234" s="1722"/>
      <c r="J234" s="1722"/>
      <c r="K234" s="1721">
        <f t="shared" si="20"/>
        <v>18582</v>
      </c>
      <c r="L234" s="1622">
        <v>15050</v>
      </c>
    </row>
    <row r="235" spans="1:12" x14ac:dyDescent="0.2">
      <c r="A235" s="1318" t="s">
        <v>197</v>
      </c>
      <c r="B235" s="503">
        <v>2140</v>
      </c>
      <c r="C235" s="1722"/>
      <c r="D235" s="1622">
        <v>3462</v>
      </c>
      <c r="E235" s="1722"/>
      <c r="F235" s="1722"/>
      <c r="G235" s="1722"/>
      <c r="H235" s="1722"/>
      <c r="I235" s="1722"/>
      <c r="J235" s="1722"/>
      <c r="K235" s="1721">
        <f t="shared" si="20"/>
        <v>3462</v>
      </c>
      <c r="L235" s="1622">
        <v>3849</v>
      </c>
    </row>
    <row r="236" spans="1:12" x14ac:dyDescent="0.2">
      <c r="A236" s="1318" t="s">
        <v>198</v>
      </c>
      <c r="B236" s="503">
        <v>2150</v>
      </c>
      <c r="C236" s="1722"/>
      <c r="D236" s="1622">
        <v>1876</v>
      </c>
      <c r="E236" s="1722"/>
      <c r="F236" s="1722"/>
      <c r="G236" s="1722"/>
      <c r="H236" s="1722"/>
      <c r="I236" s="1722"/>
      <c r="J236" s="1722"/>
      <c r="K236" s="1721">
        <f t="shared" si="20"/>
        <v>1876</v>
      </c>
      <c r="L236" s="1622">
        <v>1459</v>
      </c>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31167</v>
      </c>
      <c r="E238" s="1722"/>
      <c r="F238" s="1722"/>
      <c r="G238" s="1722"/>
      <c r="H238" s="1722"/>
      <c r="I238" s="1722"/>
      <c r="J238" s="1722"/>
      <c r="K238" s="1723">
        <f>SUM(K232:K237)</f>
        <v>31167</v>
      </c>
      <c r="L238" s="1723">
        <f>SUM(L232:L237)</f>
        <v>30725</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1049</v>
      </c>
      <c r="E240" s="1722"/>
      <c r="F240" s="1722"/>
      <c r="G240" s="1722"/>
      <c r="H240" s="1722"/>
      <c r="I240" s="1722"/>
      <c r="J240" s="1722"/>
      <c r="K240" s="1727">
        <f>D240</f>
        <v>1049</v>
      </c>
      <c r="L240" s="1635">
        <v>1539</v>
      </c>
    </row>
    <row r="241" spans="1:12" x14ac:dyDescent="0.2">
      <c r="A241" s="1318" t="s">
        <v>810</v>
      </c>
      <c r="B241" s="503">
        <v>2220</v>
      </c>
      <c r="C241" s="1722"/>
      <c r="D241" s="1622">
        <v>844</v>
      </c>
      <c r="E241" s="1722"/>
      <c r="F241" s="1722"/>
      <c r="G241" s="1722"/>
      <c r="H241" s="1722"/>
      <c r="I241" s="1722"/>
      <c r="J241" s="1722"/>
      <c r="K241" s="1727">
        <f>D241</f>
        <v>844</v>
      </c>
      <c r="L241" s="1622">
        <v>5755</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1893</v>
      </c>
      <c r="E243" s="1722"/>
      <c r="F243" s="1722"/>
      <c r="G243" s="1722"/>
      <c r="H243" s="1722"/>
      <c r="I243" s="1722"/>
      <c r="J243" s="1722"/>
      <c r="K243" s="1723">
        <f>SUM(K240:K242)</f>
        <v>1893</v>
      </c>
      <c r="L243" s="1723">
        <f>SUM(L240:L242)</f>
        <v>7294</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270</v>
      </c>
      <c r="E245" s="1722"/>
      <c r="F245" s="1722"/>
      <c r="G245" s="1722"/>
      <c r="H245" s="1722"/>
      <c r="I245" s="1722"/>
      <c r="J245" s="1722"/>
      <c r="K245" s="1727">
        <f>D245</f>
        <v>270</v>
      </c>
      <c r="L245" s="1635">
        <v>969</v>
      </c>
    </row>
    <row r="246" spans="1:12" x14ac:dyDescent="0.2">
      <c r="A246" s="1318" t="s">
        <v>813</v>
      </c>
      <c r="B246" s="503">
        <v>2320</v>
      </c>
      <c r="C246" s="1722"/>
      <c r="D246" s="1622">
        <v>12617</v>
      </c>
      <c r="E246" s="1722"/>
      <c r="F246" s="1722"/>
      <c r="G246" s="1722"/>
      <c r="H246" s="1722"/>
      <c r="I246" s="1722"/>
      <c r="J246" s="1722"/>
      <c r="K246" s="1727">
        <f t="shared" ref="K246:K256" si="21">D246</f>
        <v>12617</v>
      </c>
      <c r="L246" s="1622">
        <v>13119</v>
      </c>
    </row>
    <row r="247" spans="1:12" x14ac:dyDescent="0.2">
      <c r="A247" s="1318" t="s">
        <v>814</v>
      </c>
      <c r="B247" s="503">
        <v>2330</v>
      </c>
      <c r="C247" s="1722"/>
      <c r="D247" s="1622">
        <v>6753</v>
      </c>
      <c r="E247" s="1722"/>
      <c r="F247" s="1722"/>
      <c r="G247" s="1722"/>
      <c r="H247" s="1722"/>
      <c r="I247" s="1722"/>
      <c r="J247" s="1722"/>
      <c r="K247" s="1727">
        <f t="shared" si="21"/>
        <v>6753</v>
      </c>
      <c r="L247" s="1622">
        <v>4736</v>
      </c>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1782</v>
      </c>
      <c r="B249" s="557" t="s">
        <v>280</v>
      </c>
      <c r="C249" s="1722"/>
      <c r="D249" s="1628"/>
      <c r="E249" s="1722"/>
      <c r="F249" s="1722"/>
      <c r="G249" s="1722"/>
      <c r="H249" s="1722"/>
      <c r="I249" s="1722"/>
      <c r="J249" s="1722"/>
      <c r="K249" s="1727">
        <f t="shared" si="21"/>
        <v>0</v>
      </c>
      <c r="L249" s="1622"/>
    </row>
    <row r="250" spans="1:12" x14ac:dyDescent="0.2">
      <c r="A250" s="1319" t="s">
        <v>1783</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19640</v>
      </c>
      <c r="E257" s="1722"/>
      <c r="F257" s="1722"/>
      <c r="G257" s="1722"/>
      <c r="H257" s="1722"/>
      <c r="I257" s="1722"/>
      <c r="J257" s="1722"/>
      <c r="K257" s="1723">
        <f>SUM(K245:K256)</f>
        <v>19640</v>
      </c>
      <c r="L257" s="1723">
        <f>SUM(L245:L256)</f>
        <v>18824</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88748</v>
      </c>
      <c r="E259" s="1722"/>
      <c r="F259" s="1722"/>
      <c r="G259" s="1722"/>
      <c r="H259" s="1722"/>
      <c r="I259" s="1722"/>
      <c r="J259" s="1722"/>
      <c r="K259" s="1727">
        <f>D259</f>
        <v>88748</v>
      </c>
      <c r="L259" s="1635">
        <v>91764</v>
      </c>
    </row>
    <row r="260" spans="1:14" s="493" customFormat="1" x14ac:dyDescent="0.2">
      <c r="A260" s="1336" t="s">
        <v>1781</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88748</v>
      </c>
      <c r="E261" s="1722"/>
      <c r="F261" s="1722"/>
      <c r="G261" s="1722"/>
      <c r="H261" s="1722"/>
      <c r="I261" s="1722"/>
      <c r="J261" s="1722"/>
      <c r="K261" s="1723">
        <f>SUM(K259:K260)</f>
        <v>88748</v>
      </c>
      <c r="L261" s="1723">
        <f>SUM(L259:L260)</f>
        <v>91764</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16885</v>
      </c>
      <c r="E264" s="1722"/>
      <c r="F264" s="1722"/>
      <c r="G264" s="1722"/>
      <c r="H264" s="1722"/>
      <c r="I264" s="1722"/>
      <c r="J264" s="1722"/>
      <c r="K264" s="1727">
        <f t="shared" ref="K264:K269" si="22">D264</f>
        <v>16885</v>
      </c>
      <c r="L264" s="1622">
        <v>16614</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140745</v>
      </c>
      <c r="E266" s="1722"/>
      <c r="F266" s="1722"/>
      <c r="G266" s="1722"/>
      <c r="H266" s="1722"/>
      <c r="I266" s="1722"/>
      <c r="J266" s="1722"/>
      <c r="K266" s="1727">
        <f t="shared" si="22"/>
        <v>140745</v>
      </c>
      <c r="L266" s="1622">
        <v>139498</v>
      </c>
    </row>
    <row r="267" spans="1:14" x14ac:dyDescent="0.2">
      <c r="A267" s="1318" t="s">
        <v>947</v>
      </c>
      <c r="B267" s="503">
        <v>2550</v>
      </c>
      <c r="C267" s="1722"/>
      <c r="D267" s="1622">
        <v>103292</v>
      </c>
      <c r="E267" s="1722"/>
      <c r="F267" s="1722"/>
      <c r="G267" s="1722"/>
      <c r="H267" s="1722"/>
      <c r="I267" s="1722"/>
      <c r="J267" s="1722"/>
      <c r="K267" s="1727">
        <f t="shared" si="22"/>
        <v>103292</v>
      </c>
      <c r="L267" s="1622">
        <v>103836</v>
      </c>
    </row>
    <row r="268" spans="1:14" x14ac:dyDescent="0.2">
      <c r="A268" s="1318" t="s">
        <v>100</v>
      </c>
      <c r="B268" s="503">
        <v>2560</v>
      </c>
      <c r="C268" s="1722"/>
      <c r="D268" s="1622"/>
      <c r="E268" s="1722"/>
      <c r="F268" s="1722"/>
      <c r="G268" s="1722"/>
      <c r="H268" s="1722"/>
      <c r="I268" s="1722"/>
      <c r="J268" s="1722"/>
      <c r="K268" s="1727">
        <f t="shared" si="22"/>
        <v>0</v>
      </c>
      <c r="L268" s="1622"/>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260922</v>
      </c>
      <c r="E270" s="1722"/>
      <c r="F270" s="1722"/>
      <c r="G270" s="1722"/>
      <c r="H270" s="1722"/>
      <c r="I270" s="1722"/>
      <c r="J270" s="1722"/>
      <c r="K270" s="1723">
        <f>SUM(K263:K269)</f>
        <v>260922</v>
      </c>
      <c r="L270" s="1723">
        <f>SUM(L263:L269)</f>
        <v>259948</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v>28517</v>
      </c>
      <c r="E274" s="1722"/>
      <c r="F274" s="1722"/>
      <c r="G274" s="1722"/>
      <c r="H274" s="1722"/>
      <c r="I274" s="1722"/>
      <c r="J274" s="1722"/>
      <c r="K274" s="1727">
        <f>D274</f>
        <v>28517</v>
      </c>
      <c r="L274" s="1622">
        <v>27662</v>
      </c>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28517</v>
      </c>
      <c r="E277" s="1722"/>
      <c r="F277" s="1722"/>
      <c r="G277" s="1722"/>
      <c r="H277" s="1722"/>
      <c r="I277" s="1722"/>
      <c r="J277" s="1722"/>
      <c r="K277" s="1723">
        <f>SUM(K272:K276)</f>
        <v>28517</v>
      </c>
      <c r="L277" s="1723">
        <f>SUM(L272:L276)</f>
        <v>27662</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430887</v>
      </c>
      <c r="E279" s="1722"/>
      <c r="F279" s="1722"/>
      <c r="G279" s="1722"/>
      <c r="H279" s="1722"/>
      <c r="I279" s="1722"/>
      <c r="J279" s="1722"/>
      <c r="K279" s="1730">
        <f>SUM(K238,K243,K257,K261,K270,K277,K278)</f>
        <v>430887</v>
      </c>
      <c r="L279" s="1730">
        <f>SUM(L238,L243,L257,L261,L270,L277,L278)</f>
        <v>436217</v>
      </c>
    </row>
    <row r="280" spans="1:12" ht="15.75" customHeight="1" thickTop="1" thickBot="1" x14ac:dyDescent="0.25">
      <c r="A280" s="1406" t="s">
        <v>870</v>
      </c>
      <c r="B280" s="1395">
        <v>3000</v>
      </c>
      <c r="C280" s="1722"/>
      <c r="D280" s="1700">
        <v>722</v>
      </c>
      <c r="E280" s="1722"/>
      <c r="F280" s="1722"/>
      <c r="G280" s="1722"/>
      <c r="H280" s="1722"/>
      <c r="I280" s="1722"/>
      <c r="J280" s="1722"/>
      <c r="K280" s="1736">
        <f>D280</f>
        <v>722</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352" t="s">
        <v>502</v>
      </c>
      <c r="B295" s="2353"/>
      <c r="C295" s="1722"/>
      <c r="D295" s="1723">
        <f>SUM(D229,D279,D280,D285)</f>
        <v>767908</v>
      </c>
      <c r="E295" s="1722"/>
      <c r="F295" s="1722"/>
      <c r="G295" s="1722"/>
      <c r="H295" s="1723">
        <f>H293</f>
        <v>0</v>
      </c>
      <c r="I295" s="1722"/>
      <c r="J295" s="1722"/>
      <c r="K295" s="1723">
        <f>SUM(K229,K279,K280,K285,K293,K294)</f>
        <v>767908</v>
      </c>
      <c r="L295" s="1723">
        <f>SUM(L229,L279,L280,L285,L293,L294)</f>
        <v>775299</v>
      </c>
    </row>
    <row r="296" spans="1:14" ht="13.5" thickTop="1" x14ac:dyDescent="0.2">
      <c r="A296" s="2334" t="s">
        <v>989</v>
      </c>
      <c r="B296" s="2335"/>
      <c r="C296" s="1722"/>
      <c r="D296" s="1724"/>
      <c r="E296" s="1722"/>
      <c r="F296" s="1722"/>
      <c r="G296" s="1722"/>
      <c r="H296" s="1756"/>
      <c r="I296" s="1722"/>
      <c r="J296" s="1722"/>
      <c r="K296" s="1738">
        <f>'Revenues 9-14'!G268-'Expenditures 15-22'!K295</f>
        <v>-703</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44" t="s">
        <v>142</v>
      </c>
      <c r="B298" s="2338"/>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349" t="s">
        <v>275</v>
      </c>
      <c r="B312" s="2350"/>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345" t="s">
        <v>989</v>
      </c>
      <c r="B313" s="2346"/>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8" t="s">
        <v>148</v>
      </c>
      <c r="B315" s="2359"/>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60" t="s">
        <v>892</v>
      </c>
      <c r="B317" s="2359"/>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1782</v>
      </c>
      <c r="B320" s="568" t="s">
        <v>280</v>
      </c>
      <c r="C320" s="1623"/>
      <c r="D320" s="1623"/>
      <c r="E320" s="1623"/>
      <c r="F320" s="1623"/>
      <c r="G320" s="1623"/>
      <c r="H320" s="1623"/>
      <c r="I320" s="1623"/>
      <c r="J320" s="1623"/>
      <c r="K320" s="1721">
        <f t="shared" ref="K320:K327" si="24">SUM(C320:J320)</f>
        <v>0</v>
      </c>
      <c r="L320" s="1623"/>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c r="F322" s="1623"/>
      <c r="G322" s="1623"/>
      <c r="H322" s="1623"/>
      <c r="I322" s="1623"/>
      <c r="J322" s="1623"/>
      <c r="K322" s="1721">
        <f t="shared" si="24"/>
        <v>0</v>
      </c>
      <c r="L322" s="1623"/>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c r="D325" s="1623"/>
      <c r="E325" s="1623"/>
      <c r="F325" s="1623"/>
      <c r="G325" s="1623"/>
      <c r="H325" s="1623"/>
      <c r="I325" s="1623"/>
      <c r="J325" s="1623"/>
      <c r="K325" s="1721">
        <f t="shared" si="24"/>
        <v>0</v>
      </c>
      <c r="L325" s="1623"/>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0</v>
      </c>
      <c r="D330" s="1723">
        <f t="shared" ref="D330:J330" si="25">SUM(D319:D329)</f>
        <v>0</v>
      </c>
      <c r="E330" s="1723">
        <f t="shared" si="25"/>
        <v>0</v>
      </c>
      <c r="F330" s="1723">
        <f t="shared" si="25"/>
        <v>0</v>
      </c>
      <c r="G330" s="1723">
        <f t="shared" si="25"/>
        <v>0</v>
      </c>
      <c r="H330" s="1723">
        <f t="shared" si="25"/>
        <v>0</v>
      </c>
      <c r="I330" s="1723">
        <f t="shared" si="25"/>
        <v>0</v>
      </c>
      <c r="J330" s="1723">
        <f t="shared" si="25"/>
        <v>0</v>
      </c>
      <c r="K330" s="1723">
        <f>SUM(K319:K329)</f>
        <v>0</v>
      </c>
      <c r="L330" s="1723">
        <f>SUM(L319:L329)</f>
        <v>0</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0</v>
      </c>
      <c r="D342" s="1723">
        <f>SUM(D330)</f>
        <v>0</v>
      </c>
      <c r="E342" s="1723">
        <f>SUM(E330)</f>
        <v>0</v>
      </c>
      <c r="F342" s="1723">
        <f>SUM(F330)</f>
        <v>0</v>
      </c>
      <c r="G342" s="1723">
        <f>SUM(G330)</f>
        <v>0</v>
      </c>
      <c r="H342" s="1723">
        <f>SUM(H330,H334,H340)</f>
        <v>0</v>
      </c>
      <c r="I342" s="1723">
        <f>SUM(I330)</f>
        <v>0</v>
      </c>
      <c r="J342" s="1723">
        <f>SUM(J330)</f>
        <v>0</v>
      </c>
      <c r="K342" s="1723">
        <f>SUM(K330,K334,K340)</f>
        <v>0</v>
      </c>
      <c r="L342" s="1730">
        <f>SUM(L330,L334,L340,L341)</f>
        <v>0</v>
      </c>
    </row>
    <row r="343" spans="1:14" ht="12.75" customHeight="1" thickTop="1" x14ac:dyDescent="0.2">
      <c r="A343" s="2347" t="s">
        <v>989</v>
      </c>
      <c r="B343" s="2348"/>
      <c r="C343" s="1722"/>
      <c r="D343" s="1722"/>
      <c r="E343" s="1722"/>
      <c r="F343" s="1722"/>
      <c r="G343" s="1722"/>
      <c r="H343" s="1722"/>
      <c r="I343" s="1722"/>
      <c r="J343" s="1722"/>
      <c r="K343" s="1738">
        <f>'Revenues 9-14'!J268-'Expenditures 15-22'!K342</f>
        <v>353</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7" t="s">
        <v>960</v>
      </c>
      <c r="B345" s="2338"/>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27058</v>
      </c>
      <c r="F348" s="1622"/>
      <c r="G348" s="1622"/>
      <c r="H348" s="1622"/>
      <c r="I348" s="1623"/>
      <c r="J348" s="1623"/>
      <c r="K348" s="1721">
        <f>SUM(C348:J348)</f>
        <v>27058</v>
      </c>
      <c r="L348" s="1622">
        <v>55300</v>
      </c>
    </row>
    <row r="349" spans="1:14" x14ac:dyDescent="0.2">
      <c r="A349" s="1318" t="s">
        <v>195</v>
      </c>
      <c r="B349" s="503">
        <v>2540</v>
      </c>
      <c r="C349" s="1622"/>
      <c r="D349" s="1622"/>
      <c r="E349" s="1622">
        <v>946804</v>
      </c>
      <c r="F349" s="1622">
        <v>3919</v>
      </c>
      <c r="G349" s="1622"/>
      <c r="H349" s="1622"/>
      <c r="I349" s="1623"/>
      <c r="J349" s="1623"/>
      <c r="K349" s="1721">
        <f>SUM(C349:J349)</f>
        <v>950723</v>
      </c>
      <c r="L349" s="1622"/>
    </row>
    <row r="350" spans="1:14" ht="12.75" customHeight="1" thickBot="1" x14ac:dyDescent="0.25">
      <c r="A350" s="1428" t="s">
        <v>714</v>
      </c>
      <c r="B350" s="1429" t="s">
        <v>35</v>
      </c>
      <c r="C350" s="1723">
        <f>SUM(C348:C349)</f>
        <v>0</v>
      </c>
      <c r="D350" s="1723">
        <f t="shared" ref="D350:L350" si="26">SUM(D348:D349)</f>
        <v>0</v>
      </c>
      <c r="E350" s="1723">
        <f t="shared" si="26"/>
        <v>973862</v>
      </c>
      <c r="F350" s="1723">
        <f t="shared" si="26"/>
        <v>3919</v>
      </c>
      <c r="G350" s="1723">
        <f t="shared" si="26"/>
        <v>0</v>
      </c>
      <c r="H350" s="1723">
        <f t="shared" si="26"/>
        <v>0</v>
      </c>
      <c r="I350" s="1723">
        <f t="shared" si="26"/>
        <v>0</v>
      </c>
      <c r="J350" s="1723">
        <f t="shared" si="26"/>
        <v>0</v>
      </c>
      <c r="K350" s="1723">
        <f t="shared" si="26"/>
        <v>977781</v>
      </c>
      <c r="L350" s="1723">
        <f t="shared" si="26"/>
        <v>55300</v>
      </c>
    </row>
    <row r="351" spans="1:14" ht="12.75" customHeight="1" thickTop="1" x14ac:dyDescent="0.2">
      <c r="A351" s="1324" t="s">
        <v>973</v>
      </c>
      <c r="B351" s="521" t="s">
        <v>570</v>
      </c>
      <c r="C351" s="1635"/>
      <c r="D351" s="1635"/>
      <c r="E351" s="1635">
        <v>31446</v>
      </c>
      <c r="F351" s="1635"/>
      <c r="G351" s="1635"/>
      <c r="H351" s="1635"/>
      <c r="I351" s="1632"/>
      <c r="J351" s="1632"/>
      <c r="K351" s="1764">
        <f>SUM(C351:J351)</f>
        <v>31446</v>
      </c>
      <c r="L351" s="1635">
        <v>49000</v>
      </c>
    </row>
    <row r="352" spans="1:14" ht="12.75" customHeight="1" thickBot="1" x14ac:dyDescent="0.25">
      <c r="A352" s="1428" t="s">
        <v>620</v>
      </c>
      <c r="B352" s="1431" t="s">
        <v>565</v>
      </c>
      <c r="C352" s="1723">
        <f>SUM(C350:C351)</f>
        <v>0</v>
      </c>
      <c r="D352" s="1723">
        <f t="shared" ref="D352:L352" si="27">SUM(D350:D351)</f>
        <v>0</v>
      </c>
      <c r="E352" s="1723">
        <f t="shared" si="27"/>
        <v>1005308</v>
      </c>
      <c r="F352" s="1723">
        <f t="shared" si="27"/>
        <v>3919</v>
      </c>
      <c r="G352" s="1723">
        <f t="shared" si="27"/>
        <v>0</v>
      </c>
      <c r="H352" s="1723">
        <f t="shared" si="27"/>
        <v>0</v>
      </c>
      <c r="I352" s="1723">
        <f t="shared" si="27"/>
        <v>0</v>
      </c>
      <c r="J352" s="1723">
        <f t="shared" si="27"/>
        <v>0</v>
      </c>
      <c r="K352" s="1723">
        <f t="shared" si="27"/>
        <v>1009227</v>
      </c>
      <c r="L352" s="1723">
        <f t="shared" si="27"/>
        <v>104300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row>
    <row r="355" spans="1:14" ht="12.75" customHeight="1" x14ac:dyDescent="0.2">
      <c r="A355" s="1327" t="s">
        <v>1825</v>
      </c>
      <c r="B355" s="562" t="s">
        <v>1818</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1005308</v>
      </c>
      <c r="F367" s="1723">
        <f t="shared" si="28"/>
        <v>3919</v>
      </c>
      <c r="G367" s="1723">
        <f t="shared" si="28"/>
        <v>0</v>
      </c>
      <c r="H367" s="1723">
        <f t="shared" si="28"/>
        <v>0</v>
      </c>
      <c r="I367" s="1723">
        <f t="shared" si="28"/>
        <v>0</v>
      </c>
      <c r="J367" s="1723">
        <f t="shared" si="28"/>
        <v>0</v>
      </c>
      <c r="K367" s="1723">
        <f t="shared" si="28"/>
        <v>1009227</v>
      </c>
      <c r="L367" s="1723">
        <f t="shared" si="28"/>
        <v>104300</v>
      </c>
    </row>
    <row r="368" spans="1:14" ht="13.5" thickTop="1" x14ac:dyDescent="0.2">
      <c r="A368" s="2334" t="s">
        <v>989</v>
      </c>
      <c r="B368" s="2335"/>
      <c r="C368" s="1743"/>
      <c r="D368" s="1743"/>
      <c r="E368" s="1726"/>
      <c r="F368" s="1726"/>
      <c r="G368" s="1726"/>
      <c r="H368" s="1726"/>
      <c r="I368" s="1726"/>
      <c r="J368" s="1725"/>
      <c r="K368" s="1721">
        <f>'Revenues 9-14'!K268-'Expenditures 15-22'!K367</f>
        <v>-268281</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terms/"/>
    <ds:schemaRef ds:uri="http://schemas.microsoft.com/office/2006/metadata/properties"/>
    <ds:schemaRef ds:uri="http://schemas.microsoft.com/office/infopath/2007/PartnerControls"/>
    <ds:schemaRef ds:uri="6ce3111e-7420-4802-b50a-75d4e9a0b980"/>
    <ds:schemaRef ds:uri="http://schemas.microsoft.com/sharepoint/v3"/>
    <ds:schemaRef ds:uri="http://schemas.microsoft.com/office/2006/documentManagement/types"/>
    <ds:schemaRef ds:uri="4d435f69-8686-490b-bd6d-b153bf22ab50"/>
    <ds:schemaRef ds:uri="d21dc803-237d-4c68-8692-8d731fd29118"/>
    <ds:schemaRef ds:uri="http://purl.org/dc/dcmitype/"/>
    <ds:schemaRef ds:uri="http://purl.org/dc/elements/1.1/"/>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18</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2020-10-08T17:00:59Z</cp:lastPrinted>
  <dcterms:created xsi:type="dcterms:W3CDTF">2003-10-29T19:06:34Z</dcterms:created>
  <dcterms:modified xsi:type="dcterms:W3CDTF">2020-10-20T13:32:45Z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