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F1F10C0-2BCE-4BD2-AB92-84186A2603A5}" xr6:coauthVersionLast="36" xr6:coauthVersionMax="36" xr10:uidLastSave="{00000000-0000-0000-0000-000000000000}"/>
  <bookViews>
    <workbookView xWindow="3510" yWindow="3510" windowWidth="13935" windowHeight="113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5" i="5" l="1"/>
  <c r="J5" i="5"/>
  <c r="I5" i="5"/>
  <c r="G8" i="5"/>
  <c r="G5" i="5"/>
  <c r="G14" i="5"/>
  <c r="E5" i="5"/>
  <c r="C14" i="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7" i="183" l="1"/>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L22" i="37"/>
  <c r="D24" i="37"/>
  <c r="B4270" i="106" s="1"/>
  <c r="D4270" i="106" s="1"/>
  <c r="B5752" i="106"/>
  <c r="D5752" i="106" s="1"/>
  <c r="H365" i="29" l="1"/>
  <c r="B7242" i="106" s="1"/>
  <c r="D7242" i="106" s="1"/>
  <c r="C342" i="29"/>
  <c r="B7216" i="106" s="1"/>
  <c r="D7216" i="106" s="1"/>
  <c r="F72" i="34"/>
  <c r="G14" i="4"/>
  <c r="B2609" i="106" s="1"/>
  <c r="D2609" i="106" s="1"/>
  <c r="B7074" i="106"/>
  <c r="D7074" i="106" s="1"/>
  <c r="G30" i="108"/>
  <c r="F36" i="34"/>
  <c r="B7828" i="106" s="1"/>
  <c r="D7828" i="106" s="1"/>
  <c r="F64" i="34"/>
  <c r="G39" i="108"/>
  <c r="E34"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995" i="106"/>
  <c r="D6995" i="106" s="1"/>
  <c r="C352" i="29"/>
  <c r="H76" i="4"/>
  <c r="B3298" i="106" s="1"/>
  <c r="D3298" i="106" s="1"/>
  <c r="B1274" i="106"/>
  <c r="D1274" i="106" s="1"/>
  <c r="H12" i="184"/>
  <c r="J129" i="29"/>
  <c r="B7038" i="106" s="1"/>
  <c r="D7038" i="106" s="1"/>
  <c r="H15" i="184"/>
  <c r="D22" i="37"/>
  <c r="B2724" i="106"/>
  <c r="D2724" i="106" s="1"/>
  <c r="C129" i="29"/>
  <c r="C151" i="29" s="1"/>
  <c r="B1226" i="106" s="1"/>
  <c r="D1226" i="106"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15" i="106" l="1"/>
  <c r="D7215" i="106" s="1"/>
  <c r="B5527" i="106"/>
  <c r="D5527" i="106" s="1"/>
  <c r="N23" i="3"/>
  <c r="B284" i="106" s="1"/>
  <c r="D284" i="106" s="1"/>
  <c r="L114" i="29"/>
  <c r="K342" i="29"/>
  <c r="F13" i="34" s="1"/>
  <c r="B1381" i="106"/>
  <c r="D1381" i="106" s="1"/>
  <c r="F41" i="108"/>
  <c r="G43" i="108" s="1"/>
  <c r="D44" i="36"/>
  <c r="E367" i="29"/>
  <c r="B3635" i="106"/>
  <c r="E19" i="184"/>
  <c r="B7235" i="106"/>
  <c r="D7235" i="106" s="1"/>
  <c r="L16" i="11"/>
  <c r="B2061" i="106" s="1"/>
  <c r="D2061" i="106" s="1"/>
  <c r="B7220" i="106"/>
  <c r="D7220" i="106" s="1"/>
  <c r="F75" i="34"/>
  <c r="B7886" i="106" s="1"/>
  <c r="D7886" i="106" s="1"/>
  <c r="B7222" i="106"/>
  <c r="D7222" i="106" s="1"/>
  <c r="F76" i="34"/>
  <c r="B7887" i="106" s="1"/>
  <c r="D7887" i="106" s="1"/>
  <c r="B1328" i="106"/>
  <c r="D1328" i="106" s="1"/>
  <c r="N57" i="184"/>
  <c r="N68" i="184" s="1"/>
  <c r="E68"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J78" i="4" s="1"/>
  <c r="B6227" i="106"/>
  <c r="D6227" i="106" s="1"/>
  <c r="F8" i="4"/>
  <c r="B2595" i="106" s="1"/>
  <c r="D2595" i="106" s="1"/>
  <c r="K17" i="4"/>
  <c r="B6223" i="106"/>
  <c r="D6223"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C11" i="14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l="1"/>
  <c r="D1644" i="106" s="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<sst xmlns="http://schemas.openxmlformats.org/spreadsheetml/2006/main" count="5200" uniqueCount="2102">
  <si>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</si>
  <si>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</si>
  <si>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</si>
  <si>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</si>
  <si>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</si>
  <si>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</si>
  <si>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</si>
  <si>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</si>
  <si>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</si>
  <si>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</si>
  <si>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</si>
  <si>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</si>
  <si>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</si>
  <si>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</si>
  <si>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</si>
  <si>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</si>
  <si>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</si>
  <si>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</si>
  <si>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</si>
  <si>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</si>
  <si>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</si>
  <si>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</si>
  <si>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</si>
  <si>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</si>
  <si>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</si>
  <si>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</si>
  <si>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</si>
  <si>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</si>
  <si>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</si>
  <si>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</si>
  <si>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</si>
  <si>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</si>
  <si>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</si>
  <si>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</si>
  <si>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</si>
  <si>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</si>
  <si>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</si>
  <si>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</si>
  <si>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</si>
  <si>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</si>
  <si>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</si>
  <si>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</si>
  <si>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</si>
  <si>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</si>
  <si>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</si>
  <si>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</si>
  <si>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</si>
  <si>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</si>
  <si>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</si>
  <si>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</si>
  <si>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</si>
  <si>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</si>
  <si>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</si>
  <si>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</si>
  <si>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</si>
  <si>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</si>
  <si>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</si>
  <si>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</si>
  <si>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</si>
  <si>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</si>
  <si>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</si>
  <si>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</si>
  <si>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</si>
  <si>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</si>
  <si>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</si>
  <si>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</si>
  <si>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</si>
  <si>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</si>
  <si>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</si>
  <si>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</si>
  <si>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</si>
  <si>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</si>
  <si>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</si>
  <si>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</si>
  <si>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</si>
  <si>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</si>
  <si>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</si>
  <si>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</si>
  <si>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</si>
  <si>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</si>
  <si>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</si>
  <si>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</si>
  <si>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</si>
  <si>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</si>
  <si>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</si>
  <si>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</si>
  <si>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</si>
  <si>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</si>
  <si>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</si>
  <si>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</si>
  <si>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</si>
  <si>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</si>
  <si>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</si>
  <si>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</si>
  <si>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</si>
  <si>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</si>
  <si>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</si>
  <si>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</si>
  <si>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</si>
  <si>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</si>
  <si>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</si>
  <si>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</si>
  <si>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</si>
  <si>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</si>
  <si>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</si>
  <si>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</si>
  <si>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</si>
  <si>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</si>
  <si>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</si>
  <si>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</si>
  <si>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</si>
  <si>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</si>
  <si>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</si>
  <si>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</si>
  <si>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</si>
  <si>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</si>
  <si>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</si>
  <si>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</si>
  <si>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</si>
  <si>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</si>
  <si>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</si>
  <si>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</si>
  <si>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</si>
  <si>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</si>
  <si>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</si>
  <si>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</si>
  <si>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</si>
  <si>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</si>
  <si>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</si>
  <si>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</si>
  <si>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</si>
  <si>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</si>
  <si>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</si>
  <si>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</si>
  <si>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</si>
  <si>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</si>
  <si>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</si>
  <si>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</si>
  <si>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</si>
  <si>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</si>
  <si>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</si>
  <si>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</si>
  <si>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</si>
  <si>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</si>
  <si>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</si>
  <si>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</si>
  <si>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</si>
  <si>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</si>
  <si>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</si>
  <si>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</si>
  <si>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</si>
  <si>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</si>
  <si>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</si>
  <si>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</si>
  <si>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</si>
  <si>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</si>
  <si>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</si>
  <si>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</si>
  <si>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</si>
  <si>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</si>
  <si>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</si>
  <si>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</si>
  <si>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</si>
  <si>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</si>
  <si>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</si>
  <si>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</si>
  <si>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</si>
  <si>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</si>
  <si>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</si>
  <si>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</si>
  <si>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</si>
  <si>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</si>
  <si>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</si>
  <si>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</si>
  <si>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</si>
  <si>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</si>
  <si>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</si>
  <si>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</si>
  <si>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</si>
  <si>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</si>
  <si>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</si>
  <si>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</si>
  <si>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</si>
  <si>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</si>
  <si>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</si>
  <si>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</si>
  <si>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</si>
  <si>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</si>
  <si>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</si>
  <si>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</si>
  <si>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</si>
  <si>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</si>
  <si>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</si>
  <si>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</si>
  <si>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</si>
  <si>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</si>
  <si>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</si>
  <si>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</si>
  <si>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</si>
  <si>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</si>
  <si>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</si>
  <si>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</si>
  <si>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</si>
  <si>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</si>
  <si>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</si>
  <si>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</si>
  <si>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</si>
  <si>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</si>
  <si>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</si>
  <si>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</si>
  <si>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</si>
  <si>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</si>
  <si>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</si>
  <si>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</si>
  <si>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</si>
  <si>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</si>
  <si>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</si>
  <si>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</si>
  <si>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</si>
  <si>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</si>
  <si>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</si>
  <si>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</si>
  <si>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</si>
  <si>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</si>
  <si>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</si>
  <si>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</si>
  <si>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</si>
  <si>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</si>
  <si>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</si>
  <si>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</si>
  <si>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</si>
  <si>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</si>
  <si>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</si>
  <si>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</si>
  <si>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</si>
  <si>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</si>
  <si>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</si>
  <si>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</si>
  <si>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</si>
  <si>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</si>
  <si>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</si>
  <si>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</si>
  <si>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</si>
  <si>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</si>
  <si>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</si>
  <si>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</si>
  <si>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</si>
  <si>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</si>
  <si>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</si>
  <si>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</si>
  <si>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</si>
  <si>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</si>
  <si>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</si>
  <si>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</si>
  <si>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</si>
  <si>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</si>
  <si>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</si>
  <si>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</si>
  <si>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</si>
  <si>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</si>
  <si>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</si>
  <si>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</si>
  <si>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</si>
  <si>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</si>
  <si>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</si>
  <si>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</si>
  <si>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</si>
  <si>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</si>
  <si>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</si>
  <si>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</si>
  <si>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</si>
  <si>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</si>
  <si>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</si>
  <si>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</si>
  <si>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</si>
  <si>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</si>
  <si>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</si>
  <si>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</si>
  <si>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</si>
  <si>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</si>
  <si>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</si>
  <si>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</si>
  <si>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</si>
  <si>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</si>
  <si>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</si>
  <si>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</si>
  <si>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</si>
  <si>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</si>
  <si>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</si>
  <si>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</si>
  <si>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</si>
  <si>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</si>
  <si>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</si>
  <si>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</si>
  <si>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</si>
  <si>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</si>
  <si>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</si>
  <si>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</si>
  <si>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</si>
  <si>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</si>
  <si>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</si>
  <si>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</si>
  <si>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</si>
  <si>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</si>
  <si>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</si>
  <si>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</si>
  <si>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</si>
  <si>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</si>
  <si>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</si>
  <si>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</si>
  <si>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</si>
  <si>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</si>
  <si>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</si>
  <si>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</si>
  <si>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</si>
  <si>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</si>
  <si>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</si>
  <si>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</si>
  <si>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</si>
  <si>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</si>
  <si>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</si>
  <si>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</si>
  <si>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</si>
  <si>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</si>
  <si>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</si>
  <si>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</si>
  <si>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</si>
  <si>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</si>
  <si>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</si>
  <si>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</si>
  <si>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</si>
  <si>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</si>
  <si>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</si>
  <si>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</si>
  <si>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</si>
  <si>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</si>
  <si>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</si>
  <si>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</si>
  <si>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</si>
  <si>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</si>
  <si>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</si>
  <si>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</si>
  <si>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</si>
  <si>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</si>
  <si>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</si>
  <si>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</si>
  <si>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</si>
  <si>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</si>
  <si>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</si>
  <si>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</si>
  <si>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</si>
  <si>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</si>
  <si>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</si>
  <si>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</si>
  <si>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</si>
  <si>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</si>
  <si>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</si>
  <si>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</si>
  <si>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</si>
  <si>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</si>
  <si>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</si>
  <si>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</si>
  <si>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</si>
  <si>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</si>
  <si>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</si>
  <si>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</si>
  <si>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</si>
  <si>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</si>
  <si>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</si>
  <si>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</si>
  <si>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</si>
  <si>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</si>
  <si>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</si>
  <si>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</si>
  <si>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</si>
  <si>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</si>
  <si>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</si>
  <si>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</si>
  <si>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</si>
  <si>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</si>
  <si>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</si>
  <si>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</si>
  <si>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</si>
  <si>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</si>
  <si>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</si>
  <si>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</si>
  <si>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</si>
  <si>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</si>
  <si>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</si>
  <si>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</si>
  <si>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</si>
  <si>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</si>
  <si>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</si>
  <si>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</si>
  <si>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</si>
  <si>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</si>
  <si>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</si>
  <si>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</si>
  <si>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</si>
  <si>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</si>
  <si>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</si>
  <si>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</si>
  <si>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</si>
  <si>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</si>
  <si>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</si>
  <si>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</si>
  <si>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</si>
  <si>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</si>
  <si>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</si>
  <si>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</si>
  <si>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</si>
  <si>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</si>
  <si>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</si>
  <si>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</si>
  <si>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</si>
  <si>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</si>
  <si>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</si>
  <si>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</si>
  <si>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</si>
  <si>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</si>
  <si>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</si>
  <si>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</si>
  <si>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</si>
  <si>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</si>
  <si>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</si>
  <si>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</si>
  <si>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</si>
  <si>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</si>
  <si>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</si>
  <si>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</si>
  <si>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</si>
  <si>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</si>
  <si>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</si>
  <si>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</si>
  <si>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</si>
  <si>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</si>
  <si>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</si>
  <si>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</si>
  <si>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</si>
  <si>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</si>
  <si>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</si>
  <si>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</si>
  <si>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</si>
  <si>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</si>
  <si>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</si>
  <si>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</si>
  <si>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</si>
  <si>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</si>
  <si>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</si>
  <si>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</si>
  <si>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</si>
  <si>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</si>
  <si>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</si>
  <si>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</si>
  <si>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</si>
  <si>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</si>
  <si>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</si>
  <si>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</si>
  <si>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</si>
  <si>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</si>
  <si>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</si>
  <si>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</si>
  <si>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</si>
  <si>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</si>
  <si>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</si>
  <si>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</si>
  <si>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</si>
  <si>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</si>
  <si>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</si>
  <si>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</si>
  <si>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</si>
  <si>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</si>
  <si>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</si>
  <si>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</si>
  <si>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</si>
  <si>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</si>
  <si>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</si>
  <si>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</si>
  <si>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</si>
  <si>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</si>
  <si>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</si>
  <si>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</si>
  <si>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</si>
  <si>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</si>
  <si>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</si>
  <si>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</si>
  <si>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</si>
  <si>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</si>
  <si>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</si>
  <si>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</si>
  <si>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</si>
  <si>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</si>
  <si>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</si>
  <si>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</si>
  <si>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</si>
  <si>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</si>
  <si>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</si>
  <si>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</si>
  <si>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</si>
  <si>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</si>
  <si>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</si>
  <si>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</si>
  <si>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</si>
  <si>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</si>
  <si>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</si>
  <si>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</si>
  <si>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</si>
  <si>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</si>
  <si>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</si>
  <si>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</si>
  <si>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</si>
  <si>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</si>
  <si>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</si>
  <si>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</si>
  <si>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</si>
  <si>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</si>
  <si>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</si>
  <si>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</si>
  <si>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</si>
  <si>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</si>
  <si>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</si>
  <si>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</si>
  <si>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</si>
  <si>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</si>
  <si>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</si>
  <si>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</si>
  <si>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</si>
  <si>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</si>
  <si>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</si>
  <si>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</si>
  <si>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</si>
  <si>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</si>
  <si>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</si>
  <si>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</si>
  <si>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</si>
  <si>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</si>
  <si>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</si>
  <si>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</si>
  <si>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</si>
  <si>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</si>
  <si>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</si>
  <si>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</si>
  <si>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</si>
  <si>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</si>
  <si>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</si>
  <si>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</si>
  <si>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</si>
  <si>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</si>
  <si>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</si>
  <si>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</si>
  <si>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</si>
  <si>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</si>
  <si>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</si>
  <si>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</si>
  <si>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</si>
  <si>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</si>
  <si>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</si>
  <si>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</si>
  <si>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</si>
  <si>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</si>
  <si>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</si>
  <si>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</si>
  <si>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</si>
  <si>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</si>
  <si>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</si>
  <si>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</si>
  <si>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</si>
  <si>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</si>
  <si>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</si>
  <si>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</si>
  <si>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</si>
  <si>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</si>
  <si>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</si>
  <si>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</si>
  <si>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</si>
  <si>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</si>
  <si>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</si>
  <si>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</si>
  <si>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</si>
  <si>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</si>
  <si>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</si>
  <si>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</si>
  <si>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</si>
  <si>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</si>
  <si>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</si>
  <si>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</si>
  <si>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</si>
  <si>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</si>
  <si>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</si>
  <si>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</si>
  <si>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</si>
  <si>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</si>
  <si>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</si>
  <si>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</si>
  <si>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</si>
  <si>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</si>
  <si>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</si>
  <si>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</si>
  <si>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</si>
  <si>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</si>
  <si>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</si>
  <si>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</si>
  <si>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</si>
  <si>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</si>
  <si>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</si>
  <si>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</si>
  <si>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</si>
  <si>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</si>
  <si>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</si>
  <si>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</si>
  <si>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</si>
  <si>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</si>
  <si>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</si>
  <si>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</si>
  <si>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</si>
  <si>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</si>
  <si>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</si>
  <si>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</si>
  <si>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</si>
  <si>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</si>
  <si>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</si>
  <si>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</si>
  <si>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</si>
  <si>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</si>
  <si>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</si>
  <si>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</si>
  <si>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</si>
  <si>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</si>
  <si>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</si>
  <si>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</si>
  <si>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</si>
  <si>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</si>
  <si>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</si>
  <si>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</si>
  <si>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</si>
  <si>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</si>
  <si>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</si>
  <si>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</si>
  <si>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</si>
  <si>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</si>
  <si>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</si>
  <si>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</si>
  <si>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</si>
  <si>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</si>
  <si>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</si>
  <si>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</si>
  <si>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</si>
  <si>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</si>
  <si>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</si>
  <si>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</si>
  <si>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</si>
  <si>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</si>
  <si>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</si>
  <si>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</si>
  <si>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</si>
  <si>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</si>
  <si>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</si>
  <si>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</si>
  <si>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</si>
  <si>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</si>
  <si>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</si>
  <si>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</si>
  <si>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</si>
  <si>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</si>
  <si>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</si>
  <si>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</si>
  <si>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</si>
  <si>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</si>
  <si>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</si>
  <si>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</si>
  <si>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</si>
  <si>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</si>
  <si>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</si>
  <si>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</si>
  <si>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</si>
  <si>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</si>
  <si>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</si>
  <si>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</si>
  <si>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</si>
  <si>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</si>
  <si>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</si>
  <si>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</si>
  <si>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</si>
  <si>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</si>
  <si>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</si>
  <si>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</si>
  <si>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</si>
  <si>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</si>
  <si>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</si>
  <si>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</si>
  <si>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</si>
  <si>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</si>
  <si>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</si>
  <si>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</si>
  <si>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</si>
  <si>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</si>
  <si>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</si>
  <si>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</si>
  <si>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</si>
  <si>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</si>
  <si>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</si>
  <si>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</si>
  <si>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</si>
  <si>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</si>
  <si>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</si>
  <si>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</si>
  <si>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</si>
  <si>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</si>
  <si>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</si>
  <si>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</si>
  <si>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</si>
  <si>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</si>
  <si>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</si>
  <si>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</si>
  <si>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</si>
  <si>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</si>
  <si>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</si>
  <si>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</si>
  <si>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</si>
  <si>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</si>
  <si>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</si>
  <si>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</si>
  <si>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</si>
  <si>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</si>
  <si>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</si>
  <si>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</si>
  <si>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</si>
  <si>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</si>
  <si>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</si>
  <si>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</si>
  <si>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</si>
  <si>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</si>
  <si>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</si>
  <si>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</si>
  <si>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</si>
  <si>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</si>
  <si>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</si>
  <si>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</si>
  <si>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</si>
  <si>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</si>
  <si>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</si>
  <si>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</si>
  <si>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</si>
  <si>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</si>
  <si>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</si>
  <si>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</si>
  <si>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</si>
  <si>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</si>
  <si>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</si>
  <si>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</si>
  <si>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</si>
  <si>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</si>
  <si>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</si>
  <si>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</si>
  <si>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</si>
  <si>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</si>
  <si>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</si>
  <si>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</si>
  <si>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</si>
  <si>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</si>
  <si>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</si>
  <si>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</si>
  <si>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</si>
  <si>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</si>
  <si>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</si>
  <si>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</si>
  <si>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</si>
  <si>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</si>
  <si>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</si>
  <si>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</si>
  <si>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</si>
  <si>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</si>
  <si>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</si>
  <si>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</si>
  <si>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</si>
  <si>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</si>
  <si>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</si>
  <si>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</si>
  <si>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</si>
  <si>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</si>
  <si>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</si>
  <si>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</si>
  <si>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</si>
  <si>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</si>
  <si>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</si>
  <si>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</si>
  <si>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</si>
  <si>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</si>
  <si>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</si>
  <si>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</si>
  <si>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</si>
  <si>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</si>
  <si>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</si>
  <si>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</si>
  <si>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</si>
  <si>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</si>
  <si>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</si>
  <si>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</si>
  <si>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</si>
  <si>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</si>
  <si>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</si>
  <si>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</si>
  <si>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</si>
  <si>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</si>
  <si>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</si>
  <si>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</si>
  <si>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</si>
  <si>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</si>
  <si>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</si>
  <si>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</si>
  <si>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</si>
  <si>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</si>
  <si>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</si>
  <si>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</si>
  <si>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</si>
  <si>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</si>
  <si>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</si>
  <si>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</si>
  <si>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</si>
  <si>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</si>
  <si>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</si>
  <si>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</si>
  <si>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</si>
  <si>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</si>
  <si>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</si>
  <si>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</si>
  <si>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</si>
  <si>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</si>
  <si>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</si>
  <si>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</si>
  <si>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</si>
  <si>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</si>
  <si>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</si>
  <si>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</si>
  <si>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</si>
  <si>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</si>
  <si>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</si>
  <si>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</si>
  <si>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</si>
  <si>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</si>
  <si>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</si>
  <si>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</si>
  <si>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</si>
  <si>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</si>
  <si>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</si>
  <si>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</si>
  <si>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</si>
  <si>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</si>
  <si>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</si>
  <si>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</si>
  <si>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</si>
  <si>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</si>
  <si>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</si>
  <si>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</si>
  <si>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</si>
  <si>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</si>
  <si>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</si>
  <si>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</si>
  <si>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</si>
  <si>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</si>
  <si>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</si>
  <si>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</si>
  <si>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</si>
  <si>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</si>
  <si>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</si>
  <si>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</si>
  <si>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</si>
  <si>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</si>
  <si>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</si>
  <si>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</si>
  <si>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</si>
  <si>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</si>
  <si>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</si>
  <si>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</si>
  <si>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</si>
  <si>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</si>
  <si>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</si>
  <si>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</si>
  <si>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</si>
  <si>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</si>
  <si>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</si>
  <si>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</si>
  <si>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</si>
  <si>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</si>
  <si>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</si>
  <si>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</si>
  <si>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</si>
  <si>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</si>
  <si>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</si>
  <si>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</si>
  <si>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</si>
  <si>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</si>
  <si>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</si>
  <si>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</si>
  <si>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</si>
  <si>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</si>
  <si>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</si>
  <si>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</si>
  <si>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</si>
  <si>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</si>
  <si>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</si>
  <si>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</si>
  <si>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</si>
  <si>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</si>
  <si>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</si>
  <si>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</si>
  <si>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</si>
  <si>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</si>
  <si>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</si>
  <si>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</si>
  <si>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</si>
  <si>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</si>
  <si>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</si>
  <si>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</si>
  <si>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</si>
  <si>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</si>
  <si>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</si>
  <si>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</si>
  <si>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</si>
  <si>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</si>
  <si>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</si>
  <si>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</si>
  <si>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</si>
  <si>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</si>
  <si>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</si>
  <si>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</si>
  <si>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</si>
  <si>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</si>
  <si>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</si>
  <si>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</si>
  <si>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</si>
  <si>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</si>
  <si>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</si>
  <si>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</si>
  <si>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</si>
  <si>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</si>
  <si>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</si>
  <si>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</si>
  <si>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</si>
  <si>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</si>
  <si>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</si>
  <si>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</si>
  <si>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</si>
  <si>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</si>
  <si>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</si>
  <si>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</si>
  <si>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</si>
  <si>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</si>
  <si>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</si>
  <si>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</si>
  <si>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</si>
  <si>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</si>
  <si>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</si>
  <si>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</si>
  <si>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</si>
  <si>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</si>
  <si>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</si>
  <si>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</si>
  <si>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</si>
  <si>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</si>
  <si>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</si>
  <si>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</si>
  <si>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</si>
  <si>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</si>
  <si>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</si>
  <si>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</si>
  <si>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</si>
  <si>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</si>
  <si>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</si>
  <si>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</si>
  <si>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</si>
  <si>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</si>
  <si>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</si>
  <si>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</si>
  <si>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</si>
  <si>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</si>
  <si>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</si>
  <si>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</si>
  <si>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</si>
  <si>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</si>
  <si>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</si>
  <si>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</si>
  <si>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</si>
  <si>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</si>
  <si>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</si>
  <si>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</si>
  <si>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</si>
  <si>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</si>
  <si>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</si>
  <si>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</si>
  <si>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</si>
  <si>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</si>
  <si>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</si>
  <si>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</si>
  <si>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</si>
  <si>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</si>
  <si>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</si>
  <si>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</si>
  <si>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</si>
  <si>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</si>
  <si>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</si>
  <si>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</si>
  <si>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</si>
  <si>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</si>
  <si>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</si>
  <si>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</si>
  <si>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</si>
  <si>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</si>
  <si>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</si>
  <si>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</si>
  <si>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</si>
  <si>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</si>
  <si>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</si>
  <si>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</si>
  <si>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</si>
  <si>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</si>
  <si>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</si>
  <si>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</si>
  <si>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</si>
  <si>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</si>
  <si>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</si>
  <si>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</si>
  <si>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</si>
  <si>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</si>
  <si>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</si>
  <si>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</si>
  <si>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</si>
  <si>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</si>
  <si>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</si>
  <si>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</si>
  <si>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</si>
  <si>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</si>
  <si>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</si>
  <si>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</si>
  <si>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</si>
  <si>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</si>
  <si>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</si>
  <si>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</si>
  <si>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</si>
  <si>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</si>
  <si>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</si>
  <si>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</si>
  <si>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</si>
  <si>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</si>
  <si>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</si>
  <si>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</si>
  <si>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</si>
  <si>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</si>
  <si>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</si>
  <si>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</si>
  <si>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</si>
  <si>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</si>
  <si>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</si>
  <si>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</si>
  <si>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</si>
  <si>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</si>
  <si>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</si>
  <si>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</si>
  <si>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</si>
  <si>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</si>
  <si>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</si>
  <si>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</si>
  <si>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</si>
  <si>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</si>
  <si>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</si>
  <si>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</si>
  <si>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</si>
  <si>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</si>
  <si>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</si>
  <si>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</si>
  <si>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</si>
  <si>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</si>
  <si>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</si>
  <si>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</si>
  <si>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</si>
  <si>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</si>
  <si>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</si>
  <si>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</si>
  <si>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</si>
  <si>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</si>
  <si>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</si>
  <si>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</si>
  <si>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</si>
  <si>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</si>
  <si>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</si>
  <si>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</si>
  <si>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</si>
  <si>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</si>
  <si>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</si>
  <si>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</si>
  <si>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</si>
  <si>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</si>
  <si>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</si>
  <si>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</si>
  <si>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</si>
  <si>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</si>
  <si>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</si>
  <si>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</si>
  <si>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</si>
  <si>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</si>
  <si>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</si>
  <si>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</si>
  <si>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</si>
  <si>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</si>
  <si>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</si>
  <si>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</si>
  <si>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</si>
  <si>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</si>
  <si>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</si>
  <si>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</si>
  <si>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</si>
  <si>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</si>
  <si>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</si>
  <si>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</si>
  <si>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</si>
  <si>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</si>
  <si>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</si>
  <si>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</si>
  <si>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</si>
  <si>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</si>
  <si>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</si>
  <si>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</si>
  <si>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</si>
  <si>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</si>
  <si>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</si>
  <si>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</si>
  <si>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</si>
  <si>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</si>
  <si>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</si>
  <si>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</si>
  <si>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</si>
  <si>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</si>
  <si>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</si>
  <si>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</si>
  <si>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</si>
  <si>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</si>
  <si>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</si>
  <si>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</si>
  <si>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</si>
  <si>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</si>
  <si>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</si>
  <si>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</si>
  <si>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</si>
  <si>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</si>
  <si>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</si>
  <si>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</si>
  <si>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</si>
  <si>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</si>
  <si>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</si>
  <si>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</si>
  <si>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</si>
  <si>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</si>
  <si>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</si>
  <si>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</si>
  <si>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</si>
  <si>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</si>
  <si>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</si>
  <si>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</si>
  <si>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</si>
  <si>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</si>
  <si>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</si>
  <si>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</si>
  <si>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</si>
  <si>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</si>
  <si>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</si>
  <si>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</si>
  <si>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</si>
  <si>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</si>
  <si>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</si>
  <si>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</si>
  <si>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</si>
  <si>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</si>
  <si>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</si>
  <si>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</si>
  <si>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</si>
  <si>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</si>
  <si>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</si>
  <si>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</si>
  <si>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</si>
  <si>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</si>
  <si>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</si>
  <si>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</si>
  <si>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</si>
  <si>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</si>
  <si>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</si>
  <si>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</si>
  <si>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</si>
  <si>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</si>
  <si>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</si>
  <si>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</si>
  <si>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</si>
  <si>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</si>
  <si>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</si>
  <si>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</si>
  <si>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</si>
  <si>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</si>
  <si>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</si>
  <si>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</si>
  <si>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</si>
  <si>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</si>
  <si>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</si>
  <si>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</si>
  <si>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</si>
  <si>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</si>
  <si>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</si>
  <si>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</si>
  <si>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</si>
  <si>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</si>
  <si>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</si>
  <si>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</si>
  <si>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</si>
  <si>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</si>
  <si>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</si>
  <si>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</si>
  <si>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</si>
  <si>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</si>
  <si>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</si>
  <si>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</si>
  <si>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</si>
  <si>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</si>
  <si>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</si>
  <si>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</si>
  <si>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</si>
  <si>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</si>
  <si>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</si>
  <si>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</si>
  <si>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</si>
  <si>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</si>
  <si>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</si>
  <si>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</si>
  <si>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</si>
  <si>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</si>
  <si>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</si>
  <si>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</si>
  <si>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</si>
  <si>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</si>
  <si>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</si>
  <si>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</si>
  <si>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</si>
  <si>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</si>
  <si>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</si>
  <si>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</si>
  <si>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</si>
  <si>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</si>
  <si>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</si>
  <si>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</si>
  <si>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</si>
  <si>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</si>
  <si>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</si>
  <si>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</si>
  <si>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</si>
  <si>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</si>
  <si>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</si>
  <si>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</si>
  <si>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</si>
  <si>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</si>
  <si>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</si>
  <si>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</si>
  <si>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</si>
  <si>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</si>
  <si>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</si>
  <si>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</si>
  <si>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</si>
  <si>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</si>
  <si>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</si>
  <si>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</si>
  <si>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</si>
  <si>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</si>
  <si>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</si>
  <si>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</si>
  <si>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</si>
  <si>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</si>
  <si>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</si>
  <si>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</si>
  <si>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</si>
  <si>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</si>
  <si>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</si>
  <si>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</si>
  <si>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</si>
  <si>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</si>
  <si>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</si>
  <si>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</si>
  <si>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</si>
  <si>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</si>
  <si>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</si>
  <si>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</si>
  <si>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</si>
  <si>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</si>
  <si>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</si>
  <si>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</si>
  <si>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</si>
  <si>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</si>
  <si>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</si>
  <si>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</si>
  <si>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</si>
  <si>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</si>
  <si>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</si>
  <si>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</si>
  <si>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</si>
  <si>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</si>
  <si>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</si>
  <si>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</si>
  <si>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</si>
  <si>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</si>
  <si>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</si>
  <si>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</si>
  <si>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</si>
  <si>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</si>
  <si>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</si>
  <si>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</si>
  <si>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</si>
  <si>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</si>
  <si>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</si>
  <si>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</si>
  <si>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</si>
  <si>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</si>
  <si>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</si>
  <si>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</si>
  <si>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</si>
  <si>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</si>
  <si>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</si>
  <si>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</si>
  <si>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</si>
  <si>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</si>
  <si>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</si>
  <si>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</si>
  <si>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</si>
  <si>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</si>
  <si>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</si>
  <si>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</si>
  <si>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</si>
  <si>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</si>
  <si>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</si>
  <si>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</si>
  <si>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</si>
  <si>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</si>
  <si>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</si>
  <si>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</si>
  <si>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</si>
  <si>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</si>
  <si>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</si>
  <si>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</si>
  <si>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</si>
  <si>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</si>
  <si>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</si>
  <si>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</si>
  <si>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</si>
  <si>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</si>
  <si>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</si>
  <si>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</si>
  <si>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</si>
  <si>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</si>
  <si>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</si>
  <si>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</si>
  <si>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</si>
  <si>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</si>
  <si>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</si>
  <si>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</si>
  <si>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</si>
  <si>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</si>
  <si>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</si>
  <si>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</si>
  <si>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</si>
  <si>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</si>
  <si>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</si>
  <si>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</si>
  <si>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</si>
  <si>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</si>
  <si>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</si>
  <si>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</si>
  <si>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</si>
  <si>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</si>
  <si>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</si>
  <si>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</si>
  <si>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</si>
  <si>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</si>
  <si>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</si>
  <si>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</si>
  <si>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</si>
  <si>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</si>
  <si>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</si>
  <si>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</si>
  <si>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</si>
  <si>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</si>
  <si>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</si>
  <si>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</si>
  <si>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</si>
  <si>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</si>
  <si>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</si>
  <si>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</si>
  <si>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</si>
  <si>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</si>
  <si>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</si>
  <si>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</si>
  <si>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</si>
  <si>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</si>
  <si>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</si>
  <si>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</si>
  <si>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</si>
  <si>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</si>
  <si>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</si>
  <si>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</si>
  <si>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</si>
  <si>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</si>
  <si>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</si>
  <si>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</si>
  <si>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</si>
  <si>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</si>
  <si>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</si>
  <si>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</si>
  <si>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</si>
  <si>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</si>
  <si>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</si>
  <si>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</si>
  <si>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</si>
  <si>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</si>
  <si>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</si>
  <si>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</si>
  <si>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</si>
  <si>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</si>
  <si>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</si>
  <si>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</si>
  <si>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</si>
  <si>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</si>
  <si>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</si>
  <si>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</si>
  <si>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</si>
  <si>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</si>
  <si>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</si>
  <si>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</si>
  <si>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</si>
  <si>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</si>
  <si>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</si>
  <si>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</si>
  <si>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</si>
  <si>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</si>
  <si>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</si>
  <si>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</si>
  <si>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</si>
  <si>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</si>
  <si>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</si>
  <si>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</si>
  <si>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</si>
  <si>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</si>
  <si>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</si>
  <si>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</si>
  <si>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</si>
  <si>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</si>
  <si>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</si>
  <si>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</si>
  <si>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</si>
  <si>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</si>
  <si>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</si>
  <si>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</si>
  <si>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</si>
  <si>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</si>
  <si>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</si>
  <si>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</si>
  <si>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</si>
  <si>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</si>
  <si>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</si>
  <si>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</si>
  <si>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</si>
  <si>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</si>
  <si>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</si>
  <si>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</si>
  <si>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</si>
  <si>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</si>
  <si>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</si>
  <si>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</si>
  <si>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</si>
  <si>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</si>
  <si>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</si>
  <si>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</si>
  <si>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</si>
  <si>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</si>
  <si>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</si>
  <si>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</si>
  <si>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</si>
  <si>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</si>
  <si>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</si>
  <si>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</si>
  <si>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</si>
  <si>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</si>
  <si>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</si>
  <si>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</si>
  <si>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</si>
  <si>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</si>
  <si>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</si>
  <si>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</si>
  <si>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</si>
  <si>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</si>
  <si>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</si>
  <si>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</si>
  <si>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</si>
  <si>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</si>
  <si>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</si>
  <si>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</si>
  <si>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</si>
  <si>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</si>
  <si>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</si>
  <si>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</si>
  <si>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</si>
  <si>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</si>
  <si>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</si>
  <si>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</si>
  <si>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</si>
  <si>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</si>
  <si>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</si>
  <si>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</si>
  <si>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</si>
  <si>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</si>
  <si>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</si>
  <si>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</si>
  <si>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</si>
  <si>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</si>
  <si>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</si>
  <si>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</si>
  <si>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</si>
  <si>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</si>
  <si>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</si>
  <si>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</si>
  <si>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</si>
  <si>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</si>
  <si>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</si>
  <si>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</si>
  <si>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</si>
  <si>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</si>
  <si>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</si>
  <si>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</si>
  <si>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</si>
  <si>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</si>
  <si>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</si>
  <si>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</si>
  <si>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</si>
  <si>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</si>
  <si>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</si>
  <si>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</si>
  <si>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</si>
  <si>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</si>
  <si>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</si>
  <si>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</si>
  <si>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</si>
  <si>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</si>
  <si>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</si>
  <si>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</si>
  <si>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</si>
  <si>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</si>
  <si>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</si>
  <si>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</si>
  <si>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</si>
  <si>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</si>
  <si>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</si>
  <si>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</si>
  <si>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</si>
  <si>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</si>
  <si>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</si>
  <si>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</si>
  <si>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</si>
  <si>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</si>
  <si>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</si>
  <si>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</si>
  <si>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</si>
  <si>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</si>
  <si>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</si>
  <si>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</si>
  <si>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</si>
  <si>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</si>
  <si>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</si>
  <si>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</si>
  <si>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</si>
  <si>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</si>
  <si>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</si>
  <si>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</si>
  <si>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</si>
  <si>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</si>
  <si>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</si>
  <si>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</si>
  <si>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</si>
  <si>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</si>
  <si>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</si>
  <si>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</si>
  <si>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</si>
  <si>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</si>
  <si>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</si>
  <si>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</si>
  <si>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</si>
  <si>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</si>
  <si>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</si>
  <si>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</si>
  <si>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</si>
  <si>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</si>
  <si>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</si>
  <si>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</si>
  <si>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</si>
  <si>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</si>
  <si>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</si>
  <si>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</si>
  <si>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</si>
  <si>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</si>
  <si>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</si>
  <si>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</si>
  <si>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</si>
  <si>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</si>
  <si>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</si>
  <si>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</si>
  <si>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</si>
  <si>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</si>
  <si>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</si>
  <si>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</si>
  <si>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</si>
  <si>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</si>
  <si>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</si>
  <si>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</si>
  <si>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</si>
  <si>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</si>
  <si>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</si>
  <si>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</si>
  <si>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</si>
  <si>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</si>
  <si>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</si>
  <si>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</si>
  <si>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</si>
  <si>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</si>
  <si>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</si>
  <si>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</si>
  <si>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</si>
  <si>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</si>
  <si>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</si>
  <si>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</si>
  <si>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</si>
  <si>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</si>
  <si>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</si>
  <si>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</si>
  <si>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</si>
  <si>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</si>
  <si>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</si>
  <si>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</si>
  <si>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</si>
  <si>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</si>
  <si>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</si>
  <si>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</si>
  <si>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</si>
  <si>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</si>
  <si>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</si>
  <si>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</si>
  <si>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</si>
  <si>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</si>
  <si>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</si>
  <si>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</si>
  <si>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</si>
  <si>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</si>
  <si>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</si>
  <si>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</si>
  <si>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</si>
  <si>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</si>
  <si>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</si>
  <si>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</si>
  <si>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</si>
  <si>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</si>
  <si>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</si>
  <si>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</si>
  <si>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</si>
  <si>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</si>
  <si>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</si>
  <si>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</si>
  <si>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</si>
  <si>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</si>
  <si>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</si>
  <si>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</si>
  <si>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</si>
  <si>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</si>
  <si>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</si>
  <si>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</si>
  <si>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</si>
  <si>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</si>
  <si>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</si>
  <si>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</si>
  <si>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</si>
  <si>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</si>
  <si>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</si>
  <si>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</si>
  <si>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</si>
  <si>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</si>
  <si>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</si>
  <si>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</si>
  <si>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</si>
  <si>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</si>
  <si>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</si>
  <si>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</si>
  <si>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</si>
  <si>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</si>
  <si>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</si>
  <si>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</si>
  <si>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</si>
  <si>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</si>
  <si>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</si>
  <si>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</si>
  <si>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</si>
  <si>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</si>
  <si>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</si>
  <si>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</si>
  <si>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</si>
  <si>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</si>
  <si>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</si>
  <si>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</si>
  <si>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</si>
  <si>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</si>
  <si>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</si>
  <si>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</si>
  <si>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</si>
  <si>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</si>
  <si>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</si>
  <si>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</si>
  <si>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</si>
  <si>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</si>
  <si>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</si>
  <si>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</si>
  <si>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</si>
  <si>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</si>
  <si>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</si>
  <si>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</si>
  <si>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</si>
  <si>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</si>
  <si>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</si>
  <si>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</si>
  <si>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</si>
  <si>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</si>
  <si>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</si>
  <si>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</si>
  <si>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</si>
  <si>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</si>
  <si>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</si>
  <si>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</si>
  <si>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</si>
  <si>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</si>
  <si>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</si>
  <si>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</si>
  <si>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</si>
  <si>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</si>
  <si>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</si>
  <si>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</si>
  <si>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</si>
  <si>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</si>
  <si>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</si>
  <si>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</si>
  <si>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</si>
  <si>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</si>
  <si>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</si>
  <si>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</si>
  <si>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</si>
  <si>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</si>
  <si>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</si>
  <si>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</si>
  <si>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</si>
  <si>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</si>
  <si>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</si>
  <si>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</si>
  <si>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</si>
  <si>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</si>
  <si>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</si>
  <si>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</si>
  <si>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</si>
  <si>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</si>
  <si>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</si>
  <si>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</si>
  <si>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</si>
  <si>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</si>
  <si>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</si>
  <si>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</si>
  <si>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</si>
  <si>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</si>
  <si>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</si>
  <si>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</si>
  <si>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</si>
  <si>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</si>
  <si>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</si>
  <si>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</si>
  <si>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</si>
  <si>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</si>
  <si>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</si>
  <si>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</si>
  <si>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</si>
  <si>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</si>
  <si>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</si>
  <si>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</si>
  <si>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</si>
  <si>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</si>
  <si>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</si>
  <si>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</si>
  <si>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</si>
  <si>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</si>
  <si>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</si>
  <si>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</si>
  <si>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</si>
  <si>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</si>
  <si>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</si>
  <si>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</si>
  <si>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</si>
  <si>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</si>
  <si>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</si>
  <si>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</si>
  <si>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</si>
  <si>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</si>
  <si>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</si>
  <si>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</si>
  <si>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</si>
  <si>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</si>
  <si>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</si>
  <si>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</si>
  <si>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</si>
  <si>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</si>
  <si>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</si>
  <si>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</si>
  <si>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</si>
  <si>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</si>
  <si>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</si>
  <si>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</si>
  <si>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</si>
  <si>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</si>
  <si>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</si>
  <si>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</si>
  <si>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</si>
  <si>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</si>
  <si>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</si>
  <si>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</si>
  <si>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</si>
  <si>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</si>
  <si>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</si>
  <si>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</si>
  <si>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</si>
  <si>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</si>
  <si>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</si>
  <si>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</si>
  <si>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</si>
  <si>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</si>
  <si>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</si>
  <si>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</si>
  <si>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</si>
  <si>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</si>
  <si>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</si>
  <si>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</si>
  <si>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</si>
  <si>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</si>
  <si>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</si>
  <si>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</si>
  <si>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</si>
  <si>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</si>
  <si>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</si>
  <si>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</si>
  <si>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</si>
  <si>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</si>
  <si>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</si>
  <si>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</si>
  <si>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</si>
  <si>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</si>
  <si>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</si>
  <si>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</si>
  <si>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</si>
  <si>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</si>
  <si>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</si>
  <si>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</si>
  <si>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</si>
  <si>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</si>
  <si>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</si>
  <si>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</si>
  <si>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</si>
  <si>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</si>
  <si>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</si>
  <si>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</si>
  <si>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</si>
  <si>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</si>
  <si>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</si>
  <si>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</si>
  <si>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</si>
  <si>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</si>
  <si>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</si>
  <si>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</si>
  <si>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</si>
  <si>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</si>
  <si>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</si>
  <si>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</si>
  <si>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</si>
  <si>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</si>
  <si>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</si>
  <si>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</si>
  <si>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</si>
  <si>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</si>
  <si>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</si>
  <si>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</si>
  <si>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</si>
  <si>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</si>
  <si>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</si>
  <si>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</si>
  <si>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</si>
  <si>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</si>
  <si>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</si>
  <si>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</si>
  <si>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</si>
  <si>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</si>
  <si>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</si>
  <si>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</si>
  <si>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</si>
  <si>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</si>
  <si>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</si>
  <si>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</si>
  <si>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</si>
  <si>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</si>
  <si>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</si>
  <si>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</si>
  <si>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</si>
  <si>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</si>
  <si>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</si>
  <si>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</si>
  <si>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</si>
  <si>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</si>
  <si>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</si>
  <si>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</si>
  <si>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</si>
  <si>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</si>
  <si>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</si>
  <si>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</si>
  <si>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</si>
  <si>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</si>
  <si>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</si>
  <si>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</si>
  <si>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</si>
  <si>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</si>
  <si>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</si>
  <si>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</si>
  <si>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</si>
  <si>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</si>
  <si>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</si>
  <si>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</si>
  <si>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</si>
  <si>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</si>
  <si>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</si>
  <si>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</si>
  <si>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</si>
  <si>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</si>
  <si>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</si>
  <si>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</si>
  <si>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</si>
  <si>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</si>
  <si>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</si>
  <si>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</si>
  <si>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</si>
  <si>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</si>
  <si>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</si>
  <si>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</si>
  <si>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</si>
  <si>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</si>
  <si>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</si>
  <si>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</si>
  <si>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</si>
  <si>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</si>
  <si>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</si>
  <si>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</si>
  <si>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</si>
  <si>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</si>
  <si>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</si>
  <si>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</si>
  <si>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</si>
  <si>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</si>
  <si>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</si>
  <si>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</si>
  <si>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</si>
  <si>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</si>
  <si>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</si>
  <si>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</si>
  <si>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</si>
  <si>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</si>
  <si>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</si>
  <si>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</si>
  <si>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</si>
  <si>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</si>
  <si>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</si>
  <si>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</si>
  <si>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</si>
  <si>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</si>
  <si>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</si>
  <si>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</si>
  <si>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</si>
  <si>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</si>
  <si>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</si>
  <si>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</si>
  <si>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</si>
  <si>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</si>
  <si>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</si>
  <si>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</si>
  <si>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</si>
  <si>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</si>
  <si>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</si>
  <si>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</si>
  <si>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</si>
  <si>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</si>
  <si>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</si>
  <si>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</si>
  <si>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</si>
  <si>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</si>
  <si>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</si>
  <si>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</si>
  <si>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</si>
  <si>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</si>
  <si>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</si>
  <si>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</si>
  <si>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</si>
  <si>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</si>
  <si>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</si>
  <si>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</si>
  <si>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</si>
  <si>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</si>
  <si>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</si>
  <si>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</si>
  <si>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</si>
  <si>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</si>
  <si>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</si>
  <si>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</si>
  <si>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</si>
  <si>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</si>
  <si>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</si>
  <si>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</si>
  <si>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</si>
  <si>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</si>
  <si>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</si>
  <si>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</si>
  <si>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</si>
  <si>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</si>
  <si>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</si>
  <si>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</si>
  <si>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</si>
  <si>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</si>
  <si>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</si>
  <si>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</si>
  <si>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</si>
  <si>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</si>
  <si>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</si>
  <si>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</si>
  <si>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</si>
  <si>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</si>
  <si>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</si>
  <si>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</si>
  <si>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</si>
  <si>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</si>
  <si>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</si>
  <si>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</si>
  <si>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</si>
  <si>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</si>
  <si>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</si>
  <si>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</si>
  <si>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</si>
  <si>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Washington</t>
  </si>
  <si>
    <t>750 East Gorman Street</t>
  </si>
  <si>
    <t>Nashville</t>
  </si>
  <si>
    <t>mbrink@nashville49.org</t>
  </si>
  <si>
    <t>Michael Brink</t>
  </si>
  <si>
    <t>618-327-3055</t>
  </si>
  <si>
    <t>618-327-4503</t>
  </si>
  <si>
    <t>Emling &amp; Hoffman, PC</t>
  </si>
  <si>
    <t>Donald L Hoffman</t>
  </si>
  <si>
    <t>1191 West Saint Louis Street</t>
  </si>
  <si>
    <t>IL</t>
  </si>
  <si>
    <t>618-327-4375</t>
  </si>
  <si>
    <t>618-327-4376</t>
  </si>
  <si>
    <t>donhoffman@emlingcpa.com</t>
  </si>
  <si>
    <t>Ron Daniels</t>
  </si>
  <si>
    <t>rdaniels@roe13.org</t>
  </si>
  <si>
    <t>618-594-2432</t>
  </si>
  <si>
    <t>618-594-7192</t>
  </si>
  <si>
    <t>2012A</t>
  </si>
  <si>
    <t>x</t>
  </si>
  <si>
    <t>Nashville High School District #99</t>
  </si>
  <si>
    <t>Aramark Food Services</t>
  </si>
  <si>
    <t>Egyptian Trust Insurance Co., Prairie State Insurance Coop</t>
  </si>
  <si>
    <t>ROE 13 and Nashville High School District #99</t>
  </si>
  <si>
    <t>Kaskaskia Special Education District</t>
  </si>
  <si>
    <t>Washington County School District</t>
  </si>
  <si>
    <t>NA</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</si>
  <si>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</si>
  <si>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</si>
  <si>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segregatoin of duties.</t>
  </si>
  <si>
    <t>Transaction and reporting errors could occur and not be detected in  a timely manner.</t>
  </si>
  <si>
    <t>The cost versus the benefit of hireing additional staff is not conducive for the School District.</t>
  </si>
  <si>
    <t>The School District should segregate or rotate duties so that no one individual handles a transaction form its inception to its completion. While the School District's current staffing arrangement may not permit an adequate segregation of duties in all respects for an effective system of internal control procedures, it is important that the personnel and management is aware of this condition.</t>
  </si>
  <si>
    <t>The School District is aware of this condition. They will review their staffing arrangement, assignment of duties, and employee bonding.</t>
  </si>
  <si>
    <t>2019-001</t>
  </si>
  <si>
    <t>Not implemented due to limited resources.</t>
  </si>
  <si>
    <t>2019-002</t>
  </si>
  <si>
    <t>Lack of Certified Staff on Hand</t>
  </si>
  <si>
    <t>618-324-4500</t>
  </si>
  <si>
    <t>066-005251</t>
  </si>
  <si>
    <t>Detailed property records are not presently maintained; consequently, we are unable to express an opinion on the General Fixed Asset Account Groups.</t>
  </si>
  <si>
    <t>#20 - See Finding 2020-001</t>
  </si>
  <si>
    <t>Corrected</t>
  </si>
  <si>
    <t>Page 10:  Line 72:  Education Fund:  Kindergarten and Pre-K Snacks and Milk</t>
  </si>
  <si>
    <t>Page 10:  Line 81:  Education Fund:  Athletic Concessions Sales</t>
  </si>
  <si>
    <t>Page 11:  Line 106:  Education Fund:  Jr Hornets Club Receipts</t>
  </si>
  <si>
    <t>Page 11:  Line 107:  Operantion &amp; Maintenance Fund: Purchase of Equipment from NCHS</t>
  </si>
  <si>
    <t>Page 12:  Line 168:  Education Fund:  Stae Library Grant</t>
  </si>
  <si>
    <t>Transportation-Pupil Trans - Purchased Service</t>
  </si>
  <si>
    <t>Schmale Bus Service</t>
  </si>
  <si>
    <t xml:space="preserve">  Nashville CCSD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</si>
</sst>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1314450</xdr:colOff>
          <xdr:row>0</xdr:row>
          <xdr:rowOff>152400</xdr:rowOff>
        </xdr:from>
        <xdr:to>
          <xdr:col>1</xdr:col>
          <xdr:colOff>2228850</xdr:colOff>
          <xdr:row>5</xdr:row>
          <xdr:rowOff>28575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2447925</xdr:colOff>
          <xdr:row>1</xdr:row>
          <xdr:rowOff>57150</xdr:rowOff>
        </xdr:from>
        <xdr:to>
          <xdr:col>1</xdr:col>
          <xdr:colOff>3362325</xdr:colOff>
          <xdr:row>5</xdr:row>
          <xdr:rowOff>95250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28575</xdr:rowOff>
        </xdr:from>
        <xdr:to>
          <xdr:col>1</xdr:col>
          <xdr:colOff>914400</xdr:colOff>
          <xdr:row>10</xdr:row>
          <xdr:rowOff>66675</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6</xdr:row>
          <xdr:rowOff>57150</xdr:rowOff>
        </xdr:from>
        <xdr:to>
          <xdr:col>1</xdr:col>
          <xdr:colOff>2124075</xdr:colOff>
          <xdr:row>10</xdr:row>
          <xdr:rowOff>95250</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0</xdr:row>
          <xdr:rowOff>142875</xdr:rowOff>
        </xdr:from>
        <xdr:to>
          <xdr:col>1</xdr:col>
          <xdr:colOff>1133475</xdr:colOff>
          <xdr:row>5</xdr:row>
          <xdr:rowOff>9525</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1" t="str">
        <f>"Due to ISBE on "</f>
        <v xml:space="preserve">Due to ISBE on </v>
      </c>
      <c r="B2" s="2121">
        <f>+'AFR20'!F4</f>
        <v>44151</v>
      </c>
      <c r="C2" s="2121"/>
      <c r="D2" s="2122"/>
      <c r="I2" s="2080" t="s">
        <v>2002</v>
      </c>
      <c r="J2" s="2079"/>
      <c r="K2" s="2079"/>
      <c r="L2" s="2079"/>
      <c r="M2" s="2079"/>
      <c r="N2" s="2079"/>
      <c r="O2" s="2079"/>
      <c r="P2" s="2079"/>
      <c r="Q2" s="2079"/>
      <c r="R2" s="2079"/>
      <c r="S2" s="2079"/>
    </row>
    <row r="3" spans="1:32" ht="12" customHeight="1" x14ac:dyDescent="0.2">
      <c r="A3" s="1834"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2050</v>
      </c>
      <c r="C5" s="26" t="s">
        <v>904</v>
      </c>
      <c r="D5" s="81"/>
      <c r="E5" s="81"/>
      <c r="H5" s="38"/>
      <c r="I5" s="2088" t="s">
        <v>675</v>
      </c>
      <c r="J5" s="2087"/>
      <c r="K5" s="2087"/>
      <c r="L5" s="2087"/>
      <c r="M5" s="2087"/>
      <c r="N5" s="2087"/>
      <c r="O5" s="2087"/>
      <c r="P5" s="2087"/>
      <c r="Q5" s="2087"/>
      <c r="R5" s="2087"/>
      <c r="S5" s="2087"/>
      <c r="AF5" s="1827"/>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t="s">
        <v>2050</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9">
        <v>13095049004</v>
      </c>
      <c r="B13" s="2100"/>
      <c r="C13" s="2100"/>
      <c r="D13" s="2100"/>
      <c r="E13" s="2100"/>
      <c r="F13" s="2100"/>
      <c r="G13" s="2100"/>
      <c r="H13" s="2101"/>
      <c r="I13" s="31"/>
      <c r="J13" s="30"/>
      <c r="K13" s="28"/>
      <c r="L13" s="30"/>
      <c r="M13" s="30"/>
      <c r="N13" s="30"/>
      <c r="O13" s="30"/>
      <c r="P13" s="30"/>
      <c r="Q13" s="30"/>
      <c r="R13" s="30"/>
      <c r="S13" s="30"/>
      <c r="T13" s="2105" t="s">
        <v>2058</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2051</v>
      </c>
      <c r="B15" s="2103"/>
      <c r="C15" s="2103"/>
      <c r="D15" s="2103"/>
      <c r="E15" s="2103"/>
      <c r="F15" s="2103"/>
      <c r="G15" s="2103"/>
      <c r="H15" s="2104"/>
      <c r="T15" s="2109" t="s">
        <v>2059</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2101</v>
      </c>
      <c r="B17" s="2073"/>
      <c r="C17" s="2073"/>
      <c r="D17" s="2073"/>
      <c r="E17" s="2073"/>
      <c r="F17" s="2073"/>
      <c r="G17" s="2073"/>
      <c r="H17" s="2098"/>
      <c r="T17" s="2116" t="s">
        <v>2060</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2052</v>
      </c>
      <c r="B19" s="2058"/>
      <c r="C19" s="2058"/>
      <c r="D19" s="2058"/>
      <c r="E19" s="2058"/>
      <c r="F19" s="2058"/>
      <c r="G19" s="2058"/>
      <c r="H19" s="2038"/>
      <c r="I19" s="30"/>
      <c r="J19" s="96"/>
      <c r="K19" s="40"/>
      <c r="L19" s="38"/>
      <c r="M19" s="109" t="s">
        <v>312</v>
      </c>
      <c r="P19" s="27"/>
      <c r="Q19" s="27"/>
      <c r="R19" s="27"/>
      <c r="S19" s="31"/>
      <c r="T19" s="2102" t="s">
        <v>2053</v>
      </c>
      <c r="U19" s="2037"/>
      <c r="V19" s="2037"/>
      <c r="W19" s="2038"/>
      <c r="X19" s="2114" t="s">
        <v>2061</v>
      </c>
      <c r="Y19" s="2115"/>
      <c r="Z19" s="2112">
        <v>62263</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2053</v>
      </c>
      <c r="B21" s="2037"/>
      <c r="C21" s="2037"/>
      <c r="D21" s="2037"/>
      <c r="E21" s="2037"/>
      <c r="F21" s="2037"/>
      <c r="G21" s="2037"/>
      <c r="H21" s="2038"/>
      <c r="I21" s="2092" t="s">
        <v>673</v>
      </c>
      <c r="J21" s="2087"/>
      <c r="K21" s="2087"/>
      <c r="L21" s="2087"/>
      <c r="M21" s="2087"/>
      <c r="N21" s="2087"/>
      <c r="O21" s="2087"/>
      <c r="P21" s="2087"/>
      <c r="Q21" s="2087"/>
      <c r="R21" s="2087"/>
      <c r="S21" s="2093"/>
      <c r="T21" s="2127" t="s">
        <v>2062</v>
      </c>
      <c r="U21" s="2128"/>
      <c r="V21" s="2128"/>
      <c r="W21" s="2128"/>
      <c r="X21" s="2133" t="s">
        <v>2063</v>
      </c>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t="s">
        <v>2054</v>
      </c>
      <c r="B23" s="2090"/>
      <c r="C23" s="2090"/>
      <c r="D23" s="2090"/>
      <c r="E23" s="2090"/>
      <c r="F23" s="2090"/>
      <c r="G23" s="2090"/>
      <c r="H23" s="2091"/>
      <c r="T23" s="2072" t="s">
        <v>2090</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62263</v>
      </c>
      <c r="B25" s="2037"/>
      <c r="C25" s="2037"/>
      <c r="D25" s="2037"/>
      <c r="E25" s="2037"/>
      <c r="F25" s="2037"/>
      <c r="G25" s="2037"/>
      <c r="H25" s="2038"/>
      <c r="I25" s="110"/>
      <c r="J25" s="2061"/>
      <c r="K25" s="2061"/>
      <c r="L25" s="2061"/>
      <c r="M25" s="2061"/>
      <c r="N25" s="2061"/>
      <c r="O25" s="2061"/>
      <c r="P25" s="2061"/>
      <c r="Q25" s="2061"/>
      <c r="R25" s="2061"/>
      <c r="S25" s="2062"/>
      <c r="T25" s="2123" t="s">
        <v>2064</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99" t="s">
        <v>2050</v>
      </c>
      <c r="M29" s="40" t="s">
        <v>99</v>
      </c>
      <c r="N29" s="32" t="s">
        <v>1506</v>
      </c>
      <c r="O29" s="32"/>
      <c r="P29" s="32"/>
      <c r="Q29" s="32"/>
      <c r="R29" s="32"/>
      <c r="S29" s="120"/>
      <c r="T29" s="6"/>
      <c r="U29" s="6"/>
      <c r="V29" s="6"/>
      <c r="W29" s="6"/>
      <c r="X29" s="6"/>
      <c r="Y29" s="6"/>
      <c r="Z29" s="6"/>
      <c r="AA29" s="129"/>
    </row>
    <row r="30" spans="1:27" ht="13.5" customHeight="1" x14ac:dyDescent="0.2">
      <c r="A30" s="149"/>
      <c r="B30" s="133" t="s">
        <v>2050</v>
      </c>
      <c r="C30" s="121" t="s">
        <v>1154</v>
      </c>
      <c r="D30" s="28"/>
      <c r="E30" s="28"/>
      <c r="F30" s="136"/>
      <c r="G30" s="111"/>
      <c r="H30" s="111"/>
      <c r="I30" s="51"/>
      <c r="J30" s="99"/>
      <c r="K30" s="28" t="s">
        <v>572</v>
      </c>
      <c r="L30" s="99" t="s">
        <v>2050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t="s">
        <v>2050</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t="s">
        <v>2050</v>
      </c>
      <c r="C34" s="32" t="s">
        <v>539</v>
      </c>
      <c r="D34" s="31"/>
      <c r="E34" s="31"/>
      <c r="F34" s="31"/>
      <c r="G34" s="31"/>
      <c r="H34" s="31"/>
      <c r="I34" s="51"/>
      <c r="J34" s="80"/>
      <c r="L34" s="98"/>
      <c r="M34" s="90" t="s">
        <v>702</v>
      </c>
      <c r="N34" s="30"/>
      <c r="O34" s="30"/>
      <c r="P34" s="30"/>
      <c r="Q34" s="30"/>
      <c r="R34" s="30"/>
      <c r="S34" s="52"/>
      <c r="T34" s="30"/>
      <c r="U34" s="99" t="s">
        <v>2050</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t="s">
        <v>2055</v>
      </c>
      <c r="B38" s="2073"/>
      <c r="C38" s="2073"/>
      <c r="D38" s="2073"/>
      <c r="E38" s="2073"/>
      <c r="F38" s="2037"/>
      <c r="G38" s="2037"/>
      <c r="H38" s="2038"/>
      <c r="I38" s="2065"/>
      <c r="J38" s="2066"/>
      <c r="K38" s="2066"/>
      <c r="L38" s="2066"/>
      <c r="M38" s="2066"/>
      <c r="N38" s="2066"/>
      <c r="O38" s="2066"/>
      <c r="P38" s="2067"/>
      <c r="Q38" s="2067"/>
      <c r="R38" s="2067"/>
      <c r="S38" s="2068"/>
      <c r="T38" s="2109" t="s">
        <v>2065</v>
      </c>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t="s">
        <v>2054</v>
      </c>
      <c r="B40" s="2051"/>
      <c r="C40" s="2052"/>
      <c r="D40" s="2052"/>
      <c r="E40" s="2052"/>
      <c r="F40" s="2053"/>
      <c r="G40" s="2053"/>
      <c r="H40" s="2054"/>
      <c r="I40" s="2075"/>
      <c r="J40" s="2076"/>
      <c r="K40" s="2076"/>
      <c r="L40" s="2076"/>
      <c r="M40" s="2076"/>
      <c r="N40" s="2076"/>
      <c r="O40" s="2076"/>
      <c r="P40" s="2076"/>
      <c r="Q40" s="2076"/>
      <c r="R40" s="2076"/>
      <c r="S40" s="2077"/>
      <c r="T40" s="2075" t="s">
        <v>2066</v>
      </c>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2056</v>
      </c>
      <c r="B42" s="2056"/>
      <c r="C42" s="2057"/>
      <c r="D42" s="2055" t="s">
        <v>2057</v>
      </c>
      <c r="E42" s="2056"/>
      <c r="F42" s="2056"/>
      <c r="G42" s="2056"/>
      <c r="H42" s="2057"/>
      <c r="I42" s="2039"/>
      <c r="J42" s="2040"/>
      <c r="K42" s="2040"/>
      <c r="L42" s="2040"/>
      <c r="M42" s="2040"/>
      <c r="N42" s="2040"/>
      <c r="O42" s="2041"/>
      <c r="P42" s="2074"/>
      <c r="Q42" s="2040"/>
      <c r="R42" s="2040"/>
      <c r="S42" s="2041"/>
      <c r="T42" s="2039" t="s">
        <v>2067</v>
      </c>
      <c r="U42" s="2040"/>
      <c r="V42" s="2040"/>
      <c r="W42" s="2041"/>
      <c r="X42" s="2074" t="s">
        <v>2068</v>
      </c>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L31" sqref="L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70" t="s">
        <v>1594</v>
      </c>
    </row>
    <row r="23" spans="1:5" x14ac:dyDescent="0.2">
      <c r="A23" s="163"/>
      <c r="B23" s="157" t="s">
        <v>1827</v>
      </c>
      <c r="D23" s="162" t="s">
        <v>632</v>
      </c>
      <c r="E23" s="1470" t="s">
        <v>953</v>
      </c>
    </row>
    <row r="24" spans="1:5" x14ac:dyDescent="0.2">
      <c r="A24" s="163" t="s">
        <v>1592</v>
      </c>
      <c r="C24" s="157" t="s">
        <v>1159</v>
      </c>
      <c r="D24" s="162" t="s">
        <v>1377</v>
      </c>
      <c r="E24" s="165" t="s">
        <v>954</v>
      </c>
    </row>
    <row r="25" spans="1:5" x14ac:dyDescent="0.2">
      <c r="A25" s="163" t="s">
        <v>1839</v>
      </c>
      <c r="C25" s="157" t="s">
        <v>1159</v>
      </c>
      <c r="D25" s="164" t="s">
        <v>21</v>
      </c>
      <c r="E25" s="1470" t="s">
        <v>2047</v>
      </c>
    </row>
    <row r="26" spans="1:5" x14ac:dyDescent="0.2">
      <c r="A26" s="163" t="s">
        <v>1840</v>
      </c>
      <c r="C26" s="157" t="s">
        <v>1159</v>
      </c>
      <c r="D26" s="164" t="s">
        <v>559</v>
      </c>
      <c r="E26" s="1470" t="s">
        <v>678</v>
      </c>
    </row>
    <row r="27" spans="1:5" x14ac:dyDescent="0.2">
      <c r="A27" s="163" t="s">
        <v>1841</v>
      </c>
      <c r="C27" s="157" t="s">
        <v>1159</v>
      </c>
      <c r="D27" s="164" t="s">
        <v>553</v>
      </c>
      <c r="E27" s="1470" t="s">
        <v>1350</v>
      </c>
    </row>
    <row r="28" spans="1:5" x14ac:dyDescent="0.2">
      <c r="A28" s="163" t="s">
        <v>1843</v>
      </c>
      <c r="D28" s="164" t="s">
        <v>679</v>
      </c>
      <c r="E28" s="1470" t="s">
        <v>1359</v>
      </c>
    </row>
    <row r="29" spans="1:5" x14ac:dyDescent="0.2">
      <c r="A29" s="163" t="s">
        <v>1844</v>
      </c>
      <c r="D29" s="164" t="s">
        <v>1378</v>
      </c>
      <c r="E29" s="1470"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F118" sqref="F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2050</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2050</v>
      </c>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2091</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1988</v>
      </c>
      <c r="B85" s="2183"/>
      <c r="C85" s="2183"/>
      <c r="D85" s="2184"/>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5" t="s">
        <v>1988</v>
      </c>
      <c r="B88" s="2186"/>
      <c r="C88" s="2186"/>
      <c r="D88" s="2187"/>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t="s">
        <v>2092</v>
      </c>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2058</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differentFirst="1" alignWithMargins="0">
    <oddHeader>&amp;L&amp;8Page &amp;P&amp;C &amp;R&amp;8Page &amp;P</oddHeader>
    <oddFooter>&amp;L&amp;8Printed: &amp;D  &amp;F</oddFooter>
    <evenHeader>&amp;LPage 2a&amp;RPage 2a</evenHeader>
    <firstHeader>&amp;LPage 2&amp;RPage 2</first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J61" sqref="J6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128446057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2.0964799999999999E-2</v>
      </c>
      <c r="E10" s="333" t="s">
        <v>998</v>
      </c>
      <c r="F10" s="332">
        <v>2.6484999999999998E-3</v>
      </c>
      <c r="G10" s="333" t="s">
        <v>998</v>
      </c>
      <c r="H10" s="332">
        <v>5.2229999999999996E-4</v>
      </c>
      <c r="I10" s="333" t="s">
        <v>999</v>
      </c>
      <c r="J10" s="1424">
        <f>ROUND(D10+F10+H10,5)</f>
        <v>2.4140000000000002E-2</v>
      </c>
      <c r="K10" s="217"/>
      <c r="L10" s="332">
        <v>3.7310000000000002E-4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5851546</v>
      </c>
      <c r="E16" s="1547"/>
      <c r="F16" s="1546">
        <f>SUM('Acct Summary 7-8'!C17,'Acct Summary 7-8'!D17,'Acct Summary 7-8'!F17)</f>
        <v>5353488</v>
      </c>
      <c r="G16" s="1547"/>
      <c r="H16" s="1546">
        <f>SUM(D16-F16)</f>
        <v>498058</v>
      </c>
      <c r="I16" s="1548"/>
      <c r="J16" s="1546">
        <f>SUM('Acct Summary 7-8'!C81,'Acct Summary 7-8'!D81,'Acct Summary 7-8'!F81,'Acct Summary 7-8'!I81)</f>
        <v>5930128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2050</v>
      </c>
      <c r="C31" s="344" t="s">
        <v>582</v>
      </c>
      <c r="D31" s="232" t="s">
        <v>1063</v>
      </c>
      <c r="E31" s="217"/>
      <c r="F31" s="217"/>
      <c r="G31" s="340"/>
      <c r="H31" s="1425">
        <f>IF(B31="X",(J7*0.069),IF(B32="X",(J7*0.138),"Enter x in a.or b."))</f>
        <v>8862777.9330000002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1714000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J61" sqref="J6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Nashville CCSD 49</v>
      </c>
      <c r="E7" s="368"/>
      <c r="G7" s="247"/>
      <c r="H7" s="364"/>
      <c r="I7" s="364"/>
      <c r="J7" s="364"/>
      <c r="K7" s="364"/>
      <c r="L7" s="307"/>
      <c r="M7" s="307"/>
      <c r="N7" s="307"/>
      <c r="O7" s="307"/>
      <c r="P7" s="307"/>
    </row>
    <row r="8" spans="1:18" ht="12.75" x14ac:dyDescent="0.2">
      <c r="A8" s="307"/>
      <c r="B8" s="307"/>
      <c r="C8" s="366" t="s">
        <v>1115</v>
      </c>
      <c r="D8" s="369">
        <f>COVER!A13</f>
        <v>13095049004</v>
      </c>
      <c r="E8" s="370"/>
      <c r="G8" s="307"/>
      <c r="H8" s="307"/>
      <c r="I8" s="307"/>
      <c r="J8" s="307"/>
      <c r="K8" s="307"/>
      <c r="L8" s="307"/>
      <c r="M8" s="307"/>
      <c r="N8" s="307"/>
      <c r="O8" s="307"/>
      <c r="P8" s="307"/>
    </row>
    <row r="9" spans="1:18" ht="12.75" x14ac:dyDescent="0.2">
      <c r="A9" s="307"/>
      <c r="B9" s="307"/>
      <c r="C9" s="366" t="s">
        <v>708</v>
      </c>
      <c r="D9" s="371" t="str">
        <f>COVER!A15</f>
        <v>Washington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5930128</v>
      </c>
      <c r="I12" s="380"/>
      <c r="J12" s="380"/>
      <c r="K12" s="1559">
        <f>TRUNC((H12/H13*100000),5)/100000</f>
        <v>1.0134292715</v>
      </c>
      <c r="L12" s="381"/>
      <c r="M12" s="337" t="s">
        <v>1134</v>
      </c>
      <c r="N12" s="337"/>
      <c r="O12" s="1562">
        <v>0.35</v>
      </c>
      <c r="P12" s="213"/>
      <c r="Q12" s="213"/>
    </row>
    <row r="13" spans="1:18" s="382" customFormat="1" ht="12.75" x14ac:dyDescent="0.2">
      <c r="A13" s="213"/>
      <c r="B13" s="377"/>
      <c r="C13" s="2205" t="s">
        <v>1313</v>
      </c>
      <c r="D13" s="2206"/>
      <c r="E13" s="213"/>
      <c r="F13" s="383" t="s">
        <v>788</v>
      </c>
      <c r="G13" s="378"/>
      <c r="H13" s="1551">
        <f>SUM('Acct Summary 7-8'!C8+'Acct Summary 7-8'!D8+'Acct Summary 7-8'!F8+'Acct Summary 7-8'!I8)+H14</f>
        <v>5851546</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5353488</v>
      </c>
      <c r="I17" s="380"/>
      <c r="J17" s="389"/>
      <c r="K17" s="1559">
        <f>TRUNC((H17/H18*100000),5)/100000</f>
        <v>0.91488437410000001</v>
      </c>
      <c r="L17" s="381"/>
      <c r="M17" s="390" t="s">
        <v>1161</v>
      </c>
      <c r="O17" s="1565" t="str">
        <f>IF(AND(O16="2", J20 &gt; 2),"1",IF(AND(O16 = "1", J20 &gt; 2),"2",IF(AND(O16="1", J20 &gt;1),"1","0")))</f>
        <v>0</v>
      </c>
      <c r="P17" s="213"/>
    </row>
    <row r="18" spans="1:18" s="382" customFormat="1" ht="11.25" x14ac:dyDescent="0.2">
      <c r="A18" s="213"/>
      <c r="B18" s="377"/>
      <c r="C18" s="2205" t="s">
        <v>1306</v>
      </c>
      <c r="D18" s="2206"/>
      <c r="E18" s="213"/>
      <c r="F18" s="391" t="s">
        <v>789</v>
      </c>
      <c r="G18" s="378"/>
      <c r="H18" s="1551">
        <f>SUM('Acct Summary 7-8'!C8+'Acct Summary 7-8'!D8+'Acct Summary 7-8'!F8+'Acct Summary 7-8'!I8)+H19</f>
        <v>5851546</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2" t="s">
        <v>1395</v>
      </c>
      <c r="D24" s="2202"/>
      <c r="E24" s="213"/>
      <c r="F24" s="213" t="s">
        <v>442</v>
      </c>
      <c r="G24" s="378"/>
      <c r="H24" s="1551">
        <f>SUM('Assets-Liab 5-6'!C4+'Assets-Liab 5-6'!D4+'Assets-Liab 5-6'!F4+'Assets-Liab 5-6'!I4+'Assets-Liab 5-6'!C5+'Assets-Liab 5-6'!D5+'Assets-Liab 5-6'!F5+'Assets-Liab 5-6'!I5)</f>
        <v>5930128</v>
      </c>
      <c r="I24" s="394"/>
      <c r="J24" s="394"/>
      <c r="K24" s="1555">
        <f>TRUNC(((H24/H25*100000)/100000),2)</f>
        <v>398.77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14870.8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1892</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2635584.6435799999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1714000</v>
      </c>
      <c r="I32" s="392"/>
      <c r="J32" s="392"/>
      <c r="K32" s="1555">
        <f>TRUNC(100-((((H32/H33*100))*100)/100),2)</f>
        <v>80.66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8862777.9330000002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20" zoomScaleNormal="120" workbookViewId="0">
      <pane ySplit="2" topLeftCell="A3" activePane="bottomLeft" state="frozen"/>
      <selection activeCell="J61" sqref="J61"/>
      <selection pane="bottomLeft" activeCell="J61" sqref="J6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6"/>
      <c r="D3" s="1307"/>
      <c r="E3" s="1307"/>
      <c r="F3" s="1307"/>
      <c r="G3" s="1307"/>
      <c r="H3" s="1307"/>
      <c r="I3" s="1307"/>
      <c r="J3" s="1307"/>
      <c r="K3" s="1307"/>
      <c r="L3" s="1307"/>
      <c r="M3" s="1308"/>
      <c r="N3" s="1309"/>
    </row>
    <row r="4" spans="1:14" ht="13.5" customHeight="1" x14ac:dyDescent="0.2">
      <c r="A4" s="427" t="s">
        <v>1632</v>
      </c>
      <c r="B4" s="428"/>
      <c r="C4" s="1572">
        <v>371244</v>
      </c>
      <c r="D4" s="1573">
        <v>51795</v>
      </c>
      <c r="E4" s="1573">
        <v>28354</v>
      </c>
      <c r="F4" s="1573">
        <v>88768</v>
      </c>
      <c r="G4" s="1573">
        <v>37671</v>
      </c>
      <c r="H4" s="1573"/>
      <c r="I4" s="1573">
        <v>1047</v>
      </c>
      <c r="J4" s="1574">
        <v>10802</v>
      </c>
      <c r="K4" s="1573">
        <v>17626</v>
      </c>
      <c r="L4" s="1573">
        <v>45507</v>
      </c>
      <c r="M4" s="1575"/>
      <c r="N4" s="1576"/>
    </row>
    <row r="5" spans="1:14" x14ac:dyDescent="0.2">
      <c r="A5" s="427" t="s">
        <v>985</v>
      </c>
      <c r="B5" s="429">
        <v>120</v>
      </c>
      <c r="C5" s="1572">
        <v>3627969</v>
      </c>
      <c r="D5" s="1573">
        <v>497568</v>
      </c>
      <c r="E5" s="1573"/>
      <c r="F5" s="1573">
        <v>425078</v>
      </c>
      <c r="G5" s="1573">
        <v>61573</v>
      </c>
      <c r="H5" s="1573"/>
      <c r="I5" s="1573">
        <v>866659</v>
      </c>
      <c r="J5" s="1574">
        <v>57842</v>
      </c>
      <c r="K5" s="1577">
        <v>147250</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3999213</v>
      </c>
      <c r="D13" s="1587">
        <f t="shared" ref="D13:L13" si="0">SUM(D4:D12)</f>
        <v>549363</v>
      </c>
      <c r="E13" s="1587">
        <f t="shared" si="0"/>
        <v>28354</v>
      </c>
      <c r="F13" s="1587">
        <f t="shared" si="0"/>
        <v>513846</v>
      </c>
      <c r="G13" s="1587">
        <f t="shared" si="0"/>
        <v>99244</v>
      </c>
      <c r="H13" s="1587">
        <f t="shared" si="0"/>
        <v>0</v>
      </c>
      <c r="I13" s="1587">
        <f t="shared" si="0"/>
        <v>867706</v>
      </c>
      <c r="J13" s="1587">
        <f t="shared" si="0"/>
        <v>68644</v>
      </c>
      <c r="K13" s="1587">
        <f t="shared" si="0"/>
        <v>164876</v>
      </c>
      <c r="L13" s="1587">
        <f t="shared" si="0"/>
        <v>45507</v>
      </c>
      <c r="M13" s="1575"/>
      <c r="N13" s="1576"/>
    </row>
    <row r="14" spans="1:14" ht="18" customHeight="1" thickTop="1" x14ac:dyDescent="0.2">
      <c r="A14" s="2214" t="s">
        <v>146</v>
      </c>
      <c r="B14" s="2215"/>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22098</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11083353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356699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2561595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28354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1685646</v>
      </c>
    </row>
    <row r="23" spans="1:14" ht="13.5" customHeight="1" thickBot="1" x14ac:dyDescent="0.25">
      <c r="A23" s="1426" t="s">
        <v>638</v>
      </c>
      <c r="B23" s="1429"/>
      <c r="C23" s="1575"/>
      <c r="D23" s="1575"/>
      <c r="E23" s="1575"/>
      <c r="F23" s="1575"/>
      <c r="G23" s="1575"/>
      <c r="H23" s="1575"/>
      <c r="I23" s="1575"/>
      <c r="J23" s="1575"/>
      <c r="K23" s="1575"/>
      <c r="L23" s="1575"/>
      <c r="M23" s="1594">
        <f>SUM(M15:M22)</f>
        <v>14023745</v>
      </c>
      <c r="N23" s="1594">
        <f>SUM(N21:N22)</f>
        <v>1714000</v>
      </c>
    </row>
    <row r="24" spans="1:14" ht="18" customHeight="1" thickTop="1" x14ac:dyDescent="0.2">
      <c r="A24" s="2216" t="s">
        <v>594</v>
      </c>
      <c r="B24" s="2217"/>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45507</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45507</v>
      </c>
      <c r="M34" s="1575"/>
      <c r="N34" s="1585"/>
    </row>
    <row r="35" spans="1:14" ht="18" customHeight="1" thickTop="1" x14ac:dyDescent="0.2">
      <c r="A35" s="2218" t="s">
        <v>526</v>
      </c>
      <c r="B35" s="221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1714000</v>
      </c>
    </row>
    <row r="37" spans="1:14" ht="13.5" thickBot="1" x14ac:dyDescent="0.25">
      <c r="A37" s="1426" t="s">
        <v>648</v>
      </c>
      <c r="B37" s="1429"/>
      <c r="C37" s="1582"/>
      <c r="D37" s="1582"/>
      <c r="E37" s="1582"/>
      <c r="F37" s="1582"/>
      <c r="G37" s="1582"/>
      <c r="H37" s="1582"/>
      <c r="I37" s="1582"/>
      <c r="J37" s="1582"/>
      <c r="K37" s="1582"/>
      <c r="L37" s="1585"/>
      <c r="M37" s="1575"/>
      <c r="N37" s="1594">
        <f>SUM(N36:N36)</f>
        <v>1714000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3999213</v>
      </c>
      <c r="D39" s="1573">
        <v>549363</v>
      </c>
      <c r="E39" s="1573">
        <v>28354</v>
      </c>
      <c r="F39" s="1573">
        <v>513846</v>
      </c>
      <c r="G39" s="1573">
        <v>99244</v>
      </c>
      <c r="H39" s="1573"/>
      <c r="I39" s="1573">
        <v>867706</v>
      </c>
      <c r="J39" s="1574">
        <v>68644</v>
      </c>
      <c r="K39" s="1573">
        <v>164876</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14023745</v>
      </c>
      <c r="N40" s="1604"/>
    </row>
    <row r="41" spans="1:14" ht="13.5" customHeight="1" thickBot="1" x14ac:dyDescent="0.25">
      <c r="A41" s="1426" t="s">
        <v>650</v>
      </c>
      <c r="B41" s="1405"/>
      <c r="C41" s="1594">
        <f>(SUM(C34,C37,C38,C39))</f>
        <v>3999213</v>
      </c>
      <c r="D41" s="1594">
        <f t="shared" ref="D41:L41" si="2">SUM(D34,D37,D38:D39)</f>
        <v>549363</v>
      </c>
      <c r="E41" s="1594">
        <f t="shared" si="2"/>
        <v>28354</v>
      </c>
      <c r="F41" s="1594">
        <f t="shared" si="2"/>
        <v>513846</v>
      </c>
      <c r="G41" s="1594">
        <f t="shared" si="2"/>
        <v>99244</v>
      </c>
      <c r="H41" s="1594">
        <f t="shared" si="2"/>
        <v>0</v>
      </c>
      <c r="I41" s="1594">
        <f t="shared" si="2"/>
        <v>867706</v>
      </c>
      <c r="J41" s="1594">
        <f t="shared" si="2"/>
        <v>68644</v>
      </c>
      <c r="K41" s="1594">
        <f t="shared" si="2"/>
        <v>164876</v>
      </c>
      <c r="L41" s="1594">
        <f t="shared" si="2"/>
        <v>45507</v>
      </c>
      <c r="M41" s="1594">
        <f>SUM(M40)</f>
        <v>14023745</v>
      </c>
      <c r="N41" s="1594">
        <f>SUM(N37)</f>
        <v>1714000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0" zoomScaleNormal="130" zoomScaleSheetLayoutView="100" workbookViewId="0">
      <pane ySplit="2" topLeftCell="A27" activePane="bottomLeft" state="frozen"/>
      <selection activeCell="J61" sqref="J61"/>
      <selection pane="bottomLeft" activeCell="J61" sqref="J6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1"/>
      <c r="D3" s="1312"/>
      <c r="E3" s="1312"/>
      <c r="F3" s="1312"/>
      <c r="G3" s="1312"/>
      <c r="H3" s="1312"/>
      <c r="I3" s="1312"/>
      <c r="J3" s="1312"/>
      <c r="K3" s="1313"/>
      <c r="L3" s="446"/>
    </row>
    <row r="4" spans="1:13" ht="15.75" customHeight="1" x14ac:dyDescent="0.2">
      <c r="A4" s="1537" t="s">
        <v>1482</v>
      </c>
      <c r="B4" s="1538">
        <v>1000</v>
      </c>
      <c r="C4" s="1606">
        <f>'Revenues 9-14'!C109</f>
        <v>2891997</v>
      </c>
      <c r="D4" s="1606">
        <f>'Revenues 9-14'!D109</f>
        <v>530177</v>
      </c>
      <c r="E4" s="1606">
        <f>'Revenues 9-14'!E109</f>
        <v>309299</v>
      </c>
      <c r="F4" s="1606">
        <f>'Revenues 9-14'!F109</f>
        <v>234443</v>
      </c>
      <c r="G4" s="1606">
        <f>'Revenues 9-14'!G109</f>
        <v>110776</v>
      </c>
      <c r="H4" s="1606">
        <f>'Revenues 9-14'!H109</f>
        <v>0</v>
      </c>
      <c r="I4" s="1606">
        <f>'Revenues 9-14'!I109</f>
        <v>57196</v>
      </c>
      <c r="J4" s="1606">
        <f>'Revenues 9-14'!J109</f>
        <v>186105</v>
      </c>
      <c r="K4" s="1606">
        <f>'Revenues 9-14'!K109</f>
        <v>56165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1488328</v>
      </c>
      <c r="D6" s="1607">
        <f>'Revenues 9-14'!D170</f>
        <v>50000</v>
      </c>
      <c r="E6" s="1607">
        <f>'Revenues 9-14'!E170</f>
        <v>0</v>
      </c>
      <c r="F6" s="1607">
        <f>'Revenues 9-14'!F170</f>
        <v>252121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347284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4727609</v>
      </c>
      <c r="D8" s="1594">
        <f t="shared" ref="D8:K8" si="0">SUM(D4:D7)</f>
        <v>580177</v>
      </c>
      <c r="E8" s="1594">
        <f t="shared" si="0"/>
        <v>309299</v>
      </c>
      <c r="F8" s="1594">
        <f t="shared" si="0"/>
        <v>486564</v>
      </c>
      <c r="G8" s="1594">
        <f t="shared" si="0"/>
        <v>110776</v>
      </c>
      <c r="H8" s="1594">
        <f t="shared" si="0"/>
        <v>0</v>
      </c>
      <c r="I8" s="1594">
        <f t="shared" si="0"/>
        <v>57196</v>
      </c>
      <c r="J8" s="1594">
        <f t="shared" si="0"/>
        <v>186105</v>
      </c>
      <c r="K8" s="1594">
        <f t="shared" si="0"/>
        <v>56165</v>
      </c>
      <c r="L8" s="325"/>
    </row>
    <row r="9" spans="1:13" ht="15.75" thickTop="1" x14ac:dyDescent="0.2">
      <c r="A9" s="449" t="s">
        <v>1634</v>
      </c>
      <c r="B9" s="450">
        <v>3998</v>
      </c>
      <c r="C9" s="1586">
        <v>2062009</v>
      </c>
      <c r="D9" s="1613"/>
      <c r="E9" s="1586"/>
      <c r="F9" s="1586"/>
      <c r="G9" s="1614"/>
      <c r="H9" s="1586"/>
      <c r="I9" s="1609" t="s">
        <v>1159</v>
      </c>
      <c r="J9" s="1583"/>
      <c r="K9" s="1586"/>
      <c r="L9" s="325"/>
    </row>
    <row r="10" spans="1:13" s="452" customFormat="1" ht="13.5" thickBot="1" x14ac:dyDescent="0.25">
      <c r="A10" s="1426" t="s">
        <v>1163</v>
      </c>
      <c r="B10" s="1407"/>
      <c r="C10" s="1594">
        <f>SUM(C8:C9)</f>
        <v>6789618</v>
      </c>
      <c r="D10" s="1594">
        <f t="shared" ref="D10:K10" si="1">SUM(D8:D9)</f>
        <v>580177</v>
      </c>
      <c r="E10" s="1594">
        <f t="shared" si="1"/>
        <v>309299</v>
      </c>
      <c r="F10" s="1594">
        <f t="shared" si="1"/>
        <v>486564</v>
      </c>
      <c r="G10" s="1594">
        <f t="shared" si="1"/>
        <v>110776</v>
      </c>
      <c r="H10" s="1594">
        <f t="shared" si="1"/>
        <v>0</v>
      </c>
      <c r="I10" s="1594">
        <f t="shared" si="1"/>
        <v>57196</v>
      </c>
      <c r="J10" s="1594">
        <f t="shared" si="1"/>
        <v>186105</v>
      </c>
      <c r="K10" s="1594">
        <f t="shared" si="1"/>
        <v>56165</v>
      </c>
      <c r="L10" s="451"/>
    </row>
    <row r="11" spans="1:13" s="452" customFormat="1" ht="16.7" customHeight="1" thickTop="1" x14ac:dyDescent="0.2">
      <c r="A11" s="2214" t="s">
        <v>1166</v>
      </c>
      <c r="B11" s="2215"/>
      <c r="C11" s="1602"/>
      <c r="D11" s="1603"/>
      <c r="E11" s="1603"/>
      <c r="F11" s="1603"/>
      <c r="G11" s="1603"/>
      <c r="H11" s="1603"/>
      <c r="I11" s="1603"/>
      <c r="J11" s="1603"/>
      <c r="K11" s="1615"/>
      <c r="L11" s="451"/>
    </row>
    <row r="12" spans="1:13" ht="15.75" customHeight="1" x14ac:dyDescent="0.2">
      <c r="A12" s="1314" t="s">
        <v>453</v>
      </c>
      <c r="B12" s="1316">
        <v>1000</v>
      </c>
      <c r="C12" s="1606">
        <f>'Expenditures 15-22'!K33</f>
        <v>2723833</v>
      </c>
      <c r="D12" s="1616" t="s">
        <v>1159</v>
      </c>
      <c r="E12" s="1575" t="s">
        <v>1159</v>
      </c>
      <c r="F12" s="1575" t="s">
        <v>1159</v>
      </c>
      <c r="G12" s="1606">
        <f>'Expenditures 15-22'!K229</f>
        <v>65672</v>
      </c>
      <c r="H12" s="1617"/>
      <c r="I12" s="1575" t="s">
        <v>1159</v>
      </c>
      <c r="J12" s="1575" t="s">
        <v>1159</v>
      </c>
      <c r="K12" s="1617" t="s">
        <v>1159</v>
      </c>
      <c r="L12" s="325"/>
    </row>
    <row r="13" spans="1:13" ht="15.75" customHeight="1" x14ac:dyDescent="0.2">
      <c r="A13" s="1314" t="s">
        <v>454</v>
      </c>
      <c r="B13" s="1316">
        <v>2000</v>
      </c>
      <c r="C13" s="1607">
        <f>'Expenditures 15-22'!K74</f>
        <v>1100847</v>
      </c>
      <c r="D13" s="1607">
        <f>'Expenditures 15-22'!K129</f>
        <v>530689</v>
      </c>
      <c r="E13" s="1576" t="s">
        <v>1159</v>
      </c>
      <c r="F13" s="1607">
        <f>'Expenditures 15-22'!K184</f>
        <v>412117</v>
      </c>
      <c r="G13" s="1607">
        <f>'Expenditures 15-22'!K279</f>
        <v>61423</v>
      </c>
      <c r="H13" s="1607">
        <f>'Expenditures 15-22'!K303</f>
        <v>0</v>
      </c>
      <c r="I13" s="1575" t="s">
        <v>1159</v>
      </c>
      <c r="J13" s="1607">
        <f>'Expenditures 15-22'!K330</f>
        <v>174789</v>
      </c>
      <c r="K13" s="1618">
        <f>'Expenditures 15-22'!K352</f>
        <v>30640</v>
      </c>
      <c r="L13" s="325"/>
    </row>
    <row r="14" spans="1:13" ht="15.75" customHeight="1" x14ac:dyDescent="0.2">
      <c r="A14" s="1314" t="s">
        <v>446</v>
      </c>
      <c r="B14" s="1316">
        <v>3000</v>
      </c>
      <c r="C14" s="1607">
        <f>'Expenditures 15-22'!K75</f>
        <v>56985</v>
      </c>
      <c r="D14" s="1607">
        <f>'Expenditures 15-22'!K130</f>
        <v>0</v>
      </c>
      <c r="E14" s="1616" t="s">
        <v>1159</v>
      </c>
      <c r="F14" s="1607">
        <f>'Expenditures 15-22'!K185</f>
        <v>0</v>
      </c>
      <c r="G14" s="1607">
        <f>'Expenditures 15-22'!K280</f>
        <v>4258</v>
      </c>
      <c r="H14" s="1612"/>
      <c r="I14" s="1575" t="s">
        <v>1159</v>
      </c>
      <c r="J14" s="1575" t="s">
        <v>1159</v>
      </c>
      <c r="K14" s="1612" t="s">
        <v>1159</v>
      </c>
      <c r="L14" s="325"/>
    </row>
    <row r="15" spans="1:13" ht="15.75" customHeight="1" x14ac:dyDescent="0.2">
      <c r="A15" s="1314" t="s">
        <v>107</v>
      </c>
      <c r="B15" s="1316">
        <v>4000</v>
      </c>
      <c r="C15" s="1607">
        <f>'Expenditures 15-22'!K102</f>
        <v>529017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310194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4410682</v>
      </c>
      <c r="D17" s="1594">
        <f t="shared" si="2"/>
        <v>530689</v>
      </c>
      <c r="E17" s="1594">
        <f t="shared" si="2"/>
        <v>310194</v>
      </c>
      <c r="F17" s="1594">
        <f t="shared" si="2"/>
        <v>412117</v>
      </c>
      <c r="G17" s="1594">
        <f t="shared" si="2"/>
        <v>131353</v>
      </c>
      <c r="H17" s="1594">
        <f t="shared" si="2"/>
        <v>0</v>
      </c>
      <c r="I17" s="1575"/>
      <c r="J17" s="1594">
        <f>SUM(J12:J16)</f>
        <v>174789</v>
      </c>
      <c r="K17" s="1594">
        <f>SUM(K12:K16)</f>
        <v>30640</v>
      </c>
      <c r="L17" s="325"/>
    </row>
    <row r="18" spans="1:12" ht="15" customHeight="1" thickTop="1" x14ac:dyDescent="0.2">
      <c r="A18" s="1430" t="s">
        <v>1635</v>
      </c>
      <c r="B18" s="1431">
        <v>4180</v>
      </c>
      <c r="C18" s="1606">
        <f t="shared" ref="C18:H18" si="3">C9</f>
        <v>2062009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6472691</v>
      </c>
      <c r="D19" s="1594">
        <f t="shared" si="4"/>
        <v>530689</v>
      </c>
      <c r="E19" s="1594">
        <f t="shared" si="4"/>
        <v>310194</v>
      </c>
      <c r="F19" s="1594">
        <f t="shared" si="4"/>
        <v>412117</v>
      </c>
      <c r="G19" s="1594">
        <f t="shared" si="4"/>
        <v>131353</v>
      </c>
      <c r="H19" s="1594">
        <f t="shared" si="4"/>
        <v>0</v>
      </c>
      <c r="I19" s="1575"/>
      <c r="J19" s="1594">
        <f>SUM(J17:J18)</f>
        <v>174789</v>
      </c>
      <c r="K19" s="1594">
        <f>SUM(K17:K18)</f>
        <v>30640</v>
      </c>
      <c r="L19" s="325"/>
    </row>
    <row r="20" spans="1:12" ht="16.5" thickTop="1" thickBot="1" x14ac:dyDescent="0.25">
      <c r="A20" s="2230" t="s">
        <v>1636</v>
      </c>
      <c r="B20" s="2231"/>
      <c r="C20" s="1622">
        <f>C8-C17</f>
        <v>316927</v>
      </c>
      <c r="D20" s="1622">
        <f t="shared" ref="D20:K20" si="5">D8-D17</f>
        <v>49488</v>
      </c>
      <c r="E20" s="1622">
        <f t="shared" si="5"/>
        <v>-895</v>
      </c>
      <c r="F20" s="1622">
        <f t="shared" si="5"/>
        <v>74447</v>
      </c>
      <c r="G20" s="1622">
        <f t="shared" si="5"/>
        <v>-20577</v>
      </c>
      <c r="H20" s="1622">
        <f t="shared" si="5"/>
        <v>0</v>
      </c>
      <c r="I20" s="1622">
        <f t="shared" si="5"/>
        <v>57196</v>
      </c>
      <c r="J20" s="1622">
        <f t="shared" si="5"/>
        <v>11316</v>
      </c>
      <c r="K20" s="1622">
        <f t="shared" si="5"/>
        <v>25525</v>
      </c>
      <c r="L20" s="325"/>
    </row>
    <row r="21" spans="1:12" ht="16.7" customHeight="1" thickTop="1" x14ac:dyDescent="0.2">
      <c r="A21" s="2242" t="s">
        <v>591</v>
      </c>
      <c r="B21" s="2243"/>
      <c r="C21" s="1602"/>
      <c r="D21" s="1603"/>
      <c r="E21" s="1603"/>
      <c r="F21" s="1603"/>
      <c r="G21" s="1603"/>
      <c r="H21" s="1603"/>
      <c r="I21" s="1603"/>
      <c r="J21" s="1603"/>
      <c r="K21" s="1615"/>
      <c r="L21" s="453"/>
    </row>
    <row r="22" spans="1:12" ht="15.75" customHeight="1" collapsed="1" x14ac:dyDescent="0.2">
      <c r="A22" s="2238" t="s">
        <v>592</v>
      </c>
      <c r="B22" s="2239"/>
      <c r="C22" s="1582"/>
      <c r="D22" s="1582"/>
      <c r="E22" s="1582"/>
      <c r="F22" s="1582"/>
      <c r="G22" s="1582"/>
      <c r="H22" s="1582"/>
      <c r="I22" s="1582"/>
      <c r="J22" s="1582"/>
      <c r="K22" s="1582"/>
      <c r="L22" s="325"/>
    </row>
    <row r="23" spans="1:12" s="433" customFormat="1" ht="15.75" customHeight="1" x14ac:dyDescent="0.2">
      <c r="A23" s="2234" t="s">
        <v>290</v>
      </c>
      <c r="B23" s="2235"/>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6" t="s">
        <v>974</v>
      </c>
      <c r="B32" s="2237"/>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4" t="s">
        <v>371</v>
      </c>
      <c r="B44" s="2245"/>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8" t="s">
        <v>108</v>
      </c>
      <c r="B45" s="2239"/>
      <c r="C45" s="1625"/>
      <c r="D45" s="1625"/>
      <c r="E45" s="1625"/>
      <c r="F45" s="1625"/>
      <c r="G45" s="1625"/>
      <c r="H45" s="1625"/>
      <c r="I45" s="1625"/>
      <c r="J45" s="1625"/>
      <c r="K45" s="1625"/>
      <c r="L45" s="325"/>
    </row>
    <row r="46" spans="1:12" s="433" customFormat="1" ht="15.75" customHeight="1" x14ac:dyDescent="0.2">
      <c r="A46" s="2246" t="s">
        <v>109</v>
      </c>
      <c r="B46" s="2247"/>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0" t="s">
        <v>437</v>
      </c>
      <c r="B76" s="2221"/>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2" t="s">
        <v>1167</v>
      </c>
      <c r="B77" s="2223"/>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6" t="s">
        <v>593</v>
      </c>
      <c r="B78" s="2227"/>
      <c r="C78" s="1629">
        <f t="shared" ref="C78:K78" si="9">C20+C77</f>
        <v>316927</v>
      </c>
      <c r="D78" s="1629">
        <f t="shared" si="9"/>
        <v>49488</v>
      </c>
      <c r="E78" s="1629">
        <f t="shared" si="9"/>
        <v>-895</v>
      </c>
      <c r="F78" s="1629">
        <f t="shared" si="9"/>
        <v>74447</v>
      </c>
      <c r="G78" s="1629">
        <f t="shared" si="9"/>
        <v>-20577</v>
      </c>
      <c r="H78" s="1629">
        <f t="shared" si="9"/>
        <v>0</v>
      </c>
      <c r="I78" s="1629">
        <f t="shared" si="9"/>
        <v>57196</v>
      </c>
      <c r="J78" s="1629">
        <f t="shared" si="9"/>
        <v>11316</v>
      </c>
      <c r="K78" s="1629">
        <f t="shared" si="9"/>
        <v>25525</v>
      </c>
      <c r="L78" s="457"/>
    </row>
    <row r="79" spans="1:12" ht="13.5" thickTop="1" x14ac:dyDescent="0.2">
      <c r="A79" s="1844" t="str">
        <f>"Fund Balances - July 1, "&amp;'AFR20'!E2-1</f>
        <v>Fund Balances - July 1, 2019</v>
      </c>
      <c r="B79" s="458"/>
      <c r="C79" s="1583">
        <v>3682286</v>
      </c>
      <c r="D79" s="1630">
        <v>499875</v>
      </c>
      <c r="E79" s="1630">
        <v>29249</v>
      </c>
      <c r="F79" s="1630">
        <v>439399</v>
      </c>
      <c r="G79" s="1630">
        <v>119821</v>
      </c>
      <c r="H79" s="1630">
        <v>0</v>
      </c>
      <c r="I79" s="1630">
        <v>810510</v>
      </c>
      <c r="J79" s="1630">
        <v>57328</v>
      </c>
      <c r="K79" s="1630">
        <v>139351</v>
      </c>
      <c r="L79" s="325"/>
    </row>
    <row r="80" spans="1:12" x14ac:dyDescent="0.2">
      <c r="A80" s="2232" t="s">
        <v>1771</v>
      </c>
      <c r="B80" s="2233"/>
      <c r="C80" s="1574"/>
      <c r="D80" s="1574"/>
      <c r="E80" s="1574"/>
      <c r="F80" s="1574"/>
      <c r="G80" s="1574"/>
      <c r="H80" s="1574"/>
      <c r="I80" s="1574"/>
      <c r="J80" s="1574"/>
      <c r="K80" s="1574"/>
      <c r="L80" s="325"/>
    </row>
    <row r="81" spans="1:12" ht="13.5" thickBot="1" x14ac:dyDescent="0.25">
      <c r="A81" s="2224" t="str">
        <f>"Fund Balances - June 30, "&amp;'AFR20'!E2</f>
        <v>Fund Balances - June 30, 2020</v>
      </c>
      <c r="B81" s="2225"/>
      <c r="C81" s="1594">
        <f>(SUM(C78:C80))</f>
        <v>3999213</v>
      </c>
      <c r="D81" s="1594">
        <f>SUM(D78:D80)</f>
        <v>549363</v>
      </c>
      <c r="E81" s="1594">
        <f t="shared" ref="E81:K81" si="10">SUM(E78:E80)</f>
        <v>28354</v>
      </c>
      <c r="F81" s="1594">
        <f t="shared" si="10"/>
        <v>513846</v>
      </c>
      <c r="G81" s="1594">
        <f t="shared" si="10"/>
        <v>99244</v>
      </c>
      <c r="H81" s="1594">
        <f t="shared" si="10"/>
        <v>0</v>
      </c>
      <c r="I81" s="1594">
        <f t="shared" si="10"/>
        <v>867706</v>
      </c>
      <c r="J81" s="1594">
        <f t="shared" si="10"/>
        <v>68644</v>
      </c>
      <c r="K81" s="1594">
        <f t="shared" si="10"/>
        <v>164876</v>
      </c>
      <c r="L81" s="325"/>
    </row>
    <row r="82" spans="1:12" ht="0.75" customHeight="1" thickTop="1" thickBot="1" x14ac:dyDescent="0.25">
      <c r="A82" s="459" t="s">
        <v>340</v>
      </c>
      <c r="B82" s="460"/>
      <c r="C82" s="461">
        <f>(C81-C79)</f>
        <v>316927</v>
      </c>
      <c r="D82" s="461">
        <f t="shared" ref="D82:K82" si="11">(D81-D79)</f>
        <v>49488</v>
      </c>
      <c r="E82" s="461">
        <f t="shared" si="11"/>
        <v>-895</v>
      </c>
      <c r="F82" s="461">
        <f t="shared" si="11"/>
        <v>74447</v>
      </c>
      <c r="G82" s="461">
        <f t="shared" si="11"/>
        <v>-20577</v>
      </c>
      <c r="H82" s="461">
        <f t="shared" si="11"/>
        <v>0</v>
      </c>
      <c r="I82" s="461">
        <f t="shared" si="11"/>
        <v>57196</v>
      </c>
      <c r="J82" s="461">
        <f t="shared" si="11"/>
        <v>11316</v>
      </c>
      <c r="K82" s="461">
        <f t="shared" si="11"/>
        <v>25525</v>
      </c>
    </row>
    <row r="83" spans="1:12" ht="14.25" hidden="1" thickTop="1" thickBot="1" x14ac:dyDescent="0.25">
      <c r="A83" s="462" t="s">
        <v>341</v>
      </c>
      <c r="B83" s="428"/>
      <c r="C83" s="463">
        <f>C82/C81</f>
        <v>7.924734191452168E-2</v>
      </c>
      <c r="D83" s="463">
        <f t="shared" ref="D83:K83" si="12">D82/D81</f>
        <v>9.0082513747740567E-2</v>
      </c>
      <c r="E83" s="463">
        <f t="shared" si="12"/>
        <v>-3.1565211257670873E-2</v>
      </c>
      <c r="F83" s="463">
        <f t="shared" si="12"/>
        <v>0.14488192960536814</v>
      </c>
      <c r="G83" s="463">
        <f t="shared" si="12"/>
        <v>-0.20733747128289873</v>
      </c>
      <c r="H83" s="463" t="e">
        <f t="shared" si="12"/>
        <v>#DIV/0!</v>
      </c>
      <c r="I83" s="463">
        <f t="shared" si="12"/>
        <v>6.591633571739737E-2</v>
      </c>
      <c r="J83" s="463">
        <f t="shared" si="12"/>
        <v>0.1648505331857118</v>
      </c>
      <c r="K83" s="463">
        <f t="shared" si="12"/>
        <v>0.15481331424828357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 xml:space="preserve">&amp;L&amp;8Print Date: &amp;D
&amp;F&amp;CThe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8" zoomScaleNormal="118" zoomScaleSheetLayoutView="75" workbookViewId="0">
      <pane ySplit="2" topLeftCell="A190" activePane="bottomLeft" state="frozen"/>
      <selection activeCell="J61" sqref="J61"/>
      <selection pane="bottomLeft" activeCell="C200" sqref="C20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1778</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2561050</v>
      </c>
      <c r="D5" s="1586">
        <v>340920</v>
      </c>
      <c r="E5" s="1573">
        <f>309240-138</f>
        <v>309102</v>
      </c>
      <c r="F5" s="1631">
        <v>229282</v>
      </c>
      <c r="G5" s="1573">
        <f>54856-22</f>
        <v>54834</v>
      </c>
      <c r="H5" s="1573"/>
      <c r="I5" s="1573">
        <f>49862-20</f>
        <v>49842</v>
      </c>
      <c r="J5" s="1574">
        <f>179511-71</f>
        <v>179440</v>
      </c>
      <c r="K5" s="1573">
        <f>54855-22</f>
        <v>54833</v>
      </c>
    </row>
    <row r="6" spans="1:12" ht="15" x14ac:dyDescent="0.2">
      <c r="A6" s="427" t="s">
        <v>1643</v>
      </c>
      <c r="B6" s="429">
        <v>1130</v>
      </c>
      <c r="C6" s="1573">
        <v>15962</v>
      </c>
      <c r="D6" s="1573"/>
      <c r="E6" s="1580"/>
      <c r="F6" s="1580"/>
      <c r="G6" s="1575"/>
      <c r="H6" s="1575"/>
      <c r="I6" s="1575"/>
      <c r="J6" s="1575"/>
      <c r="K6" s="1575"/>
    </row>
    <row r="7" spans="1:12" x14ac:dyDescent="0.2">
      <c r="A7" s="427" t="s">
        <v>110</v>
      </c>
      <c r="B7" s="471">
        <v>1140</v>
      </c>
      <c r="C7" s="1573">
        <v>21944</v>
      </c>
      <c r="D7" s="1573"/>
      <c r="E7" s="1575"/>
      <c r="F7" s="1574"/>
      <c r="G7" s="1574"/>
      <c r="H7" s="1574"/>
      <c r="I7" s="1575"/>
      <c r="J7" s="1575"/>
      <c r="K7" s="1575"/>
    </row>
    <row r="8" spans="1:12" x14ac:dyDescent="0.2">
      <c r="A8" s="427" t="s">
        <v>410</v>
      </c>
      <c r="B8" s="429">
        <v>1150</v>
      </c>
      <c r="C8" s="1580"/>
      <c r="D8" s="1580"/>
      <c r="E8" s="1582"/>
      <c r="F8" s="1582"/>
      <c r="G8" s="1586">
        <f>54855-22</f>
        <v>54833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2598956</v>
      </c>
      <c r="D12" s="1633">
        <f t="shared" si="0"/>
        <v>340920</v>
      </c>
      <c r="E12" s="1633">
        <f t="shared" si="0"/>
        <v>309102</v>
      </c>
      <c r="F12" s="1633">
        <f t="shared" si="0"/>
        <v>229282</v>
      </c>
      <c r="G12" s="1633">
        <f t="shared" si="0"/>
        <v>109667</v>
      </c>
      <c r="H12" s="1633">
        <f t="shared" si="0"/>
        <v>0</v>
      </c>
      <c r="I12" s="1633">
        <f t="shared" si="0"/>
        <v>49842</v>
      </c>
      <c r="J12" s="1633">
        <f t="shared" si="0"/>
        <v>179440</v>
      </c>
      <c r="K12" s="1594">
        <f t="shared" si="0"/>
        <v>54833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f>1013+9+6</f>
        <v>1028</v>
      </c>
      <c r="D14" s="1573">
        <v>135</v>
      </c>
      <c r="E14" s="1573">
        <v>138</v>
      </c>
      <c r="F14" s="1573">
        <v>91</v>
      </c>
      <c r="G14" s="1573">
        <f>22+22</f>
        <v>44</v>
      </c>
      <c r="H14" s="1573"/>
      <c r="I14" s="1573">
        <v>20</v>
      </c>
      <c r="J14" s="1574">
        <v>71</v>
      </c>
      <c r="K14" s="1573">
        <v>22</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65689</v>
      </c>
      <c r="D16" s="1573">
        <v>180000</v>
      </c>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66717</v>
      </c>
      <c r="D18" s="1635">
        <f t="shared" ref="D18:K18" si="1">SUM(D14:D17)</f>
        <v>180135</v>
      </c>
      <c r="E18" s="1635">
        <f t="shared" si="1"/>
        <v>138</v>
      </c>
      <c r="F18" s="1635">
        <f t="shared" si="1"/>
        <v>91</v>
      </c>
      <c r="G18" s="1635">
        <f t="shared" si="1"/>
        <v>44</v>
      </c>
      <c r="H18" s="1635">
        <f t="shared" si="1"/>
        <v>0</v>
      </c>
      <c r="I18" s="1635">
        <f t="shared" si="1"/>
        <v>20</v>
      </c>
      <c r="J18" s="1635">
        <f t="shared" si="1"/>
        <v>71</v>
      </c>
      <c r="K18" s="1636">
        <f t="shared" si="1"/>
        <v>22</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47860</v>
      </c>
      <c r="D65" s="1573">
        <v>7122</v>
      </c>
      <c r="E65" s="1573">
        <v>59</v>
      </c>
      <c r="F65" s="1574">
        <v>5070</v>
      </c>
      <c r="G65" s="1573">
        <v>1065</v>
      </c>
      <c r="H65" s="1573"/>
      <c r="I65" s="1573">
        <v>7334</v>
      </c>
      <c r="J65" s="1574">
        <v>686</v>
      </c>
      <c r="K65" s="1573">
        <v>1310</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47860</v>
      </c>
      <c r="D67" s="1594">
        <f t="shared" ref="D67:K67" si="2">SUM(D65:D66)</f>
        <v>7122</v>
      </c>
      <c r="E67" s="1594">
        <f t="shared" si="2"/>
        <v>59</v>
      </c>
      <c r="F67" s="1594">
        <f t="shared" si="2"/>
        <v>5070</v>
      </c>
      <c r="G67" s="1594">
        <f t="shared" si="2"/>
        <v>1065</v>
      </c>
      <c r="H67" s="1594">
        <f t="shared" si="2"/>
        <v>0</v>
      </c>
      <c r="I67" s="1594">
        <f t="shared" si="2"/>
        <v>7334</v>
      </c>
      <c r="J67" s="1594">
        <f t="shared" si="2"/>
        <v>686</v>
      </c>
      <c r="K67" s="1594">
        <f t="shared" si="2"/>
        <v>1310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69440</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2600</v>
      </c>
      <c r="D71" s="1575"/>
      <c r="E71" s="1575"/>
      <c r="F71" s="1575"/>
      <c r="G71" s="1575"/>
      <c r="H71" s="1575"/>
      <c r="I71" s="1575"/>
      <c r="J71" s="1575"/>
      <c r="K71" s="1575"/>
    </row>
    <row r="72" spans="1:11" ht="12.75" customHeight="1" x14ac:dyDescent="0.2">
      <c r="A72" s="427" t="s">
        <v>24</v>
      </c>
      <c r="B72" s="429">
        <v>1614</v>
      </c>
      <c r="C72" s="1632">
        <v>4300</v>
      </c>
      <c r="D72" s="1575"/>
      <c r="E72" s="1575"/>
      <c r="F72" s="1575"/>
      <c r="G72" s="1575"/>
      <c r="H72" s="1575"/>
      <c r="I72" s="1575"/>
      <c r="J72" s="1575"/>
      <c r="K72" s="1575"/>
    </row>
    <row r="73" spans="1:11" ht="12.75" customHeight="1" x14ac:dyDescent="0.2">
      <c r="A73" s="427" t="s">
        <v>991</v>
      </c>
      <c r="B73" s="429">
        <v>1620</v>
      </c>
      <c r="C73" s="1632">
        <v>624</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76964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9157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34</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11733</v>
      </c>
      <c r="D81" s="1573"/>
      <c r="E81" s="1575"/>
      <c r="F81" s="1575"/>
      <c r="G81" s="1575"/>
      <c r="H81" s="1575"/>
      <c r="I81" s="1575"/>
      <c r="J81" s="1575"/>
      <c r="K81" s="1575"/>
    </row>
    <row r="82" spans="1:11" ht="12.75" customHeight="1" thickBot="1" x14ac:dyDescent="0.25">
      <c r="A82" s="1406" t="s">
        <v>239</v>
      </c>
      <c r="B82" s="1407"/>
      <c r="C82" s="1633">
        <f>SUM(C77:C81)</f>
        <v>20924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32508</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32508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3850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22374</v>
      </c>
      <c r="D99" s="1573"/>
      <c r="E99" s="1573"/>
      <c r="F99" s="1573"/>
      <c r="G99" s="1573"/>
      <c r="H99" s="1573"/>
      <c r="I99" s="1575"/>
      <c r="J99" s="1574">
        <v>5908</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21844</v>
      </c>
      <c r="D106" s="1598"/>
      <c r="E106" s="1574"/>
      <c r="F106" s="1574"/>
      <c r="G106" s="1574"/>
      <c r="H106" s="1574"/>
      <c r="I106" s="1617"/>
      <c r="J106" s="1574"/>
      <c r="K106" s="1574"/>
    </row>
    <row r="107" spans="1:12" ht="12.75" customHeight="1" x14ac:dyDescent="0.2">
      <c r="A107" s="427" t="s">
        <v>78</v>
      </c>
      <c r="B107" s="429">
        <v>1999</v>
      </c>
      <c r="C107" s="1632"/>
      <c r="D107" s="1573">
        <v>2000</v>
      </c>
      <c r="E107" s="1573"/>
      <c r="F107" s="1573"/>
      <c r="G107" s="1573"/>
      <c r="H107" s="1573"/>
      <c r="I107" s="1573"/>
      <c r="J107" s="1574"/>
      <c r="K107" s="1573"/>
    </row>
    <row r="108" spans="1:12" ht="12.75" customHeight="1" thickBot="1" x14ac:dyDescent="0.25">
      <c r="A108" s="1406" t="s">
        <v>484</v>
      </c>
      <c r="B108" s="1408"/>
      <c r="C108" s="1633">
        <f>SUM(C95:C107)</f>
        <v>48068</v>
      </c>
      <c r="D108" s="1633">
        <f t="shared" ref="D108:K108" si="3">SUM(D95:D107)</f>
        <v>2000</v>
      </c>
      <c r="E108" s="1633">
        <f t="shared" si="3"/>
        <v>0</v>
      </c>
      <c r="F108" s="1633">
        <f t="shared" si="3"/>
        <v>0</v>
      </c>
      <c r="G108" s="1633">
        <f t="shared" si="3"/>
        <v>0</v>
      </c>
      <c r="H108" s="1633">
        <f t="shared" si="3"/>
        <v>0</v>
      </c>
      <c r="I108" s="1633">
        <f t="shared" si="3"/>
        <v>0</v>
      </c>
      <c r="J108" s="1633">
        <f t="shared" si="3"/>
        <v>5908</v>
      </c>
      <c r="K108" s="1594">
        <f t="shared" si="3"/>
        <v>0</v>
      </c>
    </row>
    <row r="109" spans="1:12" ht="14.25" thickTop="1" thickBot="1" x14ac:dyDescent="0.25">
      <c r="A109" s="1409" t="s">
        <v>246</v>
      </c>
      <c r="B109" s="1410" t="s">
        <v>566</v>
      </c>
      <c r="C109" s="1641">
        <f t="shared" ref="C109:K109" si="4">SUM(C12,C18,C40,C63,C67,C75,C82,C93,C108,)</f>
        <v>2891997</v>
      </c>
      <c r="D109" s="1641">
        <f t="shared" si="4"/>
        <v>530177</v>
      </c>
      <c r="E109" s="1641">
        <f t="shared" si="4"/>
        <v>309299</v>
      </c>
      <c r="F109" s="1641">
        <f t="shared" si="4"/>
        <v>234443</v>
      </c>
      <c r="G109" s="1641">
        <f t="shared" si="4"/>
        <v>110776</v>
      </c>
      <c r="H109" s="1641">
        <f t="shared" si="4"/>
        <v>0</v>
      </c>
      <c r="I109" s="1641">
        <f t="shared" si="4"/>
        <v>57196</v>
      </c>
      <c r="J109" s="1641">
        <f t="shared" si="4"/>
        <v>186105</v>
      </c>
      <c r="K109" s="1629">
        <f t="shared" si="4"/>
        <v>56165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979817</v>
      </c>
      <c r="D117" s="1586"/>
      <c r="E117" s="1573"/>
      <c r="F117" s="1586"/>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979817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356809</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356809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1512</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125665</v>
      </c>
      <c r="G152" s="1574"/>
      <c r="H152" s="1575"/>
      <c r="I152" s="1575"/>
      <c r="J152" s="1575"/>
      <c r="K152" s="1575"/>
    </row>
    <row r="153" spans="1:11" ht="12.75" customHeight="1" x14ac:dyDescent="0.2">
      <c r="A153" s="427" t="s">
        <v>1048</v>
      </c>
      <c r="B153" s="478">
        <v>3510</v>
      </c>
      <c r="C153" s="1632"/>
      <c r="D153" s="1573"/>
      <c r="E153" s="1640"/>
      <c r="F153" s="1573">
        <v>46227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171892</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149440</v>
      </c>
      <c r="D159" s="1653"/>
      <c r="E159" s="1640"/>
      <c r="F159" s="1651">
        <v>80229</v>
      </c>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48" t="s">
        <v>395</v>
      </c>
      <c r="B169" s="2249"/>
      <c r="C169" s="1658">
        <f t="shared" ref="C169:K169" si="6">SUM(C132,C141,C145,C146:C150,C155,C156:C167,C168)</f>
        <v>508511</v>
      </c>
      <c r="D169" s="1658">
        <f t="shared" si="6"/>
        <v>50000</v>
      </c>
      <c r="E169" s="1658">
        <f t="shared" si="6"/>
        <v>0</v>
      </c>
      <c r="F169" s="1658">
        <f t="shared" si="6"/>
        <v>252121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1488328</v>
      </c>
      <c r="D170" s="1641">
        <f t="shared" si="7"/>
        <v>50000</v>
      </c>
      <c r="E170" s="1641">
        <f t="shared" si="7"/>
        <v>0</v>
      </c>
      <c r="F170" s="1641">
        <f t="shared" si="7"/>
        <v>252121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0" t="s">
        <v>1475</v>
      </c>
      <c r="B172" s="2251"/>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4" t="s">
        <v>1646</v>
      </c>
      <c r="B175" s="225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8" t="s">
        <v>1645</v>
      </c>
      <c r="B176" s="2259"/>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6" t="s">
        <v>780</v>
      </c>
      <c r="B181" s="225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2" t="s">
        <v>1779</v>
      </c>
      <c r="B182" s="2253"/>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82502</v>
      </c>
      <c r="D191" s="1575"/>
      <c r="E191" s="1640"/>
      <c r="F191" s="1575"/>
      <c r="G191" s="1664"/>
      <c r="H191" s="1575"/>
      <c r="I191" s="1575"/>
      <c r="J191" s="1575"/>
      <c r="K191" s="1575"/>
    </row>
    <row r="192" spans="1:11" ht="12.75" customHeight="1" x14ac:dyDescent="0.2">
      <c r="A192" s="427" t="s">
        <v>1038</v>
      </c>
      <c r="B192" s="429">
        <v>4215</v>
      </c>
      <c r="C192" s="1632">
        <v>1329</v>
      </c>
      <c r="D192" s="1575"/>
      <c r="E192" s="1640"/>
      <c r="F192" s="1575"/>
      <c r="G192" s="1664"/>
      <c r="H192" s="1575"/>
      <c r="I192" s="1575"/>
      <c r="J192" s="1575"/>
      <c r="K192" s="1575"/>
    </row>
    <row r="193" spans="1:11" ht="12.75" customHeight="1" x14ac:dyDescent="0.2">
      <c r="A193" s="427" t="s">
        <v>1050</v>
      </c>
      <c r="B193" s="429">
        <v>4220</v>
      </c>
      <c r="C193" s="1632">
        <v>26207</v>
      </c>
      <c r="D193" s="1575"/>
      <c r="E193" s="1640"/>
      <c r="F193" s="1575"/>
      <c r="G193" s="1664"/>
      <c r="H193" s="1575"/>
      <c r="I193" s="1575"/>
      <c r="J193" s="1575"/>
      <c r="K193" s="1575"/>
    </row>
    <row r="194" spans="1:11" ht="12.75" customHeight="1" x14ac:dyDescent="0.2">
      <c r="A194" s="427" t="s">
        <v>1434</v>
      </c>
      <c r="B194" s="429">
        <v>4225</v>
      </c>
      <c r="C194" s="1632">
        <v>18007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128045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104989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104989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19257</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19257</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7857</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57984</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65841</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12743</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2780</v>
      </c>
      <c r="D263" s="1651"/>
      <c r="E263" s="1575"/>
      <c r="F263" s="1651"/>
      <c r="G263" s="1651"/>
      <c r="H263" s="1575"/>
      <c r="I263" s="1575"/>
      <c r="J263" s="1575"/>
      <c r="K263" s="1575"/>
    </row>
    <row r="264" spans="1:11" ht="12.75" customHeight="1" thickTop="1" thickBot="1" x14ac:dyDescent="0.25">
      <c r="A264" s="427" t="s">
        <v>374</v>
      </c>
      <c r="B264" s="429">
        <v>4992</v>
      </c>
      <c r="C264" s="1650">
        <v>13629</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347284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347284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4727609</v>
      </c>
      <c r="D268" s="1641">
        <f t="shared" si="12"/>
        <v>580177</v>
      </c>
      <c r="E268" s="1641">
        <f t="shared" si="12"/>
        <v>309299</v>
      </c>
      <c r="F268" s="1641">
        <f t="shared" si="12"/>
        <v>486564</v>
      </c>
      <c r="G268" s="1641">
        <f t="shared" si="12"/>
        <v>110776</v>
      </c>
      <c r="H268" s="1641">
        <f t="shared" si="12"/>
        <v>0</v>
      </c>
      <c r="I268" s="1641">
        <f t="shared" si="12"/>
        <v>57196</v>
      </c>
      <c r="J268" s="1641">
        <f t="shared" si="12"/>
        <v>186105</v>
      </c>
      <c r="K268" s="1629">
        <f t="shared" si="12"/>
        <v>56165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 xml:space="preserve">&amp;L&amp;8Printed Date: &amp;D
&amp;F&amp;CThe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30" zoomScaleNormal="130" workbookViewId="0">
      <pane ySplit="2" topLeftCell="A3" activePane="bottomLeft" state="frozen"/>
      <selection activeCell="J61" sqref="J61"/>
      <selection pane="bottomLeft" activeCell="J61" sqref="J6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1473500</v>
      </c>
      <c r="D5" s="1573">
        <v>221942</v>
      </c>
      <c r="E5" s="1573">
        <v>53270</v>
      </c>
      <c r="F5" s="1573">
        <v>73328</v>
      </c>
      <c r="G5" s="1573"/>
      <c r="H5" s="1573"/>
      <c r="I5" s="1574"/>
      <c r="J5" s="1574"/>
      <c r="K5" s="1672">
        <f>SUM(C5:J5)</f>
        <v>1822040</v>
      </c>
      <c r="L5" s="1573">
        <v>1853388</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v>112583</v>
      </c>
      <c r="D7" s="1574">
        <v>7345</v>
      </c>
      <c r="E7" s="1574"/>
      <c r="F7" s="1574">
        <v>7946</v>
      </c>
      <c r="G7" s="1574"/>
      <c r="H7" s="1574"/>
      <c r="I7" s="1574"/>
      <c r="J7" s="1574"/>
      <c r="K7" s="1672">
        <f t="shared" ref="K7:K32" si="0">SUM(C7:J7)</f>
        <v>127874</v>
      </c>
      <c r="L7" s="1573">
        <v>105430</v>
      </c>
    </row>
    <row r="8" spans="1:14" x14ac:dyDescent="0.2">
      <c r="A8" s="1274" t="s">
        <v>163</v>
      </c>
      <c r="B8" s="503">
        <v>1200</v>
      </c>
      <c r="C8" s="1573">
        <v>359625</v>
      </c>
      <c r="D8" s="1573">
        <v>41977</v>
      </c>
      <c r="E8" s="1573"/>
      <c r="F8" s="1573">
        <v>2784</v>
      </c>
      <c r="G8" s="1573"/>
      <c r="H8" s="1573"/>
      <c r="I8" s="1574"/>
      <c r="J8" s="1574"/>
      <c r="K8" s="1672">
        <f t="shared" si="0"/>
        <v>404386</v>
      </c>
      <c r="L8" s="1573">
        <v>410152</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92892</v>
      </c>
      <c r="D10" s="1573">
        <v>3719</v>
      </c>
      <c r="E10" s="1573"/>
      <c r="F10" s="1573">
        <v>3862</v>
      </c>
      <c r="G10" s="1573"/>
      <c r="H10" s="1573"/>
      <c r="I10" s="1574"/>
      <c r="J10" s="1574"/>
      <c r="K10" s="1672">
        <f t="shared" si="0"/>
        <v>100473</v>
      </c>
      <c r="L10" s="1573">
        <v>104805</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c r="D13" s="1573"/>
      <c r="E13" s="1573"/>
      <c r="F13" s="1573"/>
      <c r="G13" s="1573"/>
      <c r="H13" s="1573"/>
      <c r="I13" s="1574"/>
      <c r="J13" s="1574"/>
      <c r="K13" s="1672">
        <f t="shared" si="0"/>
        <v>0</v>
      </c>
      <c r="L13" s="1573">
        <v>0</v>
      </c>
    </row>
    <row r="14" spans="1:14" x14ac:dyDescent="0.2">
      <c r="A14" s="1274" t="s">
        <v>957</v>
      </c>
      <c r="B14" s="503">
        <v>1500</v>
      </c>
      <c r="C14" s="1573">
        <v>201197</v>
      </c>
      <c r="D14" s="1573">
        <v>21912</v>
      </c>
      <c r="E14" s="1573">
        <v>7141</v>
      </c>
      <c r="F14" s="1573">
        <v>21753</v>
      </c>
      <c r="G14" s="1573"/>
      <c r="H14" s="1573">
        <v>1896</v>
      </c>
      <c r="I14" s="1574"/>
      <c r="J14" s="1574"/>
      <c r="K14" s="1672">
        <f t="shared" si="0"/>
        <v>253899</v>
      </c>
      <c r="L14" s="1573">
        <v>258640</v>
      </c>
    </row>
    <row r="15" spans="1:14" x14ac:dyDescent="0.2">
      <c r="A15" s="1274" t="s">
        <v>958</v>
      </c>
      <c r="B15" s="503">
        <v>1600</v>
      </c>
      <c r="C15" s="1573">
        <v>3058</v>
      </c>
      <c r="D15" s="1573">
        <v>353</v>
      </c>
      <c r="E15" s="1573"/>
      <c r="F15" s="1573"/>
      <c r="G15" s="1573"/>
      <c r="H15" s="1573"/>
      <c r="I15" s="1574"/>
      <c r="J15" s="1574"/>
      <c r="K15" s="1672">
        <f t="shared" si="0"/>
        <v>3411</v>
      </c>
      <c r="L15" s="1573">
        <v>3570</v>
      </c>
    </row>
    <row r="16" spans="1:14" x14ac:dyDescent="0.2">
      <c r="A16" s="1274" t="s">
        <v>980</v>
      </c>
      <c r="B16" s="503" t="s">
        <v>421</v>
      </c>
      <c r="C16" s="1573"/>
      <c r="D16" s="1573"/>
      <c r="E16" s="1573"/>
      <c r="F16" s="1573"/>
      <c r="G16" s="1573"/>
      <c r="H16" s="1573"/>
      <c r="I16" s="1574"/>
      <c r="J16" s="1574"/>
      <c r="K16" s="1672">
        <f t="shared" si="0"/>
        <v>0</v>
      </c>
      <c r="L16" s="1573">
        <v>1000</v>
      </c>
    </row>
    <row r="17" spans="1:12" x14ac:dyDescent="0.2">
      <c r="A17" s="1274" t="s">
        <v>719</v>
      </c>
      <c r="B17" s="503" t="s">
        <v>161</v>
      </c>
      <c r="C17" s="1574"/>
      <c r="D17" s="1574"/>
      <c r="E17" s="1574"/>
      <c r="F17" s="1574"/>
      <c r="G17" s="1574"/>
      <c r="H17" s="1574"/>
      <c r="I17" s="1574"/>
      <c r="J17" s="1574"/>
      <c r="K17" s="1672">
        <f t="shared" si="0"/>
        <v>0</v>
      </c>
      <c r="L17" s="1573">
        <v>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v>11750</v>
      </c>
      <c r="I19" s="1574"/>
      <c r="J19" s="1574"/>
      <c r="K19" s="1672">
        <f t="shared" si="0"/>
        <v>11750</v>
      </c>
      <c r="L19" s="1573">
        <v>10000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2242855</v>
      </c>
      <c r="D33" s="1674">
        <f t="shared" ref="D33:L33" si="1">SUM(D5:D32)</f>
        <v>297248</v>
      </c>
      <c r="E33" s="1674">
        <f t="shared" si="1"/>
        <v>60411</v>
      </c>
      <c r="F33" s="1674">
        <f t="shared" si="1"/>
        <v>109673</v>
      </c>
      <c r="G33" s="1674">
        <f t="shared" si="1"/>
        <v>0</v>
      </c>
      <c r="H33" s="1674">
        <f t="shared" si="1"/>
        <v>13646</v>
      </c>
      <c r="I33" s="1674">
        <f t="shared" si="1"/>
        <v>0</v>
      </c>
      <c r="J33" s="1674">
        <f t="shared" si="1"/>
        <v>0</v>
      </c>
      <c r="K33" s="1674">
        <f t="shared" si="1"/>
        <v>2723833</v>
      </c>
      <c r="L33" s="1674">
        <f t="shared" si="1"/>
        <v>2746985</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v>0</v>
      </c>
    </row>
    <row r="37" spans="1:14" x14ac:dyDescent="0.2">
      <c r="A37" s="1274" t="s">
        <v>1081</v>
      </c>
      <c r="B37" s="503">
        <v>2120</v>
      </c>
      <c r="C37" s="1573">
        <v>54946</v>
      </c>
      <c r="D37" s="1573">
        <v>5512</v>
      </c>
      <c r="E37" s="1573"/>
      <c r="F37" s="1573">
        <v>168</v>
      </c>
      <c r="G37" s="1573"/>
      <c r="H37" s="1573"/>
      <c r="I37" s="1574"/>
      <c r="J37" s="1574"/>
      <c r="K37" s="1672">
        <f t="shared" si="2"/>
        <v>60626</v>
      </c>
      <c r="L37" s="1573">
        <v>59224</v>
      </c>
    </row>
    <row r="38" spans="1:14" x14ac:dyDescent="0.2">
      <c r="A38" s="1274" t="s">
        <v>196</v>
      </c>
      <c r="B38" s="503">
        <v>2130</v>
      </c>
      <c r="C38" s="1573">
        <v>13727</v>
      </c>
      <c r="D38" s="1573"/>
      <c r="E38" s="1573">
        <v>103</v>
      </c>
      <c r="F38" s="1573">
        <v>1516</v>
      </c>
      <c r="G38" s="1573"/>
      <c r="H38" s="1573">
        <v>146</v>
      </c>
      <c r="I38" s="1574"/>
      <c r="J38" s="1574"/>
      <c r="K38" s="1672">
        <f t="shared" si="2"/>
        <v>15492</v>
      </c>
      <c r="L38" s="1573">
        <v>21190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c r="D40" s="1573"/>
      <c r="E40" s="1573"/>
      <c r="F40" s="1573"/>
      <c r="G40" s="1573"/>
      <c r="H40" s="1573"/>
      <c r="I40" s="1574"/>
      <c r="J40" s="1574"/>
      <c r="K40" s="1672">
        <f t="shared" si="2"/>
        <v>0</v>
      </c>
      <c r="L40" s="1573">
        <v>0</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68673</v>
      </c>
      <c r="D42" s="1674">
        <f t="shared" ref="D42:L42" si="3">SUM(D36:D41)</f>
        <v>5512</v>
      </c>
      <c r="E42" s="1674">
        <f t="shared" si="3"/>
        <v>103</v>
      </c>
      <c r="F42" s="1674">
        <f t="shared" si="3"/>
        <v>1684</v>
      </c>
      <c r="G42" s="1674">
        <f t="shared" si="3"/>
        <v>0</v>
      </c>
      <c r="H42" s="1674">
        <f t="shared" si="3"/>
        <v>146</v>
      </c>
      <c r="I42" s="1674">
        <f t="shared" si="3"/>
        <v>0</v>
      </c>
      <c r="J42" s="1674">
        <f t="shared" si="3"/>
        <v>0</v>
      </c>
      <c r="K42" s="1674">
        <f t="shared" si="3"/>
        <v>76118</v>
      </c>
      <c r="L42" s="1674">
        <f t="shared" si="3"/>
        <v>80414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728</v>
      </c>
      <c r="D44" s="1586">
        <v>3558</v>
      </c>
      <c r="E44" s="1586">
        <v>6476</v>
      </c>
      <c r="F44" s="1586"/>
      <c r="G44" s="1586"/>
      <c r="H44" s="1586"/>
      <c r="I44" s="1574"/>
      <c r="J44" s="1574"/>
      <c r="K44" s="1678">
        <f>SUM(C44:J44)</f>
        <v>10762</v>
      </c>
      <c r="L44" s="1586">
        <v>20171</v>
      </c>
    </row>
    <row r="45" spans="1:14" x14ac:dyDescent="0.2">
      <c r="A45" s="1274" t="s">
        <v>810</v>
      </c>
      <c r="B45" s="503">
        <v>2220</v>
      </c>
      <c r="C45" s="1573">
        <v>125524</v>
      </c>
      <c r="D45" s="1573">
        <v>11186</v>
      </c>
      <c r="E45" s="1573">
        <v>146094</v>
      </c>
      <c r="F45" s="1573">
        <v>31272</v>
      </c>
      <c r="G45" s="1573">
        <v>168479</v>
      </c>
      <c r="H45" s="1573"/>
      <c r="I45" s="1574"/>
      <c r="J45" s="1574"/>
      <c r="K45" s="1678">
        <f>SUM(C45:J45)</f>
        <v>482555</v>
      </c>
      <c r="L45" s="1573">
        <v>629897</v>
      </c>
    </row>
    <row r="46" spans="1:14" x14ac:dyDescent="0.2">
      <c r="A46" s="1274" t="s">
        <v>811</v>
      </c>
      <c r="B46" s="503">
        <v>2230</v>
      </c>
      <c r="C46" s="1573"/>
      <c r="D46" s="1573"/>
      <c r="E46" s="1573"/>
      <c r="F46" s="1573"/>
      <c r="G46" s="1573"/>
      <c r="H46" s="1573"/>
      <c r="I46" s="1574"/>
      <c r="J46" s="1574"/>
      <c r="K46" s="1678">
        <f>SUM(C46:J46)</f>
        <v>0</v>
      </c>
      <c r="L46" s="1573">
        <v>0</v>
      </c>
    </row>
    <row r="47" spans="1:14" ht="12.75" customHeight="1" thickBot="1" x14ac:dyDescent="0.25">
      <c r="A47" s="1380" t="s">
        <v>557</v>
      </c>
      <c r="B47" s="1381" t="s">
        <v>32</v>
      </c>
      <c r="C47" s="1674">
        <f>SUM(C44:C46)</f>
        <v>126252</v>
      </c>
      <c r="D47" s="1674">
        <f t="shared" ref="D47:K47" si="4">SUM(D44:D46)</f>
        <v>14744</v>
      </c>
      <c r="E47" s="1674">
        <f t="shared" si="4"/>
        <v>152570</v>
      </c>
      <c r="F47" s="1674">
        <f t="shared" si="4"/>
        <v>31272</v>
      </c>
      <c r="G47" s="1674">
        <f t="shared" si="4"/>
        <v>168479</v>
      </c>
      <c r="H47" s="1674">
        <f t="shared" si="4"/>
        <v>0</v>
      </c>
      <c r="I47" s="1674">
        <f t="shared" si="4"/>
        <v>0</v>
      </c>
      <c r="J47" s="1674">
        <f t="shared" si="4"/>
        <v>0</v>
      </c>
      <c r="K47" s="1674">
        <f t="shared" si="4"/>
        <v>493317</v>
      </c>
      <c r="L47" s="1674">
        <f>SUM(L44:L46)</f>
        <v>650068</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20113</v>
      </c>
      <c r="F49" s="1586">
        <v>4</v>
      </c>
      <c r="G49" s="1586"/>
      <c r="H49" s="1586"/>
      <c r="I49" s="1574"/>
      <c r="J49" s="1574"/>
      <c r="K49" s="1678">
        <f>SUM(C49:J49)</f>
        <v>20117</v>
      </c>
      <c r="L49" s="1586">
        <v>30500</v>
      </c>
    </row>
    <row r="50" spans="1:14" x14ac:dyDescent="0.2">
      <c r="A50" s="1274" t="s">
        <v>813</v>
      </c>
      <c r="B50" s="503">
        <v>2320</v>
      </c>
      <c r="C50" s="1573">
        <v>68098</v>
      </c>
      <c r="D50" s="1573">
        <v>36546</v>
      </c>
      <c r="E50" s="1573">
        <v>509</v>
      </c>
      <c r="F50" s="1573">
        <v>178</v>
      </c>
      <c r="G50" s="1573"/>
      <c r="H50" s="1573">
        <v>1002</v>
      </c>
      <c r="I50" s="1574"/>
      <c r="J50" s="1574"/>
      <c r="K50" s="1678">
        <f>SUM(C50:J50)</f>
        <v>106333</v>
      </c>
      <c r="L50" s="1573">
        <v>109490</v>
      </c>
    </row>
    <row r="51" spans="1:14" x14ac:dyDescent="0.2">
      <c r="A51" s="1274" t="s">
        <v>42</v>
      </c>
      <c r="B51" s="503">
        <v>2330</v>
      </c>
      <c r="C51" s="1573">
        <v>8000</v>
      </c>
      <c r="D51" s="1573"/>
      <c r="E51" s="1573"/>
      <c r="F51" s="1573"/>
      <c r="G51" s="1573"/>
      <c r="H51" s="1573"/>
      <c r="I51" s="1574"/>
      <c r="J51" s="1574"/>
      <c r="K51" s="1678">
        <f>SUM(C51:J51)</f>
        <v>8000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76098</v>
      </c>
      <c r="D53" s="1674">
        <f t="shared" ref="D53:L53" si="5">SUM(D49:D52)</f>
        <v>36546</v>
      </c>
      <c r="E53" s="1674">
        <f t="shared" si="5"/>
        <v>20622</v>
      </c>
      <c r="F53" s="1674">
        <f t="shared" si="5"/>
        <v>182</v>
      </c>
      <c r="G53" s="1674">
        <f t="shared" si="5"/>
        <v>0</v>
      </c>
      <c r="H53" s="1674">
        <f t="shared" si="5"/>
        <v>1002</v>
      </c>
      <c r="I53" s="1674">
        <f t="shared" si="5"/>
        <v>0</v>
      </c>
      <c r="J53" s="1674">
        <f t="shared" si="5"/>
        <v>0</v>
      </c>
      <c r="K53" s="1674">
        <f t="shared" si="5"/>
        <v>134450</v>
      </c>
      <c r="L53" s="1674">
        <f t="shared" si="5"/>
        <v>139990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87106</v>
      </c>
      <c r="D55" s="1586">
        <v>38884</v>
      </c>
      <c r="E55" s="1586">
        <v>3425</v>
      </c>
      <c r="F55" s="1586">
        <v>209</v>
      </c>
      <c r="G55" s="1586"/>
      <c r="H55" s="1586">
        <v>399</v>
      </c>
      <c r="I55" s="1574"/>
      <c r="J55" s="1574"/>
      <c r="K55" s="1678">
        <f>SUM(C55:J55)</f>
        <v>130023</v>
      </c>
      <c r="L55" s="1586">
        <v>131305</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87106</v>
      </c>
      <c r="D57" s="1679">
        <f t="shared" ref="D57:K57" si="6">SUM(D55:D56)</f>
        <v>38884</v>
      </c>
      <c r="E57" s="1679">
        <f t="shared" si="6"/>
        <v>3425</v>
      </c>
      <c r="F57" s="1679">
        <f t="shared" si="6"/>
        <v>209</v>
      </c>
      <c r="G57" s="1679">
        <f t="shared" si="6"/>
        <v>0</v>
      </c>
      <c r="H57" s="1679">
        <f t="shared" si="6"/>
        <v>399</v>
      </c>
      <c r="I57" s="1679">
        <f t="shared" si="6"/>
        <v>0</v>
      </c>
      <c r="J57" s="1679">
        <f t="shared" si="6"/>
        <v>0</v>
      </c>
      <c r="K57" s="1679">
        <f t="shared" si="6"/>
        <v>130023</v>
      </c>
      <c r="L57" s="1674">
        <f>SUM(L55:L56)</f>
        <v>131305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51231</v>
      </c>
      <c r="D60" s="1573">
        <v>-16</v>
      </c>
      <c r="E60" s="1573">
        <v>5205</v>
      </c>
      <c r="F60" s="1573">
        <v>787</v>
      </c>
      <c r="G60" s="1573"/>
      <c r="H60" s="1573">
        <v>18</v>
      </c>
      <c r="I60" s="1574"/>
      <c r="J60" s="1574"/>
      <c r="K60" s="1678">
        <f t="shared" si="7"/>
        <v>57225</v>
      </c>
      <c r="L60" s="1573">
        <v>58910</v>
      </c>
      <c r="M60" s="501"/>
      <c r="N60" s="501"/>
    </row>
    <row r="61" spans="1:14" s="321" customFormat="1" x14ac:dyDescent="0.2">
      <c r="A61" s="1274" t="s">
        <v>195</v>
      </c>
      <c r="B61" s="503">
        <v>2540</v>
      </c>
      <c r="C61" s="1573">
        <v>16532</v>
      </c>
      <c r="D61" s="1573"/>
      <c r="E61" s="1573">
        <v>4626</v>
      </c>
      <c r="F61" s="1573">
        <v>564</v>
      </c>
      <c r="G61" s="1573"/>
      <c r="H61" s="1573"/>
      <c r="I61" s="1574"/>
      <c r="J61" s="1574"/>
      <c r="K61" s="1678">
        <f t="shared" si="7"/>
        <v>21722</v>
      </c>
      <c r="L61" s="1573">
        <v>21650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16626</v>
      </c>
      <c r="D63" s="1573"/>
      <c r="E63" s="1573">
        <v>162105</v>
      </c>
      <c r="F63" s="1573">
        <v>9261</v>
      </c>
      <c r="G63" s="1573"/>
      <c r="H63" s="1573"/>
      <c r="I63" s="1574"/>
      <c r="J63" s="1574"/>
      <c r="K63" s="1678">
        <f t="shared" si="7"/>
        <v>187992</v>
      </c>
      <c r="L63" s="1573">
        <v>215050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84389</v>
      </c>
      <c r="D65" s="1674">
        <f t="shared" ref="D65:L65" si="8">SUM(D59:D64)</f>
        <v>-16</v>
      </c>
      <c r="E65" s="1674">
        <f t="shared" si="8"/>
        <v>171936</v>
      </c>
      <c r="F65" s="1674">
        <f t="shared" si="8"/>
        <v>10612</v>
      </c>
      <c r="G65" s="1674">
        <f t="shared" si="8"/>
        <v>0</v>
      </c>
      <c r="H65" s="1674">
        <f t="shared" si="8"/>
        <v>18</v>
      </c>
      <c r="I65" s="1674">
        <f t="shared" si="8"/>
        <v>0</v>
      </c>
      <c r="J65" s="1674">
        <f t="shared" si="8"/>
        <v>0</v>
      </c>
      <c r="K65" s="1674">
        <f t="shared" si="8"/>
        <v>266939</v>
      </c>
      <c r="L65" s="1674">
        <f t="shared" si="8"/>
        <v>295610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442518</v>
      </c>
      <c r="D74" s="1681">
        <f t="shared" ref="D74:K74" si="10">SUM(D42,D47,D53,D57,D65,D72,D73)</f>
        <v>95670</v>
      </c>
      <c r="E74" s="1681">
        <f t="shared" si="10"/>
        <v>348656</v>
      </c>
      <c r="F74" s="1681">
        <f t="shared" si="10"/>
        <v>43959</v>
      </c>
      <c r="G74" s="1681">
        <f t="shared" si="10"/>
        <v>168479</v>
      </c>
      <c r="H74" s="1681">
        <f t="shared" si="10"/>
        <v>1565</v>
      </c>
      <c r="I74" s="1681">
        <f t="shared" si="10"/>
        <v>0</v>
      </c>
      <c r="J74" s="1681">
        <f t="shared" si="10"/>
        <v>0</v>
      </c>
      <c r="K74" s="1681">
        <f t="shared" si="10"/>
        <v>1100847</v>
      </c>
      <c r="L74" s="1681">
        <f>SUM(L42,L47,L53,L57,L65,L72,L73)</f>
        <v>1297387</v>
      </c>
    </row>
    <row r="75" spans="1:14" s="254" customFormat="1" ht="15.75" customHeight="1" thickTop="1" thickBot="1" x14ac:dyDescent="0.25">
      <c r="A75" s="1348" t="s">
        <v>47</v>
      </c>
      <c r="B75" s="1349" t="s">
        <v>571</v>
      </c>
      <c r="C75" s="1649">
        <v>40327</v>
      </c>
      <c r="D75" s="1649">
        <v>3708</v>
      </c>
      <c r="E75" s="1649">
        <v>7300</v>
      </c>
      <c r="F75" s="1649">
        <v>5650</v>
      </c>
      <c r="G75" s="1649"/>
      <c r="H75" s="1649"/>
      <c r="I75" s="1627"/>
      <c r="J75" s="1627"/>
      <c r="K75" s="1674">
        <f>SUM(C75:J75)</f>
        <v>56985</v>
      </c>
      <c r="L75" s="1651">
        <v>84316</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3546</v>
      </c>
      <c r="F78" s="1673"/>
      <c r="G78" s="1673"/>
      <c r="H78" s="1682"/>
      <c r="I78" s="1582"/>
      <c r="J78" s="1582"/>
      <c r="K78" s="1672">
        <f t="shared" ref="K78:K83" si="11">SUM(C78:J78)</f>
        <v>3546</v>
      </c>
      <c r="L78" s="1586">
        <v>4950</v>
      </c>
    </row>
    <row r="79" spans="1:14" x14ac:dyDescent="0.2">
      <c r="A79" s="1274" t="s">
        <v>301</v>
      </c>
      <c r="B79" s="503">
        <v>4120</v>
      </c>
      <c r="C79" s="1673"/>
      <c r="D79" s="1673"/>
      <c r="E79" s="1573">
        <v>372794</v>
      </c>
      <c r="F79" s="1673"/>
      <c r="G79" s="1673"/>
      <c r="H79" s="1573">
        <v>152677</v>
      </c>
      <c r="I79" s="1582"/>
      <c r="J79" s="1582"/>
      <c r="K79" s="1672">
        <f t="shared" si="11"/>
        <v>525471</v>
      </c>
      <c r="L79" s="1573">
        <v>551290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1468</v>
      </c>
      <c r="B84" s="1385">
        <v>4100</v>
      </c>
      <c r="C84" s="1673"/>
      <c r="D84" s="1673"/>
      <c r="E84" s="1674">
        <f>SUM(E78:E83)</f>
        <v>376340</v>
      </c>
      <c r="F84" s="1673"/>
      <c r="G84" s="1673"/>
      <c r="H84" s="1674">
        <f>SUM(H78:H83)</f>
        <v>152677</v>
      </c>
      <c r="I84" s="1582"/>
      <c r="J84" s="1582"/>
      <c r="K84" s="1674">
        <f>SUM(K78:K83)</f>
        <v>529017</v>
      </c>
      <c r="L84" s="1674">
        <f>SUM(L78:L83)</f>
        <v>556240</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376340</v>
      </c>
      <c r="F102" s="1673"/>
      <c r="G102" s="1673"/>
      <c r="H102" s="1681">
        <f>SUM(H84,H92,H100,H101)</f>
        <v>152677</v>
      </c>
      <c r="I102" s="1582"/>
      <c r="J102" s="1582"/>
      <c r="K102" s="1681">
        <f>SUM(K84,K92,K100,K101)</f>
        <v>529017</v>
      </c>
      <c r="L102" s="1681">
        <f>SUM(L84,L92,L100,L101)</f>
        <v>556240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2725700</v>
      </c>
      <c r="D114" s="1674">
        <f t="shared" ref="D114:K114" si="13">SUM(D33,D74,D75,D102,D112,D113)</f>
        <v>396626</v>
      </c>
      <c r="E114" s="1674">
        <f t="shared" si="13"/>
        <v>792707</v>
      </c>
      <c r="F114" s="1674">
        <f t="shared" si="13"/>
        <v>159282</v>
      </c>
      <c r="G114" s="1674">
        <f t="shared" si="13"/>
        <v>168479</v>
      </c>
      <c r="H114" s="1674">
        <f>SUM(H33,H74,H75,H102,H112,H113)</f>
        <v>167888</v>
      </c>
      <c r="I114" s="1674">
        <f t="shared" si="13"/>
        <v>0</v>
      </c>
      <c r="J114" s="1674">
        <f t="shared" si="13"/>
        <v>0</v>
      </c>
      <c r="K114" s="1674">
        <f t="shared" si="13"/>
        <v>4410682</v>
      </c>
      <c r="L114" s="1674">
        <f>SUM(L33,L74,L75,L102,L112,L113)</f>
        <v>4684928</v>
      </c>
    </row>
    <row r="115" spans="1:14" ht="13.5" thickTop="1" x14ac:dyDescent="0.2">
      <c r="A115" s="2260" t="s">
        <v>989</v>
      </c>
      <c r="B115" s="2261"/>
      <c r="C115" s="1675"/>
      <c r="D115" s="1675"/>
      <c r="E115" s="1675"/>
      <c r="F115" s="1675"/>
      <c r="G115" s="1675"/>
      <c r="H115" s="1675"/>
      <c r="I115" s="1675"/>
      <c r="J115" s="1675"/>
      <c r="K115" s="1689">
        <f>'Revenues 9-14'!C268-'Expenditures 15-22'!K114</f>
        <v>316927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5" t="s">
        <v>293</v>
      </c>
      <c r="B117" s="226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1962</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v>16775</v>
      </c>
      <c r="H123" s="1573"/>
      <c r="I123" s="1574"/>
      <c r="J123" s="1574"/>
      <c r="K123" s="1674">
        <f>SUM(C123:J123)</f>
        <v>16775</v>
      </c>
      <c r="L123" s="1573">
        <v>17000</v>
      </c>
    </row>
    <row r="124" spans="1:14" ht="14.25" thickTop="1" thickBot="1" x14ac:dyDescent="0.25">
      <c r="A124" s="1274" t="s">
        <v>195</v>
      </c>
      <c r="B124" s="503">
        <v>2540</v>
      </c>
      <c r="C124" s="1573">
        <v>148679</v>
      </c>
      <c r="D124" s="1573">
        <v>7462</v>
      </c>
      <c r="E124" s="1573">
        <v>190976</v>
      </c>
      <c r="F124" s="1573">
        <v>140490</v>
      </c>
      <c r="G124" s="1573">
        <v>26307</v>
      </c>
      <c r="H124" s="1573"/>
      <c r="I124" s="1574"/>
      <c r="J124" s="1574"/>
      <c r="K124" s="1674">
        <f>SUM(C124:J124)</f>
        <v>513914</v>
      </c>
      <c r="L124" s="1573">
        <v>515820</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148679</v>
      </c>
      <c r="D127" s="1674">
        <f t="shared" ref="D127:L127" si="14">SUM(D122:D126)</f>
        <v>7462</v>
      </c>
      <c r="E127" s="1674">
        <f t="shared" si="14"/>
        <v>190976</v>
      </c>
      <c r="F127" s="1674">
        <f t="shared" si="14"/>
        <v>140490</v>
      </c>
      <c r="G127" s="1674">
        <f t="shared" si="14"/>
        <v>43082</v>
      </c>
      <c r="H127" s="1674">
        <f t="shared" si="14"/>
        <v>0</v>
      </c>
      <c r="I127" s="1674">
        <f t="shared" si="14"/>
        <v>0</v>
      </c>
      <c r="J127" s="1674">
        <f t="shared" si="14"/>
        <v>0</v>
      </c>
      <c r="K127" s="1674">
        <f t="shared" si="14"/>
        <v>530689</v>
      </c>
      <c r="L127" s="1674">
        <f t="shared" si="14"/>
        <v>532820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148679</v>
      </c>
      <c r="D129" s="1681">
        <f t="shared" ref="D129:L129" si="15">SUM(D120,D127,D128)</f>
        <v>7462</v>
      </c>
      <c r="E129" s="1681">
        <f t="shared" si="15"/>
        <v>190976</v>
      </c>
      <c r="F129" s="1681">
        <f t="shared" si="15"/>
        <v>140490</v>
      </c>
      <c r="G129" s="1681">
        <f t="shared" si="15"/>
        <v>43082</v>
      </c>
      <c r="H129" s="1681">
        <f t="shared" si="15"/>
        <v>0</v>
      </c>
      <c r="I129" s="1681">
        <f t="shared" si="15"/>
        <v>0</v>
      </c>
      <c r="J129" s="1681">
        <f t="shared" si="15"/>
        <v>0</v>
      </c>
      <c r="K129" s="1681">
        <f t="shared" si="15"/>
        <v>530689</v>
      </c>
      <c r="L129" s="1681">
        <f t="shared" si="15"/>
        <v>532820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1815</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7" t="s">
        <v>616</v>
      </c>
      <c r="B151" s="2257"/>
      <c r="C151" s="1674">
        <f>SUM(C129,C130,C139,C149,C150)</f>
        <v>148679</v>
      </c>
      <c r="D151" s="1674">
        <f t="shared" ref="D151:K151" si="16">SUM(D129,D130,D139,D149,D150)</f>
        <v>7462</v>
      </c>
      <c r="E151" s="1674">
        <f t="shared" si="16"/>
        <v>190976</v>
      </c>
      <c r="F151" s="1674">
        <f t="shared" si="16"/>
        <v>140490</v>
      </c>
      <c r="G151" s="1674">
        <f t="shared" si="16"/>
        <v>43082</v>
      </c>
      <c r="H151" s="1674">
        <f t="shared" si="16"/>
        <v>0</v>
      </c>
      <c r="I151" s="1674">
        <f t="shared" si="16"/>
        <v>0</v>
      </c>
      <c r="J151" s="1674">
        <f t="shared" si="16"/>
        <v>0</v>
      </c>
      <c r="K151" s="1674">
        <f t="shared" si="16"/>
        <v>530689</v>
      </c>
      <c r="L151" s="1674">
        <f>SUM(L129,L130,L139,L149,L150)</f>
        <v>532820</v>
      </c>
    </row>
    <row r="152" spans="1:14" ht="12.75" customHeight="1" thickTop="1" x14ac:dyDescent="0.2">
      <c r="A152" s="2280" t="s">
        <v>1168</v>
      </c>
      <c r="B152" s="2281"/>
      <c r="C152" s="1675"/>
      <c r="D152" s="1675"/>
      <c r="E152" s="1675"/>
      <c r="F152" s="1675"/>
      <c r="G152" s="1675"/>
      <c r="H152" s="1675"/>
      <c r="I152" s="1675"/>
      <c r="J152" s="1673"/>
      <c r="K152" s="1689">
        <f>'Revenues 9-14'!D268-'Expenditures 15-22'!K151</f>
        <v>49488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5" t="s">
        <v>617</v>
      </c>
      <c r="B154" s="226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1815</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1817</v>
      </c>
      <c r="C158" s="1673"/>
      <c r="D158" s="1673"/>
      <c r="E158" s="1673"/>
      <c r="F158" s="1673"/>
      <c r="G158" s="1673"/>
      <c r="H158" s="1574"/>
      <c r="I158" s="1673"/>
      <c r="J158" s="1673"/>
      <c r="K158" s="1672">
        <f>H158</f>
        <v>0</v>
      </c>
      <c r="L158" s="1574">
        <v>0</v>
      </c>
      <c r="M158" s="505"/>
      <c r="N158" s="505"/>
    </row>
    <row r="159" spans="1:14" s="506" customFormat="1" ht="12" x14ac:dyDescent="0.2">
      <c r="A159" s="1462" t="s">
        <v>1818</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1819</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47194</v>
      </c>
      <c r="I169" s="1673"/>
      <c r="J169" s="1673"/>
      <c r="K169" s="1672">
        <f>SUM(C169:H169)</f>
        <v>47194</v>
      </c>
      <c r="L169" s="1695">
        <v>47195</v>
      </c>
    </row>
    <row r="170" spans="1:14" ht="33.75" customHeight="1" x14ac:dyDescent="0.2">
      <c r="A170" s="543" t="s">
        <v>1651</v>
      </c>
      <c r="B170" s="545" t="s">
        <v>31</v>
      </c>
      <c r="C170" s="1673"/>
      <c r="D170" s="1673"/>
      <c r="E170" s="1673"/>
      <c r="F170" s="1673"/>
      <c r="G170" s="1673"/>
      <c r="H170" s="1646">
        <v>263000</v>
      </c>
      <c r="I170" s="1673"/>
      <c r="J170" s="1673"/>
      <c r="K170" s="1672">
        <f>SUM(C170:J170)</f>
        <v>263000</v>
      </c>
      <c r="L170" s="1646">
        <v>263000</v>
      </c>
    </row>
    <row r="171" spans="1:14" ht="15.75" customHeight="1" x14ac:dyDescent="0.2">
      <c r="A171" s="507" t="s">
        <v>761</v>
      </c>
      <c r="B171" s="546" t="s">
        <v>84</v>
      </c>
      <c r="C171" s="1673"/>
      <c r="D171" s="1673"/>
      <c r="E171" s="1573"/>
      <c r="F171" s="1673"/>
      <c r="G171" s="1673"/>
      <c r="H171" s="1646"/>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310194</v>
      </c>
      <c r="I172" s="1684"/>
      <c r="J172" s="1673"/>
      <c r="K172" s="1681">
        <f>SUM(K168,K169,K170,K171)</f>
        <v>310194</v>
      </c>
      <c r="L172" s="1681">
        <f>SUM(L168,L169,L170,L171)</f>
        <v>310195</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310194</v>
      </c>
      <c r="I174" s="1684"/>
      <c r="J174" s="1673"/>
      <c r="K174" s="1681">
        <f>SUM(K160,K172,K173)</f>
        <v>310194</v>
      </c>
      <c r="L174" s="1681">
        <f>SUM(L160,L172,L173)</f>
        <v>310195</v>
      </c>
    </row>
    <row r="175" spans="1:14" ht="13.5" thickTop="1" x14ac:dyDescent="0.2">
      <c r="A175" s="2260" t="s">
        <v>989</v>
      </c>
      <c r="B175" s="2261"/>
      <c r="C175" s="1673"/>
      <c r="D175" s="1673"/>
      <c r="E175" s="1673"/>
      <c r="F175" s="1673"/>
      <c r="G175" s="1673"/>
      <c r="H175" s="1675"/>
      <c r="I175" s="1673"/>
      <c r="J175" s="1673"/>
      <c r="K175" s="1689">
        <f>'Revenues 9-14'!E268-'Expenditures 15-22'!K174</f>
        <v>-895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9152</v>
      </c>
      <c r="D182" s="1573">
        <v>3068</v>
      </c>
      <c r="E182" s="1573">
        <v>399897</v>
      </c>
      <c r="F182" s="1573"/>
      <c r="G182" s="1573"/>
      <c r="H182" s="1573"/>
      <c r="I182" s="1574"/>
      <c r="J182" s="1574"/>
      <c r="K182" s="1672">
        <f>SUM(C182:J182)</f>
        <v>412117</v>
      </c>
      <c r="L182" s="1573">
        <v>432160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9152</v>
      </c>
      <c r="D184" s="1681">
        <f t="shared" ref="D184:J184" si="17">SUM(D180,D182,D183)</f>
        <v>3068</v>
      </c>
      <c r="E184" s="1681">
        <f t="shared" si="17"/>
        <v>399897</v>
      </c>
      <c r="F184" s="1681">
        <f t="shared" si="17"/>
        <v>0</v>
      </c>
      <c r="G184" s="1681">
        <f t="shared" si="17"/>
        <v>0</v>
      </c>
      <c r="H184" s="1681">
        <f t="shared" si="17"/>
        <v>0</v>
      </c>
      <c r="I184" s="1681">
        <f t="shared" si="17"/>
        <v>0</v>
      </c>
      <c r="J184" s="1681">
        <f t="shared" si="17"/>
        <v>0</v>
      </c>
      <c r="K184" s="1681">
        <f>SUM(K180,K182,K183)</f>
        <v>412117</v>
      </c>
      <c r="L184" s="1681">
        <f>SUM(L180, L182:L183)</f>
        <v>432160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9152</v>
      </c>
      <c r="D210" s="1674">
        <f>SUM(D184,D185)</f>
        <v>3068</v>
      </c>
      <c r="E210" s="1674">
        <f>SUM(E184,E185,E196)</f>
        <v>399897</v>
      </c>
      <c r="F210" s="1674">
        <f>SUM(F184,F185)</f>
        <v>0</v>
      </c>
      <c r="G210" s="1674">
        <f>SUM(G184,G185)</f>
        <v>0</v>
      </c>
      <c r="H210" s="1674">
        <f>SUM(H184,H185,H196,H208,H209)</f>
        <v>0</v>
      </c>
      <c r="I210" s="1674">
        <f>SUM(I184,I185)</f>
        <v>0</v>
      </c>
      <c r="J210" s="1674">
        <f>SUM(J184,J185)</f>
        <v>0</v>
      </c>
      <c r="K210" s="1672">
        <f>SUM(K184,K185,K196,K208,K209)</f>
        <v>412117</v>
      </c>
      <c r="L210" s="1674">
        <f>SUM(L184,L185,L196,L208,L209)</f>
        <v>432160</v>
      </c>
    </row>
    <row r="211" spans="1:14" ht="13.5" thickTop="1" x14ac:dyDescent="0.2">
      <c r="A211" s="2260" t="s">
        <v>989</v>
      </c>
      <c r="B211" s="2261"/>
      <c r="C211" s="1675"/>
      <c r="D211" s="1675"/>
      <c r="E211" s="1675"/>
      <c r="F211" s="1675"/>
      <c r="G211" s="1675"/>
      <c r="H211" s="1675"/>
      <c r="I211" s="1673"/>
      <c r="J211" s="1673"/>
      <c r="K211" s="1689">
        <f>'Revenues 9-14'!F268-'Expenditures 15-22'!K210</f>
        <v>74447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2" t="s">
        <v>959</v>
      </c>
      <c r="B213" s="228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31758</v>
      </c>
      <c r="E215" s="1673"/>
      <c r="F215" s="1673"/>
      <c r="G215" s="1673"/>
      <c r="H215" s="1673"/>
      <c r="I215" s="1673"/>
      <c r="J215" s="1673"/>
      <c r="K215" s="1672">
        <f>D215</f>
        <v>31758</v>
      </c>
      <c r="L215" s="1573">
        <v>34800</v>
      </c>
    </row>
    <row r="216" spans="1:14" x14ac:dyDescent="0.2">
      <c r="A216" s="1274" t="s">
        <v>162</v>
      </c>
      <c r="B216" s="503" t="s">
        <v>961</v>
      </c>
      <c r="C216" s="1673"/>
      <c r="D216" s="1574">
        <v>3543</v>
      </c>
      <c r="E216" s="1673"/>
      <c r="F216" s="1673"/>
      <c r="G216" s="1673"/>
      <c r="H216" s="1673"/>
      <c r="I216" s="1673"/>
      <c r="J216" s="1673"/>
      <c r="K216" s="1672">
        <f t="shared" ref="K216:K228" si="19">D216</f>
        <v>3543</v>
      </c>
      <c r="L216" s="1573">
        <v>3365</v>
      </c>
    </row>
    <row r="217" spans="1:14" x14ac:dyDescent="0.2">
      <c r="A217" s="1274" t="s">
        <v>163</v>
      </c>
      <c r="B217" s="503">
        <v>1200</v>
      </c>
      <c r="C217" s="1673"/>
      <c r="D217" s="1573">
        <v>21718</v>
      </c>
      <c r="E217" s="1673"/>
      <c r="F217" s="1673"/>
      <c r="G217" s="1673"/>
      <c r="H217" s="1673"/>
      <c r="I217" s="1673"/>
      <c r="J217" s="1673"/>
      <c r="K217" s="1672">
        <f t="shared" si="19"/>
        <v>21718</v>
      </c>
      <c r="L217" s="1573">
        <v>23123</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4287</v>
      </c>
      <c r="E219" s="1673"/>
      <c r="F219" s="1673"/>
      <c r="G219" s="1673"/>
      <c r="H219" s="1673"/>
      <c r="I219" s="1673"/>
      <c r="J219" s="1673"/>
      <c r="K219" s="1672">
        <f t="shared" si="19"/>
        <v>4287</v>
      </c>
      <c r="L219" s="1573">
        <v>4400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c r="E222" s="1673"/>
      <c r="F222" s="1673"/>
      <c r="G222" s="1673"/>
      <c r="H222" s="1673"/>
      <c r="I222" s="1673"/>
      <c r="J222" s="1673"/>
      <c r="K222" s="1672">
        <f t="shared" si="19"/>
        <v>0</v>
      </c>
      <c r="L222" s="1573">
        <v>0</v>
      </c>
    </row>
    <row r="223" spans="1:14" x14ac:dyDescent="0.2">
      <c r="A223" s="1274" t="s">
        <v>957</v>
      </c>
      <c r="B223" s="503">
        <v>1500</v>
      </c>
      <c r="C223" s="1673"/>
      <c r="D223" s="1573">
        <v>4259</v>
      </c>
      <c r="E223" s="1673"/>
      <c r="F223" s="1673"/>
      <c r="G223" s="1673"/>
      <c r="H223" s="1673"/>
      <c r="I223" s="1673"/>
      <c r="J223" s="1673"/>
      <c r="K223" s="1672">
        <f t="shared" si="19"/>
        <v>4259</v>
      </c>
      <c r="L223" s="1573">
        <v>4567</v>
      </c>
    </row>
    <row r="224" spans="1:14" x14ac:dyDescent="0.2">
      <c r="A224" s="1274" t="s">
        <v>958</v>
      </c>
      <c r="B224" s="503">
        <v>1600</v>
      </c>
      <c r="C224" s="1673"/>
      <c r="D224" s="1573">
        <v>107</v>
      </c>
      <c r="E224" s="1673"/>
      <c r="F224" s="1673"/>
      <c r="G224" s="1673"/>
      <c r="H224" s="1673"/>
      <c r="I224" s="1673"/>
      <c r="J224" s="1673"/>
      <c r="K224" s="1672">
        <f t="shared" si="19"/>
        <v>107</v>
      </c>
      <c r="L224" s="1573">
        <v>47</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c r="E226" s="1673"/>
      <c r="F226" s="1673"/>
      <c r="G226" s="1673"/>
      <c r="H226" s="1673"/>
      <c r="I226" s="1673"/>
      <c r="J226" s="1673"/>
      <c r="K226" s="1672">
        <f t="shared" si="19"/>
        <v>0</v>
      </c>
      <c r="L226" s="1573">
        <v>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65672</v>
      </c>
      <c r="E229" s="1673"/>
      <c r="F229" s="1673"/>
      <c r="G229" s="1673"/>
      <c r="H229" s="1673"/>
      <c r="I229" s="1673"/>
      <c r="J229" s="1673"/>
      <c r="K229" s="1674">
        <f>SUM(K215:K228)</f>
        <v>65672</v>
      </c>
      <c r="L229" s="1674">
        <f>SUM(L215:L228)</f>
        <v>70302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v>0</v>
      </c>
    </row>
    <row r="233" spans="1:12" x14ac:dyDescent="0.2">
      <c r="A233" s="1274" t="s">
        <v>1081</v>
      </c>
      <c r="B233" s="503">
        <v>2120</v>
      </c>
      <c r="C233" s="1673"/>
      <c r="D233" s="1573">
        <v>5048</v>
      </c>
      <c r="E233" s="1673"/>
      <c r="F233" s="1673"/>
      <c r="G233" s="1673"/>
      <c r="H233" s="1673"/>
      <c r="I233" s="1673"/>
      <c r="J233" s="1673"/>
      <c r="K233" s="1672">
        <f t="shared" si="20"/>
        <v>5048</v>
      </c>
      <c r="L233" s="1573">
        <v>4825</v>
      </c>
    </row>
    <row r="234" spans="1:12" x14ac:dyDescent="0.2">
      <c r="A234" s="1274" t="s">
        <v>196</v>
      </c>
      <c r="B234" s="503">
        <v>2130</v>
      </c>
      <c r="C234" s="1673"/>
      <c r="D234" s="1573">
        <v>5621</v>
      </c>
      <c r="E234" s="1673"/>
      <c r="F234" s="1673"/>
      <c r="G234" s="1673"/>
      <c r="H234" s="1673"/>
      <c r="I234" s="1673"/>
      <c r="J234" s="1673"/>
      <c r="K234" s="1672">
        <f t="shared" si="20"/>
        <v>5621</v>
      </c>
      <c r="L234" s="1573">
        <v>6405</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c r="E236" s="1673"/>
      <c r="F236" s="1673"/>
      <c r="G236" s="1673"/>
      <c r="H236" s="1673"/>
      <c r="I236" s="1673"/>
      <c r="J236" s="1673"/>
      <c r="K236" s="1672">
        <f t="shared" si="20"/>
        <v>0</v>
      </c>
      <c r="L236" s="1573">
        <v>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10669</v>
      </c>
      <c r="E238" s="1673"/>
      <c r="F238" s="1673"/>
      <c r="G238" s="1673"/>
      <c r="H238" s="1673"/>
      <c r="I238" s="1673"/>
      <c r="J238" s="1673"/>
      <c r="K238" s="1674">
        <f>SUM(K232:K237)</f>
        <v>10669</v>
      </c>
      <c r="L238" s="1674">
        <f>SUM(L232:L237)</f>
        <v>11230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10</v>
      </c>
      <c r="E240" s="1673"/>
      <c r="F240" s="1673"/>
      <c r="G240" s="1673"/>
      <c r="H240" s="1673"/>
      <c r="I240" s="1673"/>
      <c r="J240" s="1673"/>
      <c r="K240" s="1678">
        <f>D240</f>
        <v>10</v>
      </c>
      <c r="L240" s="1586">
        <v>95</v>
      </c>
    </row>
    <row r="241" spans="1:12" x14ac:dyDescent="0.2">
      <c r="A241" s="1274" t="s">
        <v>810</v>
      </c>
      <c r="B241" s="503">
        <v>2220</v>
      </c>
      <c r="C241" s="1673"/>
      <c r="D241" s="1573">
        <v>6361</v>
      </c>
      <c r="E241" s="1673"/>
      <c r="F241" s="1673"/>
      <c r="G241" s="1673"/>
      <c r="H241" s="1673"/>
      <c r="I241" s="1673"/>
      <c r="J241" s="1673"/>
      <c r="K241" s="1678">
        <f>D241</f>
        <v>6361</v>
      </c>
      <c r="L241" s="1573">
        <v>6563</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6371</v>
      </c>
      <c r="E243" s="1673"/>
      <c r="F243" s="1673"/>
      <c r="G243" s="1673"/>
      <c r="H243" s="1673"/>
      <c r="I243" s="1673"/>
      <c r="J243" s="1673"/>
      <c r="K243" s="1674">
        <f>SUM(K240:K242)</f>
        <v>6371</v>
      </c>
      <c r="L243" s="1674">
        <f>SUM(L240:L242)</f>
        <v>6658</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0</v>
      </c>
    </row>
    <row r="246" spans="1:12" x14ac:dyDescent="0.2">
      <c r="A246" s="1274" t="s">
        <v>813</v>
      </c>
      <c r="B246" s="503">
        <v>2320</v>
      </c>
      <c r="C246" s="1673"/>
      <c r="D246" s="1573">
        <v>1755</v>
      </c>
      <c r="E246" s="1673"/>
      <c r="F246" s="1673"/>
      <c r="G246" s="1673"/>
      <c r="H246" s="1673"/>
      <c r="I246" s="1673"/>
      <c r="J246" s="1673"/>
      <c r="K246" s="1678">
        <f t="shared" ref="K246:K256" si="21">D246</f>
        <v>1755</v>
      </c>
      <c r="L246" s="1573">
        <v>1755</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1781</v>
      </c>
      <c r="B249" s="557" t="s">
        <v>280</v>
      </c>
      <c r="C249" s="1673"/>
      <c r="D249" s="1579"/>
      <c r="E249" s="1673"/>
      <c r="F249" s="1673"/>
      <c r="G249" s="1673"/>
      <c r="H249" s="1673"/>
      <c r="I249" s="1673"/>
      <c r="J249" s="1673"/>
      <c r="K249" s="1678">
        <f t="shared" si="21"/>
        <v>0</v>
      </c>
      <c r="L249" s="1573">
        <v>0</v>
      </c>
    </row>
    <row r="250" spans="1:12" x14ac:dyDescent="0.2">
      <c r="A250" s="1275" t="s">
        <v>1782</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1755</v>
      </c>
      <c r="E257" s="1673"/>
      <c r="F257" s="1673"/>
      <c r="G257" s="1673"/>
      <c r="H257" s="1673"/>
      <c r="I257" s="1673"/>
      <c r="J257" s="1673"/>
      <c r="K257" s="1674">
        <f>SUM(K245:K256)</f>
        <v>1755</v>
      </c>
      <c r="L257" s="1674">
        <f>SUM(L245:L256)</f>
        <v>1755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1473</v>
      </c>
      <c r="E259" s="1673"/>
      <c r="F259" s="1673"/>
      <c r="G259" s="1673"/>
      <c r="H259" s="1673"/>
      <c r="I259" s="1673"/>
      <c r="J259" s="1673"/>
      <c r="K259" s="1678">
        <f>D259</f>
        <v>1473</v>
      </c>
      <c r="L259" s="1586">
        <v>1515</v>
      </c>
    </row>
    <row r="260" spans="1:14" s="493" customFormat="1" x14ac:dyDescent="0.2">
      <c r="A260" s="1292" t="s">
        <v>1780</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1473</v>
      </c>
      <c r="E261" s="1673"/>
      <c r="F261" s="1673"/>
      <c r="G261" s="1673"/>
      <c r="H261" s="1673"/>
      <c r="I261" s="1673"/>
      <c r="J261" s="1673"/>
      <c r="K261" s="1674">
        <f>SUM(K259:K260)</f>
        <v>1473</v>
      </c>
      <c r="L261" s="1674">
        <f>SUM(L259:L260)</f>
        <v>1515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7961</v>
      </c>
      <c r="E264" s="1673"/>
      <c r="F264" s="1673"/>
      <c r="G264" s="1673"/>
      <c r="H264" s="1673"/>
      <c r="I264" s="1673"/>
      <c r="J264" s="1673"/>
      <c r="K264" s="1678">
        <f t="shared" ref="K264:K269" si="22">D264</f>
        <v>7961</v>
      </c>
      <c r="L264" s="1573">
        <v>8056</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30561</v>
      </c>
      <c r="E266" s="1673"/>
      <c r="F266" s="1673"/>
      <c r="G266" s="1673"/>
      <c r="H266" s="1673"/>
      <c r="I266" s="1673"/>
      <c r="J266" s="1673"/>
      <c r="K266" s="1678">
        <f t="shared" si="22"/>
        <v>30561</v>
      </c>
      <c r="L266" s="1573">
        <v>30945</v>
      </c>
    </row>
    <row r="267" spans="1:14" x14ac:dyDescent="0.2">
      <c r="A267" s="1274" t="s">
        <v>947</v>
      </c>
      <c r="B267" s="503">
        <v>2550</v>
      </c>
      <c r="C267" s="1673"/>
      <c r="D267" s="1573"/>
      <c r="E267" s="1673"/>
      <c r="F267" s="1673"/>
      <c r="G267" s="1673"/>
      <c r="H267" s="1673"/>
      <c r="I267" s="1673"/>
      <c r="J267" s="1673"/>
      <c r="K267" s="1678">
        <f t="shared" si="22"/>
        <v>0</v>
      </c>
      <c r="L267" s="1573">
        <v>0</v>
      </c>
    </row>
    <row r="268" spans="1:14" x14ac:dyDescent="0.2">
      <c r="A268" s="1274" t="s">
        <v>100</v>
      </c>
      <c r="B268" s="503">
        <v>2560</v>
      </c>
      <c r="C268" s="1673"/>
      <c r="D268" s="1573">
        <v>2633</v>
      </c>
      <c r="E268" s="1673"/>
      <c r="F268" s="1673"/>
      <c r="G268" s="1673"/>
      <c r="H268" s="1673"/>
      <c r="I268" s="1673"/>
      <c r="J268" s="1673"/>
      <c r="K268" s="1678">
        <f t="shared" si="22"/>
        <v>2633</v>
      </c>
      <c r="L268" s="1573">
        <v>2615</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41155</v>
      </c>
      <c r="E270" s="1673"/>
      <c r="F270" s="1673"/>
      <c r="G270" s="1673"/>
      <c r="H270" s="1673"/>
      <c r="I270" s="1673"/>
      <c r="J270" s="1673"/>
      <c r="K270" s="1674">
        <f>SUM(K263:K269)</f>
        <v>41155</v>
      </c>
      <c r="L270" s="1674">
        <f>SUM(L263:L269)</f>
        <v>41616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61423</v>
      </c>
      <c r="E279" s="1673"/>
      <c r="F279" s="1673"/>
      <c r="G279" s="1673"/>
      <c r="H279" s="1673"/>
      <c r="I279" s="1673"/>
      <c r="J279" s="1673"/>
      <c r="K279" s="1681">
        <f>SUM(K238,K243,K257,K261,K270,K277,K278)</f>
        <v>61423</v>
      </c>
      <c r="L279" s="1681">
        <f>SUM(L238,L243,L257,L261,L270,L277,L278)</f>
        <v>62774</v>
      </c>
    </row>
    <row r="280" spans="1:12" ht="15.75" customHeight="1" thickTop="1" thickBot="1" x14ac:dyDescent="0.25">
      <c r="A280" s="1362" t="s">
        <v>870</v>
      </c>
      <c r="B280" s="1351">
        <v>3000</v>
      </c>
      <c r="C280" s="1673"/>
      <c r="D280" s="1651">
        <v>4258</v>
      </c>
      <c r="E280" s="1673"/>
      <c r="F280" s="1673"/>
      <c r="G280" s="1673"/>
      <c r="H280" s="1673"/>
      <c r="I280" s="1673"/>
      <c r="J280" s="1673"/>
      <c r="K280" s="1687">
        <f>D280</f>
        <v>4258</v>
      </c>
      <c r="L280" s="1651">
        <v>4335</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1815</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8" t="s">
        <v>502</v>
      </c>
      <c r="B295" s="2279"/>
      <c r="C295" s="1673"/>
      <c r="D295" s="1674">
        <f>SUM(D229,D279,D280,D285)</f>
        <v>131353</v>
      </c>
      <c r="E295" s="1673"/>
      <c r="F295" s="1673"/>
      <c r="G295" s="1673"/>
      <c r="H295" s="1674">
        <f>H293</f>
        <v>0</v>
      </c>
      <c r="I295" s="1673"/>
      <c r="J295" s="1673"/>
      <c r="K295" s="1674">
        <f>SUM(K229,K279,K280,K285,K293,K294)</f>
        <v>131353</v>
      </c>
      <c r="L295" s="1674">
        <f>SUM(L229,L279,L280,L285,L293,L294)</f>
        <v>137411</v>
      </c>
    </row>
    <row r="296" spans="1:14" ht="13.5" thickTop="1" x14ac:dyDescent="0.2">
      <c r="A296" s="2260" t="s">
        <v>989</v>
      </c>
      <c r="B296" s="2261"/>
      <c r="C296" s="1673"/>
      <c r="D296" s="1675"/>
      <c r="E296" s="1673"/>
      <c r="F296" s="1673"/>
      <c r="G296" s="1673"/>
      <c r="H296" s="1707"/>
      <c r="I296" s="1673"/>
      <c r="J296" s="1673"/>
      <c r="K296" s="1689">
        <f>'Revenues 9-14'!G268-'Expenditures 15-22'!K295</f>
        <v>-20577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0" t="s">
        <v>142</v>
      </c>
      <c r="B298" s="226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5" t="s">
        <v>275</v>
      </c>
      <c r="B312" s="2276"/>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1" t="s">
        <v>989</v>
      </c>
      <c r="B313" s="2272"/>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4" t="s">
        <v>148</v>
      </c>
      <c r="B315" s="228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6" t="s">
        <v>892</v>
      </c>
      <c r="B317" s="228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1781</v>
      </c>
      <c r="B320" s="568" t="s">
        <v>280</v>
      </c>
      <c r="C320" s="1574"/>
      <c r="D320" s="1574"/>
      <c r="E320" s="1574">
        <v>21252</v>
      </c>
      <c r="F320" s="1574"/>
      <c r="G320" s="1574"/>
      <c r="H320" s="1574"/>
      <c r="I320" s="1574"/>
      <c r="J320" s="1574"/>
      <c r="K320" s="1672">
        <f t="shared" ref="K320:K327" si="24">SUM(C320:J320)</f>
        <v>21252</v>
      </c>
      <c r="L320" s="1574">
        <v>21252</v>
      </c>
      <c r="M320" s="539"/>
      <c r="N320" s="539"/>
    </row>
    <row r="321" spans="1:14" s="548" customFormat="1" x14ac:dyDescent="0.2">
      <c r="A321" s="1289" t="s">
        <v>297</v>
      </c>
      <c r="B321" s="567" t="s">
        <v>281</v>
      </c>
      <c r="C321" s="1574"/>
      <c r="D321" s="1574"/>
      <c r="E321" s="1574">
        <v>5764</v>
      </c>
      <c r="F321" s="1574"/>
      <c r="G321" s="1574"/>
      <c r="H321" s="1574"/>
      <c r="I321" s="1574"/>
      <c r="J321" s="1574"/>
      <c r="K321" s="1672">
        <f t="shared" si="24"/>
        <v>5764</v>
      </c>
      <c r="L321" s="1574">
        <v>6000</v>
      </c>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v>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112115</v>
      </c>
      <c r="D325" s="1574"/>
      <c r="E325" s="1574"/>
      <c r="F325" s="1574"/>
      <c r="G325" s="1574"/>
      <c r="H325" s="1574"/>
      <c r="I325" s="1574"/>
      <c r="J325" s="1574"/>
      <c r="K325" s="1672">
        <f t="shared" si="24"/>
        <v>112115</v>
      </c>
      <c r="L325" s="1574">
        <v>112115</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6450</v>
      </c>
      <c r="F327" s="1574"/>
      <c r="G327" s="1574"/>
      <c r="H327" s="1574"/>
      <c r="I327" s="1574"/>
      <c r="J327" s="1574"/>
      <c r="K327" s="1672">
        <f t="shared" si="24"/>
        <v>6450</v>
      </c>
      <c r="L327" s="1574">
        <v>5000</v>
      </c>
      <c r="M327" s="539"/>
      <c r="N327" s="539"/>
    </row>
    <row r="328" spans="1:14" s="548" customFormat="1" x14ac:dyDescent="0.2">
      <c r="A328" s="1290" t="s">
        <v>469</v>
      </c>
      <c r="B328" s="562" t="s">
        <v>1122</v>
      </c>
      <c r="C328" s="1579"/>
      <c r="D328" s="1579"/>
      <c r="E328" s="1579">
        <v>29208</v>
      </c>
      <c r="F328" s="1579"/>
      <c r="G328" s="1579"/>
      <c r="H328" s="1579"/>
      <c r="I328" s="1579"/>
      <c r="J328" s="1579"/>
      <c r="K328" s="1713">
        <f>SUM(C328:J328)</f>
        <v>29208</v>
      </c>
      <c r="L328" s="1579">
        <v>29208</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112115</v>
      </c>
      <c r="D330" s="1674">
        <f t="shared" ref="D330:J330" si="25">SUM(D319:D329)</f>
        <v>0</v>
      </c>
      <c r="E330" s="1674">
        <f t="shared" si="25"/>
        <v>62674</v>
      </c>
      <c r="F330" s="1674">
        <f t="shared" si="25"/>
        <v>0</v>
      </c>
      <c r="G330" s="1674">
        <f t="shared" si="25"/>
        <v>0</v>
      </c>
      <c r="H330" s="1674">
        <f t="shared" si="25"/>
        <v>0</v>
      </c>
      <c r="I330" s="1674">
        <f t="shared" si="25"/>
        <v>0</v>
      </c>
      <c r="J330" s="1674">
        <f t="shared" si="25"/>
        <v>0</v>
      </c>
      <c r="K330" s="1674">
        <f>SUM(K319:K329)</f>
        <v>174789</v>
      </c>
      <c r="L330" s="1674">
        <f>SUM(L319:L329)</f>
        <v>173575</v>
      </c>
      <c r="M330" s="539"/>
      <c r="N330" s="539"/>
    </row>
    <row r="331" spans="1:14" s="548" customFormat="1" ht="12.75" customHeight="1" thickTop="1" x14ac:dyDescent="0.2">
      <c r="A331" s="1467" t="s">
        <v>1821</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1815</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1817</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1822</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112115</v>
      </c>
      <c r="D342" s="1674">
        <f>SUM(D330)</f>
        <v>0</v>
      </c>
      <c r="E342" s="1674">
        <f>SUM(E330)</f>
        <v>62674</v>
      </c>
      <c r="F342" s="1674">
        <f>SUM(F330)</f>
        <v>0</v>
      </c>
      <c r="G342" s="1674">
        <f>SUM(G330)</f>
        <v>0</v>
      </c>
      <c r="H342" s="1674">
        <f>SUM(H330,H334,H340)</f>
        <v>0</v>
      </c>
      <c r="I342" s="1674">
        <f>SUM(I330)</f>
        <v>0</v>
      </c>
      <c r="J342" s="1674">
        <f>SUM(J330)</f>
        <v>0</v>
      </c>
      <c r="K342" s="1674">
        <f>SUM(K330,K334,K340)</f>
        <v>174789</v>
      </c>
      <c r="L342" s="1681">
        <f>SUM(L330,L334,L340,L341)</f>
        <v>173575</v>
      </c>
    </row>
    <row r="343" spans="1:14" ht="12.75" customHeight="1" thickTop="1" x14ac:dyDescent="0.2">
      <c r="A343" s="2273" t="s">
        <v>989</v>
      </c>
      <c r="B343" s="2274"/>
      <c r="C343" s="1673"/>
      <c r="D343" s="1673"/>
      <c r="E343" s="1673"/>
      <c r="F343" s="1673"/>
      <c r="G343" s="1673"/>
      <c r="H343" s="1673"/>
      <c r="I343" s="1673"/>
      <c r="J343" s="1673"/>
      <c r="K343" s="1689">
        <f>'Revenues 9-14'!J268-'Expenditures 15-22'!K342</f>
        <v>11316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3" t="s">
        <v>960</v>
      </c>
      <c r="B345" s="226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28885</v>
      </c>
      <c r="F348" s="1573"/>
      <c r="G348" s="1573">
        <v>1755</v>
      </c>
      <c r="H348" s="1573"/>
      <c r="I348" s="1574"/>
      <c r="J348" s="1574"/>
      <c r="K348" s="1672">
        <f>SUM(C348:J348)</f>
        <v>30640</v>
      </c>
      <c r="L348" s="1573">
        <v>48000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28885</v>
      </c>
      <c r="F350" s="1674">
        <f t="shared" si="26"/>
        <v>0</v>
      </c>
      <c r="G350" s="1674">
        <f t="shared" si="26"/>
        <v>1755</v>
      </c>
      <c r="H350" s="1674">
        <f t="shared" si="26"/>
        <v>0</v>
      </c>
      <c r="I350" s="1674">
        <f t="shared" si="26"/>
        <v>0</v>
      </c>
      <c r="J350" s="1674">
        <f t="shared" si="26"/>
        <v>0</v>
      </c>
      <c r="K350" s="1674">
        <f t="shared" si="26"/>
        <v>30640</v>
      </c>
      <c r="L350" s="1674">
        <f t="shared" si="26"/>
        <v>48000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28885</v>
      </c>
      <c r="F352" s="1674">
        <f t="shared" si="27"/>
        <v>0</v>
      </c>
      <c r="G352" s="1674">
        <f t="shared" si="27"/>
        <v>1755</v>
      </c>
      <c r="H352" s="1674">
        <f t="shared" si="27"/>
        <v>0</v>
      </c>
      <c r="I352" s="1674">
        <f t="shared" si="27"/>
        <v>0</v>
      </c>
      <c r="J352" s="1674">
        <f t="shared" si="27"/>
        <v>0</v>
      </c>
      <c r="K352" s="1674">
        <f t="shared" si="27"/>
        <v>30640</v>
      </c>
      <c r="L352" s="1674">
        <f t="shared" si="27"/>
        <v>48000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v>0</v>
      </c>
    </row>
    <row r="355" spans="1:14" ht="12.75" customHeight="1" x14ac:dyDescent="0.2">
      <c r="A355" s="1283" t="s">
        <v>1824</v>
      </c>
      <c r="B355" s="562" t="s">
        <v>1817</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28885</v>
      </c>
      <c r="F367" s="1674">
        <f t="shared" si="28"/>
        <v>0</v>
      </c>
      <c r="G367" s="1674">
        <f t="shared" si="28"/>
        <v>1755</v>
      </c>
      <c r="H367" s="1674">
        <f t="shared" si="28"/>
        <v>0</v>
      </c>
      <c r="I367" s="1674">
        <f t="shared" si="28"/>
        <v>0</v>
      </c>
      <c r="J367" s="1674">
        <f t="shared" si="28"/>
        <v>0</v>
      </c>
      <c r="K367" s="1674">
        <f t="shared" si="28"/>
        <v>30640</v>
      </c>
      <c r="L367" s="1674">
        <f t="shared" si="28"/>
        <v>48000</v>
      </c>
    </row>
    <row r="368" spans="1:14" ht="13.5" thickTop="1" x14ac:dyDescent="0.2">
      <c r="A368" s="2260" t="s">
        <v>989</v>
      </c>
      <c r="B368" s="2261"/>
      <c r="C368" s="1694"/>
      <c r="D368" s="1694"/>
      <c r="E368" s="1677"/>
      <c r="F368" s="1677"/>
      <c r="G368" s="1677"/>
      <c r="H368" s="1677"/>
      <c r="I368" s="1677"/>
      <c r="J368" s="1676"/>
      <c r="K368" s="1672">
        <f>'Revenues 9-14'!K268-'Expenditures 15-22'!K367</f>
        <v>25525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 xml:space="preserve">&amp;L&amp;8Print Date: &amp;D
&amp;F&amp;CThe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J61" sqref="J6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7"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8"/>
      <c r="B3" s="1294"/>
      <c r="C3" s="1295"/>
      <c r="D3" s="1296" t="s">
        <v>254</v>
      </c>
      <c r="E3" s="1295"/>
      <c r="F3" s="1296" t="s">
        <v>255</v>
      </c>
    </row>
    <row r="4" spans="1:8" ht="13.7" customHeight="1" x14ac:dyDescent="0.2">
      <c r="A4" s="579" t="s">
        <v>1145</v>
      </c>
      <c r="B4" s="1721">
        <f>'Revenues 9-14'!C5</f>
        <v>2561050</v>
      </c>
      <c r="C4" s="1722"/>
      <c r="D4" s="1723">
        <f>B4-C4</f>
        <v>2561050</v>
      </c>
      <c r="E4" s="1722">
        <v>2810289</v>
      </c>
      <c r="F4" s="1723">
        <f>E4-C4</f>
        <v>2810289</v>
      </c>
    </row>
    <row r="5" spans="1:8" ht="13.7" customHeight="1" x14ac:dyDescent="0.2">
      <c r="A5" s="579" t="s">
        <v>865</v>
      </c>
      <c r="B5" s="1724">
        <f>'Revenues 9-14'!D5</f>
        <v>340920</v>
      </c>
      <c r="C5" s="1664"/>
      <c r="D5" s="1725">
        <f t="shared" ref="D5:D18" si="0">B5-C5</f>
        <v>340920</v>
      </c>
      <c r="E5" s="1664">
        <v>355000</v>
      </c>
      <c r="F5" s="1725">
        <f>E5-C5</f>
        <v>355000</v>
      </c>
    </row>
    <row r="6" spans="1:8" ht="13.7" customHeight="1" x14ac:dyDescent="0.2">
      <c r="A6" s="579" t="s">
        <v>408</v>
      </c>
      <c r="B6" s="1724">
        <f>'Revenues 9-14'!E5</f>
        <v>309102</v>
      </c>
      <c r="C6" s="1664"/>
      <c r="D6" s="1725">
        <f t="shared" si="0"/>
        <v>309102</v>
      </c>
      <c r="E6" s="1664">
        <v>343382</v>
      </c>
      <c r="F6" s="1725">
        <f t="shared" ref="F6:F18" si="1">E6-C6</f>
        <v>343382</v>
      </c>
    </row>
    <row r="7" spans="1:8" ht="13.7" customHeight="1" x14ac:dyDescent="0.2">
      <c r="A7" s="579" t="s">
        <v>154</v>
      </c>
      <c r="B7" s="1724">
        <f>'Revenues 9-14'!F5</f>
        <v>229282</v>
      </c>
      <c r="C7" s="1664"/>
      <c r="D7" s="1725">
        <f t="shared" si="0"/>
        <v>229282</v>
      </c>
      <c r="E7" s="1664">
        <v>240000</v>
      </c>
      <c r="F7" s="1725">
        <f t="shared" si="1"/>
        <v>240000</v>
      </c>
    </row>
    <row r="8" spans="1:8" ht="13.7" customHeight="1" x14ac:dyDescent="0.2">
      <c r="A8" s="579" t="s">
        <v>1169</v>
      </c>
      <c r="B8" s="1724">
        <f>'Revenues 9-14'!G5</f>
        <v>54834</v>
      </c>
      <c r="C8" s="1664"/>
      <c r="D8" s="1725">
        <f t="shared" si="0"/>
        <v>54834</v>
      </c>
      <c r="E8" s="1664">
        <v>70000</v>
      </c>
      <c r="F8" s="1725">
        <f t="shared" si="1"/>
        <v>70000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49842</v>
      </c>
      <c r="C10" s="1664"/>
      <c r="D10" s="1725">
        <f t="shared" si="0"/>
        <v>49842</v>
      </c>
      <c r="E10" s="1664">
        <v>50000</v>
      </c>
      <c r="F10" s="1725">
        <f t="shared" si="1"/>
        <v>50000</v>
      </c>
    </row>
    <row r="11" spans="1:8" x14ac:dyDescent="0.2">
      <c r="A11" s="579" t="s">
        <v>406</v>
      </c>
      <c r="B11" s="1724">
        <f>'Revenues 9-14'!J5</f>
        <v>179440</v>
      </c>
      <c r="C11" s="1664"/>
      <c r="D11" s="1725">
        <f t="shared" si="0"/>
        <v>179440</v>
      </c>
      <c r="E11" s="1664">
        <v>185000</v>
      </c>
      <c r="F11" s="1725">
        <f t="shared" si="1"/>
        <v>185000</v>
      </c>
    </row>
    <row r="12" spans="1:8" ht="13.7" customHeight="1" x14ac:dyDescent="0.2">
      <c r="A12" s="579" t="s">
        <v>156</v>
      </c>
      <c r="B12" s="1724">
        <f>'Revenues 9-14'!K5</f>
        <v>54833</v>
      </c>
      <c r="C12" s="1664"/>
      <c r="D12" s="1725">
        <f t="shared" si="0"/>
        <v>54833</v>
      </c>
      <c r="E12" s="1664">
        <v>55000</v>
      </c>
      <c r="F12" s="1725">
        <f t="shared" si="1"/>
        <v>55000</v>
      </c>
    </row>
    <row r="13" spans="1:8" ht="13.7" customHeight="1" x14ac:dyDescent="0.2">
      <c r="A13" s="579" t="s">
        <v>930</v>
      </c>
      <c r="B13" s="1724">
        <f>SUM('Revenues 9-14'!C6:D6)</f>
        <v>15962</v>
      </c>
      <c r="C13" s="1664"/>
      <c r="D13" s="1725">
        <f t="shared" si="0"/>
        <v>15962</v>
      </c>
      <c r="E13" s="1664">
        <v>16000</v>
      </c>
      <c r="F13" s="1725">
        <f t="shared" si="1"/>
        <v>16000</v>
      </c>
    </row>
    <row r="14" spans="1:8" ht="13.7" customHeight="1" x14ac:dyDescent="0.2">
      <c r="A14" s="579" t="s">
        <v>407</v>
      </c>
      <c r="B14" s="1724">
        <f>SUM('Revenues 9-14'!C7:D7,'Revenues 9-14'!F7:H7)</f>
        <v>21944</v>
      </c>
      <c r="C14" s="1664"/>
      <c r="D14" s="1725">
        <f t="shared" si="0"/>
        <v>21944</v>
      </c>
      <c r="E14" s="1664">
        <v>22000</v>
      </c>
      <c r="F14" s="1725">
        <f t="shared" si="1"/>
        <v>22000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54833</v>
      </c>
      <c r="C16" s="1664"/>
      <c r="D16" s="1725">
        <f t="shared" si="0"/>
        <v>54833</v>
      </c>
      <c r="E16" s="1664">
        <v>70000</v>
      </c>
      <c r="F16" s="1725">
        <f t="shared" si="1"/>
        <v>70000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3872042</v>
      </c>
      <c r="C19" s="1726">
        <f>SUM(C4:C18)</f>
        <v>0</v>
      </c>
      <c r="D19" s="1726">
        <f>SUM(D4:D18)</f>
        <v>3872042</v>
      </c>
      <c r="E19" s="1726">
        <f>SUM(E4:E18)</f>
        <v>4216671</v>
      </c>
      <c r="F19" s="1726">
        <f>SUM(F4:F18)</f>
        <v>4216671</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J61" sqref="J6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1778</v>
      </c>
      <c r="B2" s="231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6"/>
      <c r="D4" s="1656"/>
      <c r="E4" s="1656"/>
      <c r="F4" s="1732">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0" t="s">
        <v>627</v>
      </c>
      <c r="B15" s="2301"/>
      <c r="C15" s="1732">
        <f>SUM(C6:C14)</f>
        <v>0</v>
      </c>
      <c r="D15" s="1732">
        <f>SUM(D6:D14)</f>
        <v>0</v>
      </c>
      <c r="E15" s="1732">
        <f>SUM(E6:E14)</f>
        <v>0</v>
      </c>
      <c r="F15" s="1732">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3"/>
      <c r="D17" s="1664"/>
      <c r="E17" s="1733"/>
      <c r="F17" s="1732">
        <f>SUM(C17+D17)-E17</f>
        <v>0</v>
      </c>
    </row>
    <row r="18" spans="1:11" ht="12.75" customHeight="1" thickTop="1" thickBot="1" x14ac:dyDescent="0.25">
      <c r="A18" s="2295" t="s">
        <v>6</v>
      </c>
      <c r="B18" s="2296"/>
      <c r="C18" s="1733"/>
      <c r="D18" s="1664"/>
      <c r="E18" s="1733"/>
      <c r="F18" s="1732">
        <f>SUM(C18+D18)-E18</f>
        <v>0</v>
      </c>
    </row>
    <row r="19" spans="1:11" ht="12.75" customHeight="1" thickTop="1" thickBot="1" x14ac:dyDescent="0.25">
      <c r="A19" s="2295" t="s">
        <v>385</v>
      </c>
      <c r="B19" s="2296"/>
      <c r="C19" s="1733"/>
      <c r="D19" s="1664"/>
      <c r="E19" s="1733"/>
      <c r="F19" s="1732">
        <f>SUM(C19+D19)-E19</f>
        <v>0</v>
      </c>
    </row>
    <row r="20" spans="1:11" ht="12.75" customHeight="1" thickTop="1" thickBot="1" x14ac:dyDescent="0.25">
      <c r="A20" s="2295" t="s">
        <v>445</v>
      </c>
      <c r="B20" s="2296"/>
      <c r="C20" s="1733"/>
      <c r="D20" s="1664"/>
      <c r="E20" s="1733"/>
      <c r="F20" s="1732">
        <f>SUM(C20+D20)-E20</f>
        <v>0</v>
      </c>
    </row>
    <row r="21" spans="1:11" ht="14.25" thickTop="1" thickBot="1" x14ac:dyDescent="0.25">
      <c r="A21" s="2300" t="s">
        <v>628</v>
      </c>
      <c r="B21" s="2301"/>
      <c r="C21" s="1732">
        <f>SUM(C17:C20)</f>
        <v>0</v>
      </c>
      <c r="D21" s="1732">
        <f>SUM(D17:D20)</f>
        <v>0</v>
      </c>
      <c r="E21" s="1732">
        <f>SUM(E17:E20)</f>
        <v>0</v>
      </c>
      <c r="F21" s="1732">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6"/>
      <c r="D23" s="1656"/>
      <c r="E23" s="1656"/>
      <c r="F23" s="1732">
        <f>SUM(C23+D23)-E23</f>
        <v>0</v>
      </c>
      <c r="G23" s="473"/>
    </row>
    <row r="24" spans="1:11" ht="15.75" customHeight="1" thickTop="1" x14ac:dyDescent="0.2">
      <c r="A24" s="2302" t="s">
        <v>2005</v>
      </c>
      <c r="B24" s="2303"/>
      <c r="C24" s="2297"/>
      <c r="D24" s="2298"/>
      <c r="E24" s="2298"/>
      <c r="F24" s="2299"/>
    </row>
    <row r="25" spans="1:11" ht="13.5" thickBot="1" x14ac:dyDescent="0.25">
      <c r="A25" s="2304" t="s">
        <v>2006</v>
      </c>
      <c r="B25" s="2305"/>
      <c r="C25" s="1656"/>
      <c r="D25" s="1656"/>
      <c r="E25" s="1656"/>
      <c r="F25" s="1732">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4"/>
      <c r="D27" s="1664"/>
      <c r="E27" s="1664"/>
      <c r="F27" s="1732">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40970</v>
      </c>
      <c r="C31" s="1734">
        <v>1395000</v>
      </c>
      <c r="D31" s="1735">
        <v>3</v>
      </c>
      <c r="E31" s="1734">
        <v>580000</v>
      </c>
      <c r="F31" s="1734"/>
      <c r="G31" s="1734"/>
      <c r="H31" s="1734">
        <v>180000</v>
      </c>
      <c r="I31" s="1736">
        <f>((E31+F31)-H31)+G31</f>
        <v>400000</v>
      </c>
      <c r="J31" s="1734">
        <v>371646</v>
      </c>
      <c r="K31" s="596"/>
    </row>
    <row r="32" spans="1:11" ht="12" customHeight="1" x14ac:dyDescent="0.2">
      <c r="A32" s="594">
        <v>2016</v>
      </c>
      <c r="B32" s="595">
        <v>42586</v>
      </c>
      <c r="C32" s="1734">
        <v>1432000</v>
      </c>
      <c r="D32" s="1735">
        <v>3</v>
      </c>
      <c r="E32" s="1734">
        <v>1397000</v>
      </c>
      <c r="F32" s="1734"/>
      <c r="G32" s="1734"/>
      <c r="H32" s="1734">
        <v>83000</v>
      </c>
      <c r="I32" s="1736">
        <f>((E32+F32)-H32)+G32</f>
        <v>1314000</v>
      </c>
      <c r="J32" s="1734">
        <v>1314000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2827000</v>
      </c>
      <c r="D49" s="1742"/>
      <c r="E49" s="1736">
        <f t="shared" ref="E49:J49" si="2">SUM(E31:E48)</f>
        <v>1977000</v>
      </c>
      <c r="F49" s="1736">
        <f t="shared" si="2"/>
        <v>0</v>
      </c>
      <c r="G49" s="1736">
        <f t="shared" si="2"/>
        <v>0</v>
      </c>
      <c r="H49" s="1736">
        <f t="shared" si="2"/>
        <v>263000</v>
      </c>
      <c r="I49" s="1736">
        <f t="shared" si="2"/>
        <v>1714000</v>
      </c>
      <c r="J49" s="1736">
        <f t="shared" si="2"/>
        <v>1685646</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110" zoomScaleNormal="110" workbookViewId="0">
      <selection activeCell="J61" sqref="J6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8"/>
      <c r="I1" s="614"/>
      <c r="J1" s="400"/>
    </row>
    <row r="2" spans="1:11" ht="26.25" x14ac:dyDescent="0.2">
      <c r="A2" s="2337" t="s">
        <v>1658</v>
      </c>
      <c r="B2" s="2338"/>
      <c r="C2" s="2338"/>
      <c r="D2" s="2338"/>
      <c r="E2" s="2339"/>
      <c r="F2" s="615" t="s">
        <v>898</v>
      </c>
      <c r="G2" s="616" t="s">
        <v>1655</v>
      </c>
      <c r="H2" s="616" t="s">
        <v>407</v>
      </c>
      <c r="I2" s="616" t="s">
        <v>1148</v>
      </c>
      <c r="J2" s="616" t="s">
        <v>1788</v>
      </c>
      <c r="K2" s="616" t="s">
        <v>137</v>
      </c>
    </row>
    <row r="3" spans="1:11" x14ac:dyDescent="0.2">
      <c r="A3" s="2340" t="str">
        <f>"Cash Basis Fund Balance as of July 1, "&amp;'AFR20'!E2-1</f>
        <v>Cash Basis Fund Balance as of July 1, 2019</v>
      </c>
      <c r="B3" s="2341"/>
      <c r="C3" s="2341"/>
      <c r="D3" s="2341"/>
      <c r="E3" s="2342"/>
      <c r="F3" s="617"/>
      <c r="G3" s="1744"/>
      <c r="H3" s="1744"/>
      <c r="I3" s="1744"/>
      <c r="J3" s="1745"/>
      <c r="K3" s="1745"/>
    </row>
    <row r="4" spans="1:11" x14ac:dyDescent="0.2">
      <c r="A4" s="2343" t="s">
        <v>366</v>
      </c>
      <c r="B4" s="2344"/>
      <c r="C4" s="2344"/>
      <c r="D4" s="2344"/>
      <c r="E4" s="2290"/>
      <c r="F4" s="620"/>
      <c r="G4" s="1746"/>
      <c r="H4" s="1747"/>
      <c r="I4" s="1746"/>
      <c r="J4" s="1748"/>
      <c r="K4" s="1748"/>
    </row>
    <row r="5" spans="1:11" x14ac:dyDescent="0.2">
      <c r="A5" s="2321" t="s">
        <v>1060</v>
      </c>
      <c r="B5" s="2322"/>
      <c r="C5" s="2322"/>
      <c r="D5" s="2322"/>
      <c r="E5" s="2323"/>
      <c r="F5" s="622" t="s">
        <v>843</v>
      </c>
      <c r="G5" s="1749"/>
      <c r="H5" s="1744">
        <v>21953</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1" t="s">
        <v>1789</v>
      </c>
      <c r="B10" s="2322"/>
      <c r="C10" s="2322"/>
      <c r="D10" s="2322"/>
      <c r="E10" s="2324"/>
      <c r="F10" s="633" t="s">
        <v>857</v>
      </c>
      <c r="G10" s="1753"/>
      <c r="H10" s="1754"/>
      <c r="I10" s="1744"/>
      <c r="J10" s="1745"/>
      <c r="K10" s="1745"/>
    </row>
    <row r="11" spans="1:11" x14ac:dyDescent="0.2">
      <c r="A11" s="2321" t="s">
        <v>159</v>
      </c>
      <c r="B11" s="2322"/>
      <c r="C11" s="2322"/>
      <c r="D11" s="2322"/>
      <c r="E11" s="2323"/>
      <c r="F11" s="622" t="s">
        <v>847</v>
      </c>
      <c r="G11" s="1749"/>
      <c r="H11" s="1744"/>
      <c r="I11" s="1744"/>
      <c r="J11" s="1745"/>
      <c r="K11" s="1751"/>
    </row>
    <row r="12" spans="1:11" ht="13.5" thickBot="1" x14ac:dyDescent="0.25">
      <c r="A12" s="2348" t="s">
        <v>899</v>
      </c>
      <c r="B12" s="2349"/>
      <c r="C12" s="2349"/>
      <c r="D12" s="2349"/>
      <c r="E12" s="2350"/>
      <c r="F12" s="1433"/>
      <c r="G12" s="1755">
        <f>SUM(G5:G11)</f>
        <v>0</v>
      </c>
      <c r="H12" s="1755">
        <f>SUM(H5:H11)</f>
        <v>21953</v>
      </c>
      <c r="I12" s="1755">
        <f>SUM(I5:I11)</f>
        <v>0</v>
      </c>
      <c r="J12" s="1755">
        <f>SUM(J5:J11)</f>
        <v>0</v>
      </c>
      <c r="K12" s="1755">
        <f>SUM(K5:K11)</f>
        <v>0</v>
      </c>
    </row>
    <row r="13" spans="1:11" ht="13.5" thickTop="1" x14ac:dyDescent="0.2">
      <c r="A13" s="2345" t="s">
        <v>367</v>
      </c>
      <c r="B13" s="2346"/>
      <c r="C13" s="2346"/>
      <c r="D13" s="2346"/>
      <c r="E13" s="2347"/>
      <c r="F13" s="634"/>
      <c r="G13" s="1756"/>
      <c r="H13" s="1757"/>
      <c r="I13" s="1758"/>
      <c r="J13" s="1758"/>
      <c r="K13" s="1758"/>
    </row>
    <row r="14" spans="1:11" x14ac:dyDescent="0.2">
      <c r="A14" s="2328" t="s">
        <v>453</v>
      </c>
      <c r="B14" s="2328"/>
      <c r="C14" s="2328"/>
      <c r="D14" s="2328"/>
      <c r="E14" s="2329"/>
      <c r="F14" s="635" t="s">
        <v>849</v>
      </c>
      <c r="G14" s="1753"/>
      <c r="H14" s="1744">
        <v>21953</v>
      </c>
      <c r="I14" s="1749"/>
      <c r="J14" s="1751"/>
      <c r="K14" s="1745"/>
    </row>
    <row r="15" spans="1:11" x14ac:dyDescent="0.2">
      <c r="A15" s="2322" t="s">
        <v>4</v>
      </c>
      <c r="B15" s="2322"/>
      <c r="C15" s="2322"/>
      <c r="D15" s="2322"/>
      <c r="E15" s="2323"/>
      <c r="F15" s="635" t="s">
        <v>850</v>
      </c>
      <c r="G15" s="1749"/>
      <c r="H15" s="1744"/>
      <c r="I15" s="1744"/>
      <c r="J15" s="1745"/>
      <c r="K15" s="1745"/>
    </row>
    <row r="16" spans="1:11" x14ac:dyDescent="0.2">
      <c r="A16" s="2322" t="s">
        <v>295</v>
      </c>
      <c r="B16" s="2322"/>
      <c r="C16" s="2322"/>
      <c r="D16" s="2322"/>
      <c r="E16" s="2323"/>
      <c r="F16" s="635" t="s">
        <v>917</v>
      </c>
      <c r="G16" s="1750"/>
      <c r="H16" s="1746"/>
      <c r="I16" s="1746"/>
      <c r="J16" s="1748"/>
      <c r="K16" s="1748"/>
    </row>
    <row r="17" spans="1:15" x14ac:dyDescent="0.2">
      <c r="A17" s="2355" t="s">
        <v>929</v>
      </c>
      <c r="B17" s="2355"/>
      <c r="C17" s="2355"/>
      <c r="D17" s="2355"/>
      <c r="E17" s="2356"/>
      <c r="F17" s="636"/>
      <c r="G17" s="1759"/>
      <c r="H17" s="1760"/>
      <c r="I17" s="1760"/>
      <c r="J17" s="1761"/>
      <c r="K17" s="1762"/>
    </row>
    <row r="18" spans="1:15" x14ac:dyDescent="0.2">
      <c r="A18" s="2332" t="s">
        <v>365</v>
      </c>
      <c r="B18" s="2333"/>
      <c r="C18" s="2333"/>
      <c r="D18" s="2333"/>
      <c r="E18" s="2334"/>
      <c r="F18" s="635" t="s">
        <v>926</v>
      </c>
      <c r="G18" s="1753"/>
      <c r="H18" s="1753"/>
      <c r="I18" s="1753"/>
      <c r="J18" s="1745"/>
      <c r="K18" s="1763"/>
    </row>
    <row r="19" spans="1:15" ht="21.75" customHeight="1" x14ac:dyDescent="0.2">
      <c r="A19" s="2330" t="s">
        <v>1785</v>
      </c>
      <c r="B19" s="2330"/>
      <c r="C19" s="2330"/>
      <c r="D19" s="2330"/>
      <c r="E19" s="2331"/>
      <c r="F19" s="635" t="s">
        <v>927</v>
      </c>
      <c r="G19" s="1753"/>
      <c r="H19" s="1753"/>
      <c r="I19" s="1753"/>
      <c r="J19" s="1745"/>
      <c r="K19" s="1763"/>
    </row>
    <row r="20" spans="1:15" x14ac:dyDescent="0.2">
      <c r="A20" s="2332" t="s">
        <v>1790</v>
      </c>
      <c r="B20" s="2333"/>
      <c r="C20" s="2333"/>
      <c r="D20" s="2333"/>
      <c r="E20" s="2334"/>
      <c r="F20" s="635" t="s">
        <v>928</v>
      </c>
      <c r="G20" s="1753"/>
      <c r="H20" s="1753"/>
      <c r="I20" s="1753"/>
      <c r="J20" s="1745"/>
      <c r="K20" s="1763"/>
    </row>
    <row r="21" spans="1:15" ht="13.5" thickBot="1" x14ac:dyDescent="0.25">
      <c r="A21" s="2351" t="s">
        <v>633</v>
      </c>
      <c r="B21" s="2351"/>
      <c r="C21" s="2351"/>
      <c r="D21" s="2351"/>
      <c r="E21" s="2351"/>
      <c r="F21" s="1434"/>
      <c r="G21" s="1760"/>
      <c r="H21" s="1764"/>
      <c r="I21" s="1764"/>
      <c r="J21" s="1765">
        <f>SUM(J18:J20)</f>
        <v>0</v>
      </c>
      <c r="K21" s="1761"/>
    </row>
    <row r="22" spans="1:15" ht="13.5" thickTop="1" x14ac:dyDescent="0.2">
      <c r="A22" s="2322" t="s">
        <v>1791</v>
      </c>
      <c r="B22" s="2322"/>
      <c r="C22" s="2322"/>
      <c r="D22" s="2322"/>
      <c r="E22" s="2323"/>
      <c r="F22" s="635" t="s">
        <v>857</v>
      </c>
      <c r="G22" s="1753"/>
      <c r="H22" s="1744"/>
      <c r="I22" s="1744"/>
      <c r="J22" s="1766"/>
      <c r="K22" s="1745"/>
    </row>
    <row r="23" spans="1:15" ht="13.5" thickBot="1" x14ac:dyDescent="0.25">
      <c r="A23" s="2352" t="s">
        <v>900</v>
      </c>
      <c r="B23" s="2351"/>
      <c r="C23" s="2351"/>
      <c r="D23" s="2351"/>
      <c r="E23" s="2351"/>
      <c r="F23" s="1436"/>
      <c r="G23" s="1755">
        <f>SUM(G14:G16,G21,G22)</f>
        <v>0</v>
      </c>
      <c r="H23" s="1755">
        <f>SUM(H14:H16,H21,H22)</f>
        <v>21953</v>
      </c>
      <c r="I23" s="1755">
        <f>SUM(I14:I16,I21,I22)</f>
        <v>0</v>
      </c>
      <c r="J23" s="1755">
        <f>SUM(J14:J16,J21,J22)</f>
        <v>0</v>
      </c>
      <c r="K23" s="1755">
        <f>SUM(K14:K16,K21,K22)</f>
        <v>0</v>
      </c>
      <c r="M23" s="1846"/>
      <c r="N23" s="1846"/>
      <c r="O23" s="1846"/>
    </row>
    <row r="24" spans="1:15" ht="14.25" thickTop="1" thickBot="1" x14ac:dyDescent="0.25">
      <c r="A24" s="2353" t="str">
        <f>"Ending Cash Basis Fund Balance as of June 30, "&amp;'AFR20'!E2</f>
        <v>Ending Cash Basis Fund Balance as of June 30, 2020</v>
      </c>
      <c r="B24" s="2354"/>
      <c r="C24" s="2354"/>
      <c r="D24" s="2354"/>
      <c r="E24" s="235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1786</v>
      </c>
      <c r="B46" s="382" t="s">
        <v>1656</v>
      </c>
    </row>
    <row r="47" spans="1:11" s="663" customFormat="1" ht="12.75" customHeight="1" x14ac:dyDescent="0.2">
      <c r="A47" s="661"/>
      <c r="B47" s="662" t="s">
        <v>1657</v>
      </c>
      <c r="E47" s="662"/>
      <c r="K47" s="664"/>
    </row>
    <row r="48" spans="1:11" ht="12.75" customHeight="1" x14ac:dyDescent="0.2">
      <c r="A48" s="1300"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61" sqref="J6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1874</v>
      </c>
      <c r="B1" s="2360"/>
      <c r="C1" s="2361"/>
      <c r="D1" s="666"/>
      <c r="E1" s="667"/>
      <c r="F1" s="667"/>
      <c r="G1" s="668"/>
      <c r="H1" s="669"/>
      <c r="I1" s="670"/>
      <c r="J1" s="2357"/>
      <c r="K1" s="2358"/>
      <c r="L1" s="2358"/>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22098</v>
      </c>
      <c r="D5" s="1770"/>
      <c r="E5" s="1770"/>
      <c r="F5" s="1765">
        <f>(C5+D5)-E5</f>
        <v>22098</v>
      </c>
      <c r="G5" s="676"/>
      <c r="H5" s="680"/>
      <c r="I5" s="680"/>
      <c r="J5" s="680"/>
      <c r="K5" s="637"/>
      <c r="L5" s="1442">
        <f>F5-K5</f>
        <v>22098</v>
      </c>
    </row>
    <row r="6" spans="1:14" ht="14.25" thickTop="1" thickBot="1" x14ac:dyDescent="0.25">
      <c r="A6" s="629" t="s">
        <v>1107</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11075700</v>
      </c>
      <c r="D8" s="1771">
        <v>21843</v>
      </c>
      <c r="E8" s="1771">
        <v>14190</v>
      </c>
      <c r="F8" s="1765">
        <f>(C8+D8)-E8</f>
        <v>11083353</v>
      </c>
      <c r="G8" s="681">
        <v>50</v>
      </c>
      <c r="H8" s="619">
        <v>4783114</v>
      </c>
      <c r="I8" s="619">
        <v>228928</v>
      </c>
      <c r="J8" s="619"/>
      <c r="K8" s="1442">
        <f>(H8+I8)-J8</f>
        <v>5012042</v>
      </c>
      <c r="L8" s="1442">
        <f>F8-K8</f>
        <v>6071311</v>
      </c>
    </row>
    <row r="9" spans="1:14" ht="14.25" thickTop="1" thickBot="1" x14ac:dyDescent="0.25">
      <c r="A9" s="629" t="s">
        <v>1109</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1110</v>
      </c>
      <c r="B10" s="679">
        <v>240</v>
      </c>
      <c r="C10" s="1772">
        <v>343878</v>
      </c>
      <c r="D10" s="1772">
        <v>12821</v>
      </c>
      <c r="E10" s="1772"/>
      <c r="F10" s="1773">
        <f>(C10+D10)-E10</f>
        <v>356699</v>
      </c>
      <c r="G10" s="681">
        <v>20</v>
      </c>
      <c r="H10" s="683">
        <v>173737</v>
      </c>
      <c r="I10" s="683">
        <v>12386</v>
      </c>
      <c r="J10" s="683"/>
      <c r="K10" s="1442">
        <f>(H10+I10)-J10</f>
        <v>186123</v>
      </c>
      <c r="L10" s="1442">
        <f>F10-K10</f>
        <v>170576</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2368751</v>
      </c>
      <c r="D12" s="1771">
        <v>192844</v>
      </c>
      <c r="E12" s="1771"/>
      <c r="F12" s="1765">
        <f>(C12+D12)-E12</f>
        <v>2561595</v>
      </c>
      <c r="G12" s="681">
        <v>10</v>
      </c>
      <c r="H12" s="619">
        <v>1923219</v>
      </c>
      <c r="I12" s="619">
        <v>84093</v>
      </c>
      <c r="J12" s="619"/>
      <c r="K12" s="1442">
        <f>(H12+I12)-J12</f>
        <v>2007312</v>
      </c>
      <c r="L12" s="1442">
        <f>F12-K12</f>
        <v>554283</v>
      </c>
    </row>
    <row r="13" spans="1:14" ht="14.25" thickTop="1" thickBot="1" x14ac:dyDescent="0.25">
      <c r="A13" s="684" t="s">
        <v>1112</v>
      </c>
      <c r="B13" s="679">
        <v>252</v>
      </c>
      <c r="C13" s="1771">
        <v>0</v>
      </c>
      <c r="D13" s="1771"/>
      <c r="E13" s="1771"/>
      <c r="F13" s="1765">
        <f>(C13+D13)-E13</f>
        <v>0</v>
      </c>
      <c r="G13" s="681">
        <v>5</v>
      </c>
      <c r="H13" s="619">
        <v>0</v>
      </c>
      <c r="I13" s="619"/>
      <c r="J13" s="619"/>
      <c r="K13" s="1442">
        <f>(H13+I13)-J13</f>
        <v>0</v>
      </c>
      <c r="L13" s="1442">
        <f>F13-K13</f>
        <v>0</v>
      </c>
    </row>
    <row r="14" spans="1:14" ht="14.25" thickTop="1" thickBot="1" x14ac:dyDescent="0.25">
      <c r="A14" s="684" t="s">
        <v>1113</v>
      </c>
      <c r="B14" s="679">
        <v>253</v>
      </c>
      <c r="C14" s="1745">
        <v>0</v>
      </c>
      <c r="D14" s="1745"/>
      <c r="E14" s="1745"/>
      <c r="F14" s="1765">
        <f>(C14+D14)-E14</f>
        <v>0</v>
      </c>
      <c r="G14" s="681">
        <v>3</v>
      </c>
      <c r="H14" s="619">
        <v>0</v>
      </c>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13810427</v>
      </c>
      <c r="D16" s="1765">
        <f>SUM(D3,D5:D6,D8:D10,D12:D15)</f>
        <v>227508</v>
      </c>
      <c r="E16" s="1765">
        <f>SUM(E3,E5:E6,E8:E10,E12:E15)</f>
        <v>14190</v>
      </c>
      <c r="F16" s="1765">
        <f>SUM(F3,F5:F6,F8:F10,F12:F15)</f>
        <v>14023745</v>
      </c>
      <c r="G16" s="681"/>
      <c r="H16" s="1435">
        <f>SUM(H3,H6,H8:H10,H12:H14,)</f>
        <v>6880070</v>
      </c>
      <c r="I16" s="1435">
        <f>SUM(I3,I6,I8:I10,I12:I14,)</f>
        <v>325407</v>
      </c>
      <c r="J16" s="1435">
        <f>SUM(J3,J6,J8:J10,J12:J14,)</f>
        <v>0</v>
      </c>
      <c r="K16" s="1435">
        <f>(H16+I16)-J16</f>
        <v>7205477</v>
      </c>
      <c r="L16" s="1435">
        <f>F16-K16</f>
        <v>6818268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325407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0" colorId="8" zoomScale="110" zoomScaleNormal="110" workbookViewId="0">
      <selection activeCell="J61" sqref="J6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4410682</v>
      </c>
      <c r="G8" s="701"/>
    </row>
    <row r="9" spans="1:9" x14ac:dyDescent="0.2">
      <c r="A9" s="705" t="s">
        <v>457</v>
      </c>
      <c r="B9" s="706" t="s">
        <v>1847</v>
      </c>
      <c r="C9" s="707"/>
      <c r="D9" s="705" t="s">
        <v>498</v>
      </c>
      <c r="E9" s="704"/>
      <c r="F9" s="1775">
        <f>'Expenditures 15-22'!K151</f>
        <v>530689</v>
      </c>
      <c r="G9" s="708"/>
    </row>
    <row r="10" spans="1:9" x14ac:dyDescent="0.2">
      <c r="A10" s="705" t="s">
        <v>496</v>
      </c>
      <c r="B10" s="706" t="s">
        <v>1848</v>
      </c>
      <c r="C10" s="707"/>
      <c r="D10" s="705" t="s">
        <v>498</v>
      </c>
      <c r="E10" s="704"/>
      <c r="F10" s="1775">
        <f>'Expenditures 15-22'!K174</f>
        <v>310194</v>
      </c>
      <c r="G10" s="708"/>
    </row>
    <row r="11" spans="1:9" x14ac:dyDescent="0.2">
      <c r="A11" s="705" t="s">
        <v>458</v>
      </c>
      <c r="B11" s="706" t="s">
        <v>1849</v>
      </c>
      <c r="C11" s="707"/>
      <c r="D11" s="705" t="s">
        <v>498</v>
      </c>
      <c r="E11" s="704"/>
      <c r="F11" s="1775">
        <f>'Expenditures 15-22'!K210</f>
        <v>412117</v>
      </c>
      <c r="G11" s="708"/>
    </row>
    <row r="12" spans="1:9" x14ac:dyDescent="0.2">
      <c r="A12" s="705" t="s">
        <v>459</v>
      </c>
      <c r="B12" s="706" t="s">
        <v>1850</v>
      </c>
      <c r="C12" s="707"/>
      <c r="D12" s="705" t="s">
        <v>498</v>
      </c>
      <c r="E12" s="704"/>
      <c r="F12" s="1775">
        <f>'Expenditures 15-22'!K295</f>
        <v>131353</v>
      </c>
      <c r="G12" s="708"/>
    </row>
    <row r="13" spans="1:9" x14ac:dyDescent="0.2">
      <c r="A13" s="705" t="s">
        <v>106</v>
      </c>
      <c r="B13" s="706" t="s">
        <v>1851</v>
      </c>
      <c r="C13" s="707"/>
      <c r="D13" s="705" t="s">
        <v>498</v>
      </c>
      <c r="E13" s="704"/>
      <c r="F13" s="1775">
        <f>'Expenditures 15-22'!K342</f>
        <v>174789</v>
      </c>
      <c r="G13" s="709"/>
    </row>
    <row r="14" spans="1:9" ht="12" customHeight="1" thickBot="1" x14ac:dyDescent="0.25">
      <c r="A14" s="1443"/>
      <c r="B14" s="1444"/>
      <c r="C14" s="1445"/>
      <c r="D14" s="1446" t="s">
        <v>498</v>
      </c>
      <c r="E14" s="1447" t="s">
        <v>952</v>
      </c>
      <c r="F14" s="1776">
        <f>SUM(F8:F13)</f>
        <v>5969824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3">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1908</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127874</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3411</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56985</v>
      </c>
      <c r="G52" s="701"/>
    </row>
    <row r="53" spans="1:7" x14ac:dyDescent="0.2">
      <c r="A53" s="705" t="s">
        <v>456</v>
      </c>
      <c r="B53" s="705" t="s">
        <v>1458</v>
      </c>
      <c r="C53" s="724">
        <f>'Expenditures 15-22'!B102</f>
        <v>4000</v>
      </c>
      <c r="D53" s="723" t="str">
        <f>'Expenditures 15-22'!A102</f>
        <v>Total Payments to Other Govt Units</v>
      </c>
      <c r="E53" s="704"/>
      <c r="F53" s="1782">
        <f>'Expenditures 15-22'!K102</f>
        <v>529017</v>
      </c>
      <c r="G53" s="701"/>
    </row>
    <row r="54" spans="1:7" x14ac:dyDescent="0.2">
      <c r="A54" s="705" t="s">
        <v>456</v>
      </c>
      <c r="B54" s="705" t="s">
        <v>1459</v>
      </c>
      <c r="C54" s="724" t="s">
        <v>975</v>
      </c>
      <c r="D54" s="720" t="s">
        <v>1086</v>
      </c>
      <c r="E54" s="704"/>
      <c r="F54" s="1782">
        <f>'Expenditures 15-22'!G114</f>
        <v>168479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2">
        <f>'Expenditures 15-22'!K139</f>
        <v>0</v>
      </c>
      <c r="G57" s="701"/>
    </row>
    <row r="58" spans="1:7" x14ac:dyDescent="0.2">
      <c r="A58" s="705" t="s">
        <v>457</v>
      </c>
      <c r="B58" s="705" t="s">
        <v>1853</v>
      </c>
      <c r="C58" s="721" t="s">
        <v>975</v>
      </c>
      <c r="D58" s="720" t="s">
        <v>1086</v>
      </c>
      <c r="E58" s="704"/>
      <c r="F58" s="1784">
        <f>'Expenditures 15-22'!G151</f>
        <v>43082</v>
      </c>
      <c r="G58" s="701"/>
    </row>
    <row r="59" spans="1:7" x14ac:dyDescent="0.2">
      <c r="A59" s="728" t="s">
        <v>457</v>
      </c>
      <c r="B59" s="692" t="s">
        <v>1854</v>
      </c>
      <c r="C59" s="729" t="s">
        <v>975</v>
      </c>
      <c r="D59" s="692" t="s">
        <v>288</v>
      </c>
      <c r="F59" s="1785">
        <f>'Expenditures 15-22'!I151</f>
        <v>0</v>
      </c>
      <c r="G59" s="701"/>
    </row>
    <row r="60" spans="1:7" x14ac:dyDescent="0.2">
      <c r="A60" s="728" t="s">
        <v>496</v>
      </c>
      <c r="B60" s="692" t="s">
        <v>1855</v>
      </c>
      <c r="C60" s="729">
        <v>4000</v>
      </c>
      <c r="D60" s="692" t="s">
        <v>309</v>
      </c>
      <c r="F60" s="1783">
        <f>'Expenditures 15-22'!K160</f>
        <v>0</v>
      </c>
      <c r="G60" s="701"/>
    </row>
    <row r="61" spans="1:7" x14ac:dyDescent="0.2">
      <c r="A61" s="730" t="s">
        <v>496</v>
      </c>
      <c r="B61" s="730" t="s">
        <v>1856</v>
      </c>
      <c r="C61" s="731" t="str">
        <f>'Expenditures 15-22'!B170</f>
        <v>5300</v>
      </c>
      <c r="D61" s="732" t="s">
        <v>308</v>
      </c>
      <c r="E61" s="715"/>
      <c r="F61" s="1782">
        <f>'Expenditures 15-22'!K170</f>
        <v>263000</v>
      </c>
      <c r="G61" s="701"/>
    </row>
    <row r="62" spans="1:7" x14ac:dyDescent="0.2">
      <c r="A62" s="705" t="s">
        <v>458</v>
      </c>
      <c r="B62" s="705" t="s">
        <v>1857</v>
      </c>
      <c r="C62" s="721">
        <f>'Expenditures 15-22'!B185</f>
        <v>3000</v>
      </c>
      <c r="D62" s="712" t="s">
        <v>446</v>
      </c>
      <c r="E62" s="704"/>
      <c r="F62" s="1782">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1859</v>
      </c>
      <c r="C64" s="731" t="str">
        <f>'Expenditures 15-22'!B206</f>
        <v>5300</v>
      </c>
      <c r="D64" s="727" t="s">
        <v>308</v>
      </c>
      <c r="E64" s="704"/>
      <c r="F64" s="1782">
        <f>'Expenditures 15-22'!K206</f>
        <v>0</v>
      </c>
      <c r="G64" s="701"/>
    </row>
    <row r="65" spans="1:9" x14ac:dyDescent="0.2">
      <c r="A65" s="705" t="s">
        <v>458</v>
      </c>
      <c r="B65" s="705" t="s">
        <v>1860</v>
      </c>
      <c r="C65" s="721" t="s">
        <v>975</v>
      </c>
      <c r="D65" s="720" t="s">
        <v>1086</v>
      </c>
      <c r="E65" s="704"/>
      <c r="F65" s="1782">
        <f>'Expenditures 15-22'!G210</f>
        <v>0</v>
      </c>
      <c r="G65" s="701"/>
    </row>
    <row r="66" spans="1:9" x14ac:dyDescent="0.2">
      <c r="A66" s="705" t="s">
        <v>458</v>
      </c>
      <c r="B66" s="705" t="s">
        <v>1861</v>
      </c>
      <c r="C66" s="721" t="s">
        <v>975</v>
      </c>
      <c r="D66" s="720" t="s">
        <v>288</v>
      </c>
      <c r="E66" s="704"/>
      <c r="F66" s="1782">
        <f>'Expenditures 15-22'!I210</f>
        <v>0</v>
      </c>
      <c r="G66" s="701"/>
    </row>
    <row r="67" spans="1:9" x14ac:dyDescent="0.2">
      <c r="A67" s="705" t="s">
        <v>459</v>
      </c>
      <c r="B67" s="705" t="s">
        <v>1862</v>
      </c>
      <c r="C67" s="721" t="str">
        <f>'Expenditures 15-22'!B216</f>
        <v>1125</v>
      </c>
      <c r="D67" s="727" t="str">
        <f>'Expenditures 15-22'!A216</f>
        <v>Pre-K Programs</v>
      </c>
      <c r="E67" s="704"/>
      <c r="F67" s="1782">
        <f>'Expenditures 15-22'!K216</f>
        <v>3543</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1864</v>
      </c>
      <c r="C70" s="721">
        <f>'Expenditures 15-22'!B221</f>
        <v>1300</v>
      </c>
      <c r="D70" s="722" t="str">
        <f>'Expenditures 15-22'!A221</f>
        <v>Adult/Continuing Education Programs</v>
      </c>
      <c r="E70" s="704"/>
      <c r="F70" s="1782">
        <f>'Expenditures 15-22'!K221</f>
        <v>0</v>
      </c>
      <c r="G70" s="701"/>
    </row>
    <row r="71" spans="1:9" x14ac:dyDescent="0.2">
      <c r="A71" s="705" t="s">
        <v>459</v>
      </c>
      <c r="B71" s="705" t="s">
        <v>1865</v>
      </c>
      <c r="C71" s="721">
        <f>'Expenditures 15-22'!B224</f>
        <v>1600</v>
      </c>
      <c r="D71" s="722" t="str">
        <f>'Expenditures 15-22'!A224</f>
        <v>Summer School Programs</v>
      </c>
      <c r="E71" s="704"/>
      <c r="F71" s="1782">
        <f>'Expenditures 15-22'!K224</f>
        <v>107</v>
      </c>
      <c r="G71" s="701"/>
    </row>
    <row r="72" spans="1:9" x14ac:dyDescent="0.2">
      <c r="A72" s="705" t="s">
        <v>459</v>
      </c>
      <c r="B72" s="705" t="s">
        <v>1866</v>
      </c>
      <c r="C72" s="721">
        <f>'Expenditures 15-22'!B280</f>
        <v>3000</v>
      </c>
      <c r="D72" s="712" t="s">
        <v>446</v>
      </c>
      <c r="E72" s="704"/>
      <c r="F72" s="1782">
        <f>'Expenditures 15-22'!K280</f>
        <v>4258</v>
      </c>
      <c r="G72" s="701"/>
    </row>
    <row r="73" spans="1:9" x14ac:dyDescent="0.2">
      <c r="A73" s="705" t="s">
        <v>459</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1868</v>
      </c>
      <c r="C74" s="721" t="s">
        <v>855</v>
      </c>
      <c r="D74" s="722" t="s">
        <v>1470</v>
      </c>
      <c r="E74" s="704"/>
      <c r="F74" s="1786">
        <f>'Expenditures 15-22'!K334</f>
        <v>0</v>
      </c>
      <c r="G74" s="701"/>
    </row>
    <row r="75" spans="1:9" x14ac:dyDescent="0.2">
      <c r="A75" s="705" t="s">
        <v>2007</v>
      </c>
      <c r="B75" s="705" t="s">
        <v>2008</v>
      </c>
      <c r="C75" s="721" t="s">
        <v>975</v>
      </c>
      <c r="D75" s="722" t="s">
        <v>1086</v>
      </c>
      <c r="E75" s="704"/>
      <c r="F75" s="1786">
        <f>'Expenditures 15-22'!G342</f>
        <v>0</v>
      </c>
      <c r="G75" s="701"/>
    </row>
    <row r="76" spans="1:9" ht="10.5" customHeight="1" x14ac:dyDescent="0.2">
      <c r="A76" s="701" t="s">
        <v>433</v>
      </c>
      <c r="B76" s="705" t="s">
        <v>2009</v>
      </c>
      <c r="C76" s="711" t="s">
        <v>975</v>
      </c>
      <c r="D76" s="701" t="s">
        <v>288</v>
      </c>
      <c r="E76" s="704"/>
      <c r="F76" s="1786">
        <f>'Expenditures 15-22'!I342</f>
        <v>0</v>
      </c>
      <c r="G76" s="703"/>
    </row>
    <row r="77" spans="1:9" ht="12" thickBot="1" x14ac:dyDescent="0.25">
      <c r="A77" s="1443"/>
      <c r="B77" s="1448"/>
      <c r="C77" s="1445"/>
      <c r="D77" s="1449" t="s">
        <v>2010</v>
      </c>
      <c r="E77" s="1447" t="s">
        <v>952</v>
      </c>
      <c r="F77" s="1787">
        <f>SUM(F18:F76)</f>
        <v>1199756</v>
      </c>
      <c r="G77" s="701"/>
    </row>
    <row r="78" spans="1:9" s="728" customFormat="1" ht="12" customHeight="1" thickTop="1" thickBot="1" x14ac:dyDescent="0.25">
      <c r="A78" s="1450"/>
      <c r="B78" s="1448"/>
      <c r="C78" s="1445"/>
      <c r="D78" s="1449" t="s">
        <v>2011</v>
      </c>
      <c r="E78" s="1447"/>
      <c r="F78" s="1788">
        <f>(F14-F77)</f>
        <v>4770068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515.70000000000005</v>
      </c>
      <c r="G79" s="733"/>
      <c r="H79" s="705"/>
      <c r="I79" s="705"/>
    </row>
    <row r="80" spans="1:9" s="728" customFormat="1" ht="12" customHeight="1" thickBot="1" x14ac:dyDescent="0.25">
      <c r="A80" s="1452"/>
      <c r="B80" s="1448"/>
      <c r="C80" s="1445"/>
      <c r="D80" s="1449" t="s">
        <v>2012</v>
      </c>
      <c r="E80" s="1447" t="s">
        <v>952</v>
      </c>
      <c r="F80" s="1790">
        <f>IF(F79&gt;0,F78/F79," Complete Line 79")</f>
        <v>9249.6955594337778</v>
      </c>
      <c r="G80" s="705"/>
    </row>
    <row r="81" spans="1:7" s="728" customFormat="1" ht="8.25" customHeight="1" thickTop="1" x14ac:dyDescent="0.2">
      <c r="A81" s="734"/>
      <c r="B81" s="705"/>
      <c r="C81" s="707"/>
      <c r="D81" s="735"/>
      <c r="E81" s="704"/>
      <c r="F81" s="1791"/>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76964</v>
      </c>
      <c r="G95" s="745"/>
    </row>
    <row r="96" spans="1:7" x14ac:dyDescent="0.2">
      <c r="A96" s="741" t="s">
        <v>139</v>
      </c>
      <c r="B96" s="741" t="s">
        <v>174</v>
      </c>
      <c r="C96" s="743">
        <v>1700</v>
      </c>
      <c r="D96" s="751" t="str">
        <f>'Revenues 9-14'!A82</f>
        <v>Total District/School Activity Income</v>
      </c>
      <c r="E96" s="739"/>
      <c r="F96" s="1793">
        <f>SUM('Revenues 9-14'!C82,'Revenues 9-14'!D82)</f>
        <v>20924</v>
      </c>
      <c r="G96" s="745"/>
    </row>
    <row r="97" spans="1:7" x14ac:dyDescent="0.2">
      <c r="A97" s="741" t="s">
        <v>456</v>
      </c>
      <c r="B97" s="741" t="s">
        <v>175</v>
      </c>
      <c r="C97" s="743">
        <f>'Revenues 9-14'!B84</f>
        <v>1811</v>
      </c>
      <c r="D97" s="744" t="str">
        <f>'Revenues 9-14'!A84</f>
        <v>Rentals - Regular Textbooks</v>
      </c>
      <c r="E97" s="739"/>
      <c r="F97" s="1793">
        <f>'Revenues 9-14'!C84</f>
        <v>32508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21844</v>
      </c>
      <c r="G105" s="745"/>
    </row>
    <row r="106" spans="1:7" x14ac:dyDescent="0.2">
      <c r="A106" s="741" t="s">
        <v>500</v>
      </c>
      <c r="B106" s="741" t="s">
        <v>1909</v>
      </c>
      <c r="C106" s="746">
        <v>3100</v>
      </c>
      <c r="D106" s="752" t="str">
        <f>'Revenues 9-14'!A132</f>
        <v>Total Special Education</v>
      </c>
      <c r="E106" s="739"/>
      <c r="F106" s="1793">
        <f>SUM('Revenues 9-14'!C132:D132,'Revenues 9-14'!F132)</f>
        <v>356809</v>
      </c>
      <c r="G106" s="745"/>
    </row>
    <row r="107" spans="1:7" x14ac:dyDescent="0.2">
      <c r="A107" s="741" t="s">
        <v>668</v>
      </c>
      <c r="B107" s="741" t="s">
        <v>1910</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1911</v>
      </c>
      <c r="C108" s="753">
        <v>3300</v>
      </c>
      <c r="D108" s="744" t="str">
        <f>'Revenues 9-14'!A145</f>
        <v>Total Bilingual Ed</v>
      </c>
      <c r="E108" s="739"/>
      <c r="F108" s="1793">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3">
        <f>'Revenues 9-14'!C146</f>
        <v>1512</v>
      </c>
      <c r="G109" s="745"/>
    </row>
    <row r="110" spans="1:7" x14ac:dyDescent="0.2">
      <c r="A110" s="741" t="s">
        <v>668</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0</v>
      </c>
      <c r="G111" s="745"/>
    </row>
    <row r="112" spans="1:7" x14ac:dyDescent="0.2">
      <c r="A112" s="741" t="s">
        <v>663</v>
      </c>
      <c r="B112" s="741" t="s">
        <v>1915</v>
      </c>
      <c r="C112" s="755">
        <v>3500</v>
      </c>
      <c r="D112" s="744" t="str">
        <f>'Revenues 9-14'!A155</f>
        <v>Total Transportation</v>
      </c>
      <c r="E112" s="739"/>
      <c r="F112" s="1793">
        <f>SUM('Revenues 9-14'!C155,'Revenues 9-14'!D155,'Revenues 9-14'!F155,'Revenues 9-14'!G155)</f>
        <v>171892</v>
      </c>
      <c r="G112" s="745"/>
    </row>
    <row r="113" spans="1:7" x14ac:dyDescent="0.2">
      <c r="A113" s="741" t="s">
        <v>456</v>
      </c>
      <c r="B113" s="741" t="s">
        <v>1916</v>
      </c>
      <c r="C113" s="753">
        <f>'Revenues 9-14'!B156</f>
        <v>3610</v>
      </c>
      <c r="D113" s="744" t="str">
        <f>'Revenues 9-14'!A156</f>
        <v>Learning Improvement - Change Grants</v>
      </c>
      <c r="E113" s="739"/>
      <c r="F113" s="1793">
        <f>'Revenues 9-14'!C156</f>
        <v>0</v>
      </c>
      <c r="G113" s="745"/>
    </row>
    <row r="114" spans="1:7" x14ac:dyDescent="0.2">
      <c r="A114" s="741" t="s">
        <v>663</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2">
        <f>SUM('Revenues 9-14'!C163:G163)</f>
        <v>0</v>
      </c>
      <c r="G119" s="745"/>
    </row>
    <row r="120" spans="1:7" x14ac:dyDescent="0.2">
      <c r="A120" s="756" t="s">
        <v>501</v>
      </c>
      <c r="B120" s="756" t="s">
        <v>1923</v>
      </c>
      <c r="C120" s="757">
        <f>'Revenues 9-14'!B164</f>
        <v>3815</v>
      </c>
      <c r="D120" s="758" t="str">
        <f>'Revenues 9-14'!A164</f>
        <v>State Charter Schools</v>
      </c>
      <c r="E120" s="739"/>
      <c r="F120" s="1792">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1925</v>
      </c>
      <c r="C122" s="761">
        <f>'Revenues 9-14'!B168</f>
        <v>3999</v>
      </c>
      <c r="D122" s="762" t="s">
        <v>540</v>
      </c>
      <c r="E122" s="764"/>
      <c r="F122" s="1793">
        <f>SUM('Revenues 9-14'!C168:G168,'Revenues 9-14'!J168)</f>
        <v>750</v>
      </c>
      <c r="G122" s="763"/>
    </row>
    <row r="123" spans="1:7" x14ac:dyDescent="0.2">
      <c r="A123" s="760" t="s">
        <v>456</v>
      </c>
      <c r="B123" s="760" t="s">
        <v>1926</v>
      </c>
      <c r="C123" s="765">
        <f>'Revenues 9-14'!B177</f>
        <v>4045</v>
      </c>
      <c r="D123" s="762" t="str">
        <f>'Revenues 9-14'!A177 &amp; " (Subtract)"</f>
        <v>Head Start (Subtract)</v>
      </c>
      <c r="E123" s="739"/>
      <c r="F123" s="1793">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1928</v>
      </c>
      <c r="C125" s="765">
        <v>4100</v>
      </c>
      <c r="D125" s="766" t="str">
        <f>'Revenues 9-14'!A188</f>
        <v>Total Title V</v>
      </c>
      <c r="E125" s="739"/>
      <c r="F125" s="1793">
        <f>SUM('Revenues 9-14'!C188,'Revenues 9-14'!D188,'Revenues 9-14'!F188,'Revenues 9-14'!G188)</f>
        <v>0</v>
      </c>
      <c r="G125" s="763"/>
    </row>
    <row r="126" spans="1:7" x14ac:dyDescent="0.2">
      <c r="A126" s="760" t="s">
        <v>659</v>
      </c>
      <c r="B126" s="760" t="s">
        <v>1929</v>
      </c>
      <c r="C126" s="765">
        <v>4200</v>
      </c>
      <c r="D126" s="762" t="str">
        <f>'Revenues 9-14'!A198</f>
        <v>Total Food Service</v>
      </c>
      <c r="E126" s="739"/>
      <c r="F126" s="1793">
        <f>SUM('Revenues 9-14'!C198,'Revenues 9-14'!G198)</f>
        <v>128045</v>
      </c>
      <c r="G126" s="763"/>
    </row>
    <row r="127" spans="1:7" x14ac:dyDescent="0.2">
      <c r="A127" s="760" t="s">
        <v>663</v>
      </c>
      <c r="B127" s="760" t="s">
        <v>1930</v>
      </c>
      <c r="C127" s="765">
        <v>4300</v>
      </c>
      <c r="D127" s="766" t="str">
        <f>'Revenues 9-14'!A204</f>
        <v>Total Title I</v>
      </c>
      <c r="E127" s="739"/>
      <c r="F127" s="1793">
        <f>SUM('Revenues 9-14'!C204,'Revenues 9-14'!D204,'Revenues 9-14'!F204,'Revenues 9-14'!G204)</f>
        <v>104989</v>
      </c>
      <c r="G127" s="763"/>
    </row>
    <row r="128" spans="1:7" x14ac:dyDescent="0.2">
      <c r="A128" s="760" t="s">
        <v>663</v>
      </c>
      <c r="B128" s="760" t="s">
        <v>1931</v>
      </c>
      <c r="C128" s="765">
        <v>4400</v>
      </c>
      <c r="D128" s="766" t="str">
        <f>'Revenues 9-14'!A209</f>
        <v>Total Title IV</v>
      </c>
      <c r="E128" s="739"/>
      <c r="F128" s="1793">
        <f>SUM('Revenues 9-14'!C209,'Revenues 9-14'!D209,'Revenues 9-14'!F209,'Revenues 9-14'!G209)</f>
        <v>19257</v>
      </c>
      <c r="G128" s="763"/>
    </row>
    <row r="129" spans="1:7" x14ac:dyDescent="0.2">
      <c r="A129" s="760" t="s">
        <v>663</v>
      </c>
      <c r="B129" s="760" t="s">
        <v>1932</v>
      </c>
      <c r="C129" s="765">
        <f>'Revenues 9-14'!B213</f>
        <v>4620</v>
      </c>
      <c r="D129" s="766" t="str">
        <f>'Revenues 9-14'!A213</f>
        <v>Fed - Spec Education - IDEA - Flow Through</v>
      </c>
      <c r="E129" s="739"/>
      <c r="F129" s="1793">
        <f>SUM('Revenues 9-14'!C213:D213,'Revenues 9-14'!F213:G213)</f>
        <v>57984</v>
      </c>
      <c r="G129" s="763"/>
    </row>
    <row r="130" spans="1:7" x14ac:dyDescent="0.2">
      <c r="A130" s="760" t="s">
        <v>663</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1950</v>
      </c>
      <c r="C158" s="773" t="s">
        <v>836</v>
      </c>
      <c r="D158" s="774" t="s">
        <v>772</v>
      </c>
      <c r="E158" s="775"/>
      <c r="F158" s="1793">
        <f>SUM(F134:F157)</f>
        <v>0</v>
      </c>
      <c r="G158" s="738"/>
    </row>
    <row r="159" spans="1:7" s="703" customFormat="1" x14ac:dyDescent="0.2">
      <c r="A159" s="771" t="s">
        <v>456</v>
      </c>
      <c r="B159" s="772" t="s">
        <v>1951</v>
      </c>
      <c r="C159" s="773" t="s">
        <v>1410</v>
      </c>
      <c r="D159" s="774" t="s">
        <v>1411</v>
      </c>
      <c r="E159" s="775"/>
      <c r="F159" s="1793">
        <f>SUM('Revenues 9-14'!C253)</f>
        <v>0</v>
      </c>
      <c r="G159" s="738"/>
    </row>
    <row r="160" spans="1:7" s="703" customFormat="1" x14ac:dyDescent="0.2">
      <c r="A160" s="771" t="s">
        <v>497</v>
      </c>
      <c r="B160" s="772" t="s">
        <v>1952</v>
      </c>
      <c r="C160" s="773" t="s">
        <v>1449</v>
      </c>
      <c r="D160" s="774" t="s">
        <v>1450</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2">
        <f>SUM('Revenues 9-14'!C259,'Revenues 9-14'!D259,'Revenues 9-14'!F259,'Revenues 9-14'!G259)</f>
        <v>12743</v>
      </c>
      <c r="G165" s="763"/>
    </row>
    <row r="166" spans="1:7" x14ac:dyDescent="0.2">
      <c r="A166" s="760" t="s">
        <v>663</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3">
        <f>SUM('Revenues 9-14'!C263:D263,'Revenues 9-14'!F263:G263)</f>
        <v>2780</v>
      </c>
      <c r="G169" s="780">
        <v>6320</v>
      </c>
    </row>
    <row r="170" spans="1:7" x14ac:dyDescent="0.2">
      <c r="A170" s="760" t="s">
        <v>663</v>
      </c>
      <c r="B170" s="760" t="s">
        <v>1960</v>
      </c>
      <c r="C170" s="765">
        <f>'Revenues 9-14'!B264</f>
        <v>4992</v>
      </c>
      <c r="D170" s="766" t="str">
        <f>'Revenues 9-14'!A264</f>
        <v>Medicaid Matching Funds - Fee-for-Service Program</v>
      </c>
      <c r="E170" s="739"/>
      <c r="F170" s="1793">
        <f>SUM('Revenues 9-14'!C264:D264,'Revenues 9-14'!F264:G264)</f>
        <v>13629</v>
      </c>
      <c r="G170" s="780"/>
    </row>
    <row r="171" spans="1:7" x14ac:dyDescent="0.2">
      <c r="A171" s="781" t="s">
        <v>663</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141203</v>
      </c>
      <c r="G172" s="760"/>
    </row>
    <row r="173" spans="1:7" x14ac:dyDescent="0.2">
      <c r="A173" s="1529" t="s">
        <v>659</v>
      </c>
      <c r="B173" s="1530" t="s">
        <v>1884</v>
      </c>
      <c r="C173" s="1531">
        <v>3300</v>
      </c>
      <c r="D173" s="1532" t="s">
        <v>1887</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952</v>
      </c>
      <c r="F175" s="1796">
        <f>SUM(F85:F133,F158:F173)</f>
        <v>1213833</v>
      </c>
    </row>
    <row r="176" spans="1:7" ht="12" customHeight="1" x14ac:dyDescent="0.2">
      <c r="A176" s="1443"/>
      <c r="B176" s="1453"/>
      <c r="C176" s="1454"/>
      <c r="D176" s="1455" t="s">
        <v>2013</v>
      </c>
      <c r="E176" s="1456"/>
      <c r="F176" s="1793">
        <f>'PCTC-OEPP 27-28'!F78-F175</f>
        <v>3556235</v>
      </c>
    </row>
    <row r="177" spans="1:9" ht="12" customHeight="1" x14ac:dyDescent="0.2">
      <c r="A177" s="1443"/>
      <c r="B177" s="1453"/>
      <c r="C177" s="1454"/>
      <c r="D177" s="1455" t="s">
        <v>1793</v>
      </c>
      <c r="E177" s="1456"/>
      <c r="F177" s="1793">
        <f>'Cap Outlay Deprec 26'!I18</f>
        <v>325407</v>
      </c>
    </row>
    <row r="178" spans="1:9" ht="12" customHeight="1" x14ac:dyDescent="0.2">
      <c r="A178" s="1443"/>
      <c r="B178" s="1453"/>
      <c r="C178" s="1454"/>
      <c r="D178" s="1455" t="s">
        <v>2014</v>
      </c>
      <c r="E178" s="1456"/>
      <c r="F178" s="1793">
        <f>F176+F177</f>
        <v>3881642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515.70000000000005</v>
      </c>
      <c r="G179" s="763"/>
      <c r="I179" s="701"/>
    </row>
    <row r="180" spans="1:9" ht="12" customHeight="1" thickBot="1" x14ac:dyDescent="0.25">
      <c r="A180" s="1443"/>
      <c r="B180" s="1457"/>
      <c r="C180" s="1454"/>
      <c r="D180" s="1455" t="s">
        <v>2016</v>
      </c>
      <c r="E180" s="1456" t="s">
        <v>1528</v>
      </c>
      <c r="F180" s="1798">
        <f>F178/F179</f>
        <v>7526.9381423308114</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topLeftCell="B1" zoomScaleNormal="100" workbookViewId="0">
      <selection activeCell="J61" sqref="J61"/>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1806</v>
      </c>
      <c r="B1" s="1860"/>
      <c r="C1" s="1861"/>
      <c r="D1" s="1861"/>
      <c r="E1" s="1861"/>
      <c r="F1" s="1861"/>
    </row>
    <row r="2" spans="1:6" x14ac:dyDescent="0.25">
      <c r="A2" s="1863"/>
      <c r="B2" s="1864"/>
      <c r="C2" s="1912" t="s">
        <v>2002</v>
      </c>
      <c r="D2" s="1863"/>
      <c r="E2" s="1863"/>
      <c r="F2" s="1863"/>
    </row>
    <row r="3" spans="1:6" ht="5.25" customHeight="1" x14ac:dyDescent="0.25">
      <c r="A3" s="1865"/>
      <c r="B3" s="1866"/>
      <c r="C3" s="1865"/>
      <c r="D3" s="1865"/>
      <c r="E3" s="1865"/>
      <c r="F3" s="1865"/>
    </row>
    <row r="4" spans="1:6" ht="18.75" customHeight="1" x14ac:dyDescent="0.25">
      <c r="A4" s="2376" t="s">
        <v>1794</v>
      </c>
      <c r="B4" s="2377"/>
      <c r="C4" s="2377"/>
      <c r="D4" s="2377"/>
      <c r="E4" s="2377"/>
      <c r="F4" s="2378"/>
    </row>
    <row r="5" spans="1:6" x14ac:dyDescent="0.25">
      <c r="A5" s="2379"/>
      <c r="B5" s="2380"/>
      <c r="C5" s="2380"/>
      <c r="D5" s="2380"/>
      <c r="E5" s="2380"/>
      <c r="F5" s="2381"/>
    </row>
    <row r="6" spans="1:6" ht="18.75" x14ac:dyDescent="0.25">
      <c r="A6" s="1867" t="s">
        <v>1795</v>
      </c>
      <c r="B6" s="1868"/>
      <c r="C6" s="1869"/>
      <c r="D6" s="1869"/>
      <c r="E6" s="1869"/>
      <c r="F6" s="1870"/>
    </row>
    <row r="7" spans="1:6" ht="47.25" customHeight="1" x14ac:dyDescent="0.25">
      <c r="A7" s="2382" t="s">
        <v>1984</v>
      </c>
      <c r="B7" s="2383"/>
      <c r="C7" s="2383"/>
      <c r="D7" s="2383"/>
      <c r="E7" s="2383"/>
      <c r="F7" s="2384"/>
    </row>
    <row r="8" spans="1:6" ht="20.25" customHeight="1" x14ac:dyDescent="0.25">
      <c r="A8" s="1901" t="s">
        <v>1986</v>
      </c>
      <c r="B8" s="1902"/>
      <c r="C8" s="1902"/>
      <c r="D8" s="1902"/>
      <c r="E8" s="1871"/>
      <c r="F8" s="1872"/>
    </row>
    <row r="9" spans="1:6" ht="18" customHeight="1" x14ac:dyDescent="0.25">
      <c r="A9" s="1873" t="s">
        <v>1983</v>
      </c>
      <c r="B9" s="1875"/>
      <c r="C9" s="1875"/>
      <c r="D9" s="1875"/>
      <c r="E9" s="1871"/>
      <c r="F9" s="1872"/>
    </row>
    <row r="10" spans="1:6" ht="15.75" customHeight="1" x14ac:dyDescent="0.25">
      <c r="A10" s="2385" t="s">
        <v>1980</v>
      </c>
      <c r="B10" s="2386"/>
      <c r="C10" s="2386"/>
      <c r="D10" s="2386"/>
      <c r="E10" s="2386"/>
      <c r="F10" s="2387"/>
    </row>
    <row r="11" spans="1:6" ht="33" customHeight="1" x14ac:dyDescent="0.25">
      <c r="A11" s="2382" t="s">
        <v>1985</v>
      </c>
      <c r="B11" s="2383"/>
      <c r="C11" s="2383"/>
      <c r="D11" s="2383"/>
      <c r="E11" s="2383"/>
      <c r="F11" s="2384"/>
    </row>
    <row r="12" spans="1:6" ht="15" customHeight="1" x14ac:dyDescent="0.25">
      <c r="A12" s="1873" t="s">
        <v>1981</v>
      </c>
      <c r="B12" s="1874"/>
      <c r="C12" s="1875"/>
      <c r="D12" s="1875"/>
      <c r="E12" s="1875"/>
      <c r="F12" s="1876"/>
    </row>
    <row r="13" spans="1:6" ht="17.25" customHeight="1" x14ac:dyDescent="0.25">
      <c r="A13" s="2382" t="s">
        <v>1982</v>
      </c>
      <c r="B13" s="2383"/>
      <c r="C13" s="2383"/>
      <c r="D13" s="2383"/>
      <c r="E13" s="2383"/>
      <c r="F13" s="2384"/>
    </row>
    <row r="14" spans="1:6" ht="15" customHeight="1" x14ac:dyDescent="0.25">
      <c r="A14" s="1873" t="s">
        <v>1799</v>
      </c>
      <c r="B14" s="1874"/>
      <c r="C14" s="1875"/>
      <c r="D14" s="1875"/>
      <c r="E14" s="1875"/>
      <c r="F14" s="1876"/>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6" t="s">
        <v>1798</v>
      </c>
      <c r="C17" s="1881" t="s">
        <v>1796</v>
      </c>
      <c r="D17" s="1882">
        <v>500000</v>
      </c>
      <c r="E17" s="1882" t="str">
        <f>IF(D17&lt;25000,D17,"25,000")</f>
        <v>25,000</v>
      </c>
      <c r="F17" s="1883">
        <f>IF(D17&gt;=25000,(D17-E17),"0")</f>
        <v>475000</v>
      </c>
    </row>
    <row r="18" spans="1:7" x14ac:dyDescent="0.25">
      <c r="A18" s="2034" t="s">
        <v>2099</v>
      </c>
      <c r="B18" s="1907">
        <v>402550300</v>
      </c>
      <c r="C18" s="2035" t="s">
        <v>2100</v>
      </c>
      <c r="D18" s="1885">
        <v>376481</v>
      </c>
      <c r="E18" s="1905" t="str">
        <f t="shared" ref="E18:E19" si="0">IF(D18&lt;25000,D18,"25,000")</f>
        <v>25,000</v>
      </c>
      <c r="F18" s="1905">
        <f t="shared" ref="F18:F19" si="1">IF(D18&gt;=25000,(D18-E18),"0")</f>
        <v>351481</v>
      </c>
      <c r="G18" s="1886"/>
    </row>
    <row r="19" spans="1:7" x14ac:dyDescent="0.25">
      <c r="A19" s="1887"/>
      <c r="B19" s="1907"/>
      <c r="C19" s="1884"/>
      <c r="D19" s="1885"/>
      <c r="E19" s="1905">
        <f t="shared" si="0"/>
        <v>0</v>
      </c>
      <c r="F19" s="1905" t="str">
        <f t="shared" si="1"/>
        <v>0</v>
      </c>
    </row>
    <row r="20" spans="1:7" x14ac:dyDescent="0.25">
      <c r="A20" s="1887"/>
      <c r="B20" s="1908"/>
      <c r="C20" s="1888"/>
      <c r="D20" s="1885"/>
      <c r="E20" s="1905">
        <f t="shared" ref="E20:E37" si="2">IF(D20&lt;25000,D20,"25,000")</f>
        <v>0</v>
      </c>
      <c r="F20" s="1905" t="str">
        <f t="shared" ref="F20:F37" si="3">IF(D20&gt;=25000,(D20-E20),"0")</f>
        <v>0</v>
      </c>
    </row>
    <row r="21" spans="1:7" x14ac:dyDescent="0.25">
      <c r="A21" s="1887"/>
      <c r="B21" s="1908"/>
      <c r="C21" s="1888"/>
      <c r="D21" s="1885"/>
      <c r="E21" s="1905">
        <f t="shared" si="2"/>
        <v>0</v>
      </c>
      <c r="F21" s="1905" t="str">
        <f t="shared" si="3"/>
        <v>0</v>
      </c>
    </row>
    <row r="22" spans="1:7" x14ac:dyDescent="0.25">
      <c r="A22" s="1887"/>
      <c r="B22" s="1908"/>
      <c r="C22" s="1888"/>
      <c r="D22" s="1885"/>
      <c r="E22" s="1905">
        <f t="shared" si="2"/>
        <v>0</v>
      </c>
      <c r="F22" s="1905" t="str">
        <f t="shared" si="3"/>
        <v>0</v>
      </c>
    </row>
    <row r="23" spans="1:7" x14ac:dyDescent="0.25">
      <c r="A23" s="1887"/>
      <c r="B23" s="1908"/>
      <c r="C23" s="1888"/>
      <c r="D23" s="1885"/>
      <c r="E23" s="1905">
        <f t="shared" si="2"/>
        <v>0</v>
      </c>
      <c r="F23" s="1905" t="str">
        <f t="shared" si="3"/>
        <v>0</v>
      </c>
    </row>
    <row r="24" spans="1:7" x14ac:dyDescent="0.25">
      <c r="A24" s="1887"/>
      <c r="B24" s="1908"/>
      <c r="C24" s="1888"/>
      <c r="D24" s="1885"/>
      <c r="E24" s="1905">
        <f t="shared" si="2"/>
        <v>0</v>
      </c>
      <c r="F24" s="1905" t="str">
        <f t="shared" si="3"/>
        <v>0</v>
      </c>
    </row>
    <row r="25" spans="1:7" x14ac:dyDescent="0.25">
      <c r="A25" s="1887"/>
      <c r="B25" s="1908"/>
      <c r="C25" s="1888"/>
      <c r="D25" s="1885"/>
      <c r="E25" s="1905">
        <f t="shared" si="2"/>
        <v>0</v>
      </c>
      <c r="F25" s="1905" t="str">
        <f t="shared" si="3"/>
        <v>0</v>
      </c>
    </row>
    <row r="26" spans="1:7" x14ac:dyDescent="0.25">
      <c r="A26" s="1887"/>
      <c r="B26" s="1908"/>
      <c r="C26" s="1888"/>
      <c r="D26" s="1885"/>
      <c r="E26" s="1905">
        <f t="shared" si="2"/>
        <v>0</v>
      </c>
      <c r="F26" s="1905" t="str">
        <f t="shared" si="3"/>
        <v>0</v>
      </c>
    </row>
    <row r="27" spans="1:7" x14ac:dyDescent="0.25">
      <c r="A27" s="1887"/>
      <c r="B27" s="1908"/>
      <c r="C27" s="1888"/>
      <c r="D27" s="1885"/>
      <c r="E27" s="1905">
        <f t="shared" si="2"/>
        <v>0</v>
      </c>
      <c r="F27" s="1905" t="str">
        <f t="shared" si="3"/>
        <v>0</v>
      </c>
    </row>
    <row r="28" spans="1:7" x14ac:dyDescent="0.25">
      <c r="A28" s="1887"/>
      <c r="B28" s="1908"/>
      <c r="C28" s="1888"/>
      <c r="D28" s="1885"/>
      <c r="E28" s="1905">
        <f t="shared" si="2"/>
        <v>0</v>
      </c>
      <c r="F28" s="1905" t="str">
        <f t="shared" si="3"/>
        <v>0</v>
      </c>
    </row>
    <row r="29" spans="1:7" x14ac:dyDescent="0.25">
      <c r="A29" s="1887"/>
      <c r="B29" s="1908"/>
      <c r="C29" s="1888"/>
      <c r="D29" s="1885"/>
      <c r="E29" s="1905">
        <f t="shared" si="2"/>
        <v>0</v>
      </c>
      <c r="F29" s="1905" t="str">
        <f t="shared" si="3"/>
        <v>0</v>
      </c>
    </row>
    <row r="30" spans="1:7" x14ac:dyDescent="0.25">
      <c r="A30" s="1887"/>
      <c r="B30" s="1908"/>
      <c r="C30" s="1888"/>
      <c r="D30" s="1885"/>
      <c r="E30" s="1905">
        <f t="shared" si="2"/>
        <v>0</v>
      </c>
      <c r="F30" s="1905" t="str">
        <f t="shared" si="3"/>
        <v>0</v>
      </c>
    </row>
    <row r="31" spans="1:7" x14ac:dyDescent="0.25">
      <c r="A31" s="1887"/>
      <c r="B31" s="1908"/>
      <c r="C31" s="1888"/>
      <c r="D31" s="1885"/>
      <c r="E31" s="1905">
        <f t="shared" si="2"/>
        <v>0</v>
      </c>
      <c r="F31" s="1905" t="str">
        <f t="shared" si="3"/>
        <v>0</v>
      </c>
    </row>
    <row r="32" spans="1:7" x14ac:dyDescent="0.25">
      <c r="A32" s="1887"/>
      <c r="B32" s="1908"/>
      <c r="C32" s="1888"/>
      <c r="D32" s="1885"/>
      <c r="E32" s="1905">
        <f t="shared" si="2"/>
        <v>0</v>
      </c>
      <c r="F32" s="1905" t="str">
        <f t="shared" si="3"/>
        <v>0</v>
      </c>
    </row>
    <row r="33" spans="1:6" x14ac:dyDescent="0.25">
      <c r="A33" s="1887"/>
      <c r="B33" s="1908"/>
      <c r="C33" s="1888"/>
      <c r="D33" s="1885"/>
      <c r="E33" s="1905">
        <f t="shared" si="2"/>
        <v>0</v>
      </c>
      <c r="F33" s="1905" t="str">
        <f t="shared" si="3"/>
        <v>0</v>
      </c>
    </row>
    <row r="34" spans="1:6" x14ac:dyDescent="0.25">
      <c r="A34" s="1887"/>
      <c r="B34" s="1908"/>
      <c r="C34" s="1888"/>
      <c r="D34" s="1885"/>
      <c r="E34" s="1905">
        <f t="shared" si="2"/>
        <v>0</v>
      </c>
      <c r="F34" s="1905" t="str">
        <f t="shared" si="3"/>
        <v>0</v>
      </c>
    </row>
    <row r="35" spans="1:6" x14ac:dyDescent="0.25">
      <c r="A35" s="1887"/>
      <c r="B35" s="1908"/>
      <c r="C35" s="1888"/>
      <c r="D35" s="1885"/>
      <c r="E35" s="1905">
        <f t="shared" si="2"/>
        <v>0</v>
      </c>
      <c r="F35" s="1905" t="str">
        <f t="shared" si="3"/>
        <v>0</v>
      </c>
    </row>
    <row r="36" spans="1:6" x14ac:dyDescent="0.25">
      <c r="A36" s="1887"/>
      <c r="B36" s="1908"/>
      <c r="C36" s="1888"/>
      <c r="D36" s="1885"/>
      <c r="E36" s="1905">
        <f t="shared" si="2"/>
        <v>0</v>
      </c>
      <c r="F36" s="1905" t="str">
        <f t="shared" si="3"/>
        <v>0</v>
      </c>
    </row>
    <row r="37" spans="1:6" x14ac:dyDescent="0.25">
      <c r="A37" s="1887"/>
      <c r="B37" s="1909"/>
      <c r="C37" s="1888"/>
      <c r="D37" s="1885"/>
      <c r="E37" s="1905">
        <f t="shared" si="2"/>
        <v>0</v>
      </c>
      <c r="F37" s="1905" t="str">
        <f t="shared" si="3"/>
        <v>0</v>
      </c>
    </row>
    <row r="38" spans="1:6" x14ac:dyDescent="0.25">
      <c r="A38" s="1889" t="s">
        <v>155</v>
      </c>
      <c r="B38" s="1910"/>
      <c r="C38" s="1890"/>
      <c r="D38" s="1891">
        <f>SUM(D18:D37)</f>
        <v>376481</v>
      </c>
      <c r="E38" s="1892">
        <f>SUM(E18:E37)</f>
        <v>0</v>
      </c>
      <c r="F38" s="1893">
        <f>SUM(F18:F37)</f>
        <v>351481</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horizontalDpi="4294967293" verticalDpi="4294967293" r:id="rId1"/>
  <headerFooter>
    <oddHeader>&amp;LPage 29&amp;RPage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10" colorId="8" zoomScale="110" zoomScaleNormal="110" workbookViewId="0">
      <selection activeCell="J61" sqref="J6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171366</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1">
        <v>16524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2789505</v>
      </c>
      <c r="F19" s="1802"/>
      <c r="G19" s="1804">
        <f>'Expenditures 15-22'!K33-SUM('Expenditures 15-22'!G33,'Expenditures 15-22'!I33)+'Expenditures 15-22'!D229</f>
        <v>2789505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86787</v>
      </c>
      <c r="F21" s="1805"/>
      <c r="G21" s="1808">
        <f>'Expenditures 15-22'!K42-SUM('Expenditures 15-22'!G42,'Expenditures 15-22'!I42)+'Expenditures 15-22'!K120-SUM('Expenditures 15-22'!G120,'Expenditures 15-22'!I120)+'Expenditures 15-22'!K180-SUM('Expenditures 15-22'!G180,'Expenditures 15-22'!I180)+'Expenditures 15-22'!D238</f>
        <v>86787</v>
      </c>
      <c r="H21" s="817"/>
      <c r="I21" s="157"/>
    </row>
    <row r="22" spans="1:9" s="542" customFormat="1" ht="12" customHeight="1" x14ac:dyDescent="0.2">
      <c r="A22" s="824" t="s">
        <v>560</v>
      </c>
      <c r="B22" s="825"/>
      <c r="C22" s="823">
        <v>2200</v>
      </c>
      <c r="D22" s="1805"/>
      <c r="E22" s="1807">
        <f>'Expenditures 15-22'!K47-SUM('Expenditures 15-22'!G47,'Expenditures 15-22'!I47)+'Expenditures 15-22'!D243</f>
        <v>331209</v>
      </c>
      <c r="F22" s="1805"/>
      <c r="G22" s="1808">
        <f>'Expenditures 15-22'!K47-SUM('Expenditures 15-22'!G47,'Expenditures 15-22'!I47)+'Expenditures 15-22'!D243</f>
        <v>331209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310994</v>
      </c>
      <c r="F23" s="1805"/>
      <c r="G23" s="1807">
        <f>'Expenditures 15-22'!K53-SUM('Expenditures 15-22'!G53,'Expenditures 15-22'!I53)+'Expenditures 15-22'!D257+'Expenditures 15-22'!K330-SUM('Expenditures 15-22'!G330,'Expenditures 15-22'!I330)</f>
        <v>310994</v>
      </c>
      <c r="H23" s="817"/>
      <c r="I23" s="157"/>
    </row>
    <row r="24" spans="1:9" s="542" customFormat="1" ht="12" customHeight="1" x14ac:dyDescent="0.2">
      <c r="A24" s="824" t="s">
        <v>562</v>
      </c>
      <c r="B24" s="825"/>
      <c r="C24" s="823">
        <v>2400</v>
      </c>
      <c r="D24" s="1805"/>
      <c r="E24" s="1807">
        <f>'Expenditures 15-22'!K57-SUM('Expenditures 15-22'!G57,'Expenditures 15-22'!I57)+'Expenditures 15-22'!D261</f>
        <v>131496</v>
      </c>
      <c r="F24" s="1805"/>
      <c r="G24" s="1808">
        <f>'Expenditures 15-22'!K57-SUM('Expenditures 15-22'!G57,'Expenditures 15-22'!I57)+'Expenditures 15-22'!D261</f>
        <v>131496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65186</v>
      </c>
      <c r="E27" s="1807">
        <f>E8</f>
        <v>0</v>
      </c>
      <c r="F27" s="1807">
        <f>'Expenditures 15-22'!K60-SUM('Expenditures 15-22'!G60,'Expenditures 15-22'!I60)+'Expenditures 15-22'!D264-E8</f>
        <v>65186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539890</v>
      </c>
      <c r="F28" s="1809">
        <f>'Expenditures 15-22'!K61-SUM('Expenditures 15-22'!G61,'Expenditures 15-22'!I61)+'Expenditures 15-22'!K124-SUM('Expenditures 15-22'!G124,'Expenditures 15-22'!I124)+'Expenditures 15-22'!D266-E9</f>
        <v>539890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412117</v>
      </c>
      <c r="F29" s="1805"/>
      <c r="G29" s="1808">
        <f>'Expenditures 15-22'!K62-SUM('Expenditures 15-22'!G62,'Expenditures 15-22'!I62)+'Expenditures 15-22'!K125-SUM('Expenditures 15-22'!G125,'Expenditures 15-22'!I125)+'Expenditures 15-22'!K182-SUM('Expenditures 15-22'!G182,'Expenditures 15-22'!I182)+'Expenditures 15-22'!D267</f>
        <v>412117</v>
      </c>
      <c r="H29" s="815"/>
    </row>
    <row r="30" spans="1:9" ht="12" customHeight="1" x14ac:dyDescent="0.2">
      <c r="A30" s="824" t="s">
        <v>100</v>
      </c>
      <c r="B30" s="827"/>
      <c r="C30" s="823">
        <v>2560</v>
      </c>
      <c r="D30" s="1805"/>
      <c r="E30" s="1807">
        <f>'Expenditures 15-22'!K63-SUM('Expenditures 15-22'!G63,'Expenditures 15-22'!I63)+'Expenditures 15-22'!D268-E10</f>
        <v>19259</v>
      </c>
      <c r="F30" s="1805"/>
      <c r="G30" s="1807">
        <f>'Expenditures 15-22'!K63-SUM('Expenditures 15-22'!G63,'Expenditures 15-22'!I63)+'Expenditures 15-22'!D268-E10</f>
        <v>19259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61243</v>
      </c>
      <c r="F39" s="1805"/>
      <c r="G39" s="1807">
        <f>'Expenditures 15-22'!K75-SUM('Expenditures 15-22'!G75,'Expenditures 15-22'!I75)+'Expenditures 15-22'!K130-SUM('Expenditures 15-22'!G130,'Expenditures 15-22'!I130)+'Expenditures 15-22'!K185-SUM('Expenditures 15-22'!G185,'Expenditures 15-22'!I185)+'Expenditures 15-22'!D280</f>
        <v>61243</v>
      </c>
    </row>
    <row r="40" spans="1:7" ht="12" customHeight="1" x14ac:dyDescent="0.2">
      <c r="A40" s="820" t="s">
        <v>1797</v>
      </c>
      <c r="B40" s="821"/>
      <c r="C40" s="823"/>
      <c r="D40" s="1805"/>
      <c r="E40" s="1809">
        <f>-'Contracts Paid in CY 29'!F38</f>
        <v>-351481</v>
      </c>
      <c r="F40" s="1805"/>
      <c r="G40" s="1809">
        <f>-'Contracts Paid in CY 29'!F38</f>
        <v>-351481</v>
      </c>
    </row>
    <row r="41" spans="1:7" ht="12" customHeight="1" x14ac:dyDescent="0.2">
      <c r="A41" s="828" t="s">
        <v>155</v>
      </c>
      <c r="B41" s="829"/>
      <c r="C41" s="830"/>
      <c r="D41" s="1809">
        <f>SUM(D19:D39)</f>
        <v>65186</v>
      </c>
      <c r="E41" s="1809">
        <f>SUM(E19:E40)</f>
        <v>4331019</v>
      </c>
      <c r="F41" s="1809">
        <f>SUM(F19:F39)</f>
        <v>605076</v>
      </c>
      <c r="G41" s="1809">
        <f>SUM(G19:G40)</f>
        <v>3791129</v>
      </c>
    </row>
    <row r="42" spans="1:7" x14ac:dyDescent="0.2">
      <c r="A42" s="817"/>
      <c r="B42" s="157"/>
      <c r="C42" s="831"/>
      <c r="D42" s="2391" t="s">
        <v>519</v>
      </c>
      <c r="E42" s="2392"/>
      <c r="F42" s="832" t="s">
        <v>520</v>
      </c>
      <c r="G42" s="833"/>
    </row>
    <row r="43" spans="1:7" ht="12" customHeight="1" x14ac:dyDescent="0.2">
      <c r="A43" s="817"/>
      <c r="B43" s="157"/>
      <c r="C43" s="831"/>
      <c r="D43" s="1458" t="s">
        <v>470</v>
      </c>
      <c r="E43" s="1810">
        <f>D41</f>
        <v>65186</v>
      </c>
      <c r="F43" s="1458" t="s">
        <v>470</v>
      </c>
      <c r="G43" s="1810">
        <f>F41</f>
        <v>605076</v>
      </c>
    </row>
    <row r="44" spans="1:7" ht="12" customHeight="1" x14ac:dyDescent="0.2">
      <c r="A44" s="817"/>
      <c r="B44" s="157"/>
      <c r="C44" s="831"/>
      <c r="D44" s="1458" t="s">
        <v>471</v>
      </c>
      <c r="E44" s="1810">
        <f>E41</f>
        <v>4331019</v>
      </c>
      <c r="F44" s="1458" t="s">
        <v>471</v>
      </c>
      <c r="G44" s="1810">
        <f>G41</f>
        <v>3791129</v>
      </c>
    </row>
    <row r="45" spans="1:7" ht="12" customHeight="1" x14ac:dyDescent="0.2">
      <c r="A45" s="817"/>
      <c r="B45" s="157"/>
      <c r="C45" s="157"/>
      <c r="D45" s="1459" t="s">
        <v>999</v>
      </c>
      <c r="E45" s="1811">
        <f>(E43/E44)</f>
        <v>1.505096144810263E-2</v>
      </c>
      <c r="F45" s="1459" t="s">
        <v>999</v>
      </c>
      <c r="G45" s="1811">
        <f>(G43/G44)</f>
        <v>0.15960311558905013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16" zoomScale="110" zoomScaleNormal="110" workbookViewId="0">
      <selection activeCell="J61" sqref="J6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0" t="s">
        <v>1363</v>
      </c>
      <c r="B1" s="2410"/>
      <c r="C1" s="2410"/>
      <c r="D1" s="2410"/>
      <c r="E1" s="2410"/>
      <c r="F1" s="2410"/>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1" t="s">
        <v>1529</v>
      </c>
      <c r="B5" s="2412"/>
      <c r="C5" s="2413"/>
      <c r="D5" s="2413"/>
      <c r="E5" s="2413"/>
      <c r="F5" s="2413"/>
      <c r="G5" s="1507"/>
      <c r="L5" s="1507"/>
      <c r="M5" s="1855"/>
      <c r="N5" s="1855"/>
      <c r="O5" s="1855"/>
    </row>
    <row r="6" spans="1:15" ht="12" customHeight="1" x14ac:dyDescent="0.25">
      <c r="A6" s="1480"/>
      <c r="B6" s="1481"/>
      <c r="C6" s="2414" t="str">
        <f>COVER!A17</f>
        <v xml:space="preserve">  Nashville CCSD 49</v>
      </c>
      <c r="D6" s="2414"/>
      <c r="E6" s="2414"/>
      <c r="F6" s="1482"/>
      <c r="G6" s="1507"/>
      <c r="L6" s="1507"/>
      <c r="M6" s="1855"/>
      <c r="N6" s="1855"/>
      <c r="O6" s="1855"/>
    </row>
    <row r="7" spans="1:15" ht="11.25" customHeight="1" thickBot="1" x14ac:dyDescent="0.3">
      <c r="A7" s="1480"/>
      <c r="B7" s="1481"/>
      <c r="C7" s="2415">
        <f>COVER!A13</f>
        <v>13095049004</v>
      </c>
      <c r="D7" s="2415"/>
      <c r="E7" s="2415"/>
      <c r="F7" s="1482"/>
      <c r="G7" s="1507"/>
      <c r="L7" s="1507"/>
      <c r="M7" s="1855"/>
      <c r="N7" s="1855"/>
      <c r="O7" s="1855"/>
    </row>
    <row r="8" spans="1:15" ht="25.5" customHeight="1" thickBot="1" x14ac:dyDescent="0.25">
      <c r="A8" s="1519" t="s">
        <v>1873</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2070</v>
      </c>
      <c r="D11" s="1495" t="s">
        <v>2070</v>
      </c>
      <c r="E11" s="1496"/>
      <c r="F11" s="1497" t="s">
        <v>2071</v>
      </c>
      <c r="G11" s="1507"/>
      <c r="H11" s="1507">
        <f>IF(C11="X",5,0)</f>
        <v>5</v>
      </c>
      <c r="I11" s="1507">
        <f>IF(D11="X",5,0)</f>
        <v>5</v>
      </c>
      <c r="J11" s="1507">
        <f>IF(E11="X",5,0)</f>
        <v>0</v>
      </c>
      <c r="L11" s="1507"/>
      <c r="M11" s="1855"/>
      <c r="N11" s="1855"/>
      <c r="O11" s="1855"/>
    </row>
    <row r="12" spans="1:15" ht="12" customHeight="1" x14ac:dyDescent="0.2">
      <c r="A12" s="1493" t="s">
        <v>1368</v>
      </c>
      <c r="B12" s="1494"/>
      <c r="C12" s="1495" t="s">
        <v>2070</v>
      </c>
      <c r="D12" s="1495" t="s">
        <v>2070</v>
      </c>
      <c r="E12" s="1498"/>
      <c r="F12" s="1497" t="s">
        <v>2071</v>
      </c>
      <c r="G12" s="1507"/>
      <c r="H12" s="1507">
        <f t="shared" ref="H12:H33" si="0">IF(C12="X",5,0)</f>
        <v>5</v>
      </c>
      <c r="I12" s="1507">
        <f t="shared" ref="I12:I33" si="1">IF(D12="X",5,0)</f>
        <v>5</v>
      </c>
      <c r="J12" s="1507">
        <f t="shared" ref="J12:J33" si="2">IF(E12="X",5,0)</f>
        <v>0</v>
      </c>
      <c r="L12" s="1507"/>
      <c r="M12" s="1855"/>
      <c r="N12" s="1855"/>
      <c r="O12" s="1855"/>
    </row>
    <row r="13" spans="1:15" ht="12" customHeight="1" x14ac:dyDescent="0.2">
      <c r="A13" s="1493" t="s">
        <v>1369</v>
      </c>
      <c r="B13" s="1494"/>
      <c r="C13" s="1495" t="s">
        <v>2070</v>
      </c>
      <c r="D13" s="1495" t="s">
        <v>2070</v>
      </c>
      <c r="E13" s="1498"/>
      <c r="F13" s="1497" t="s">
        <v>2071</v>
      </c>
      <c r="G13" s="1507"/>
      <c r="H13" s="1507">
        <f t="shared" si="0"/>
        <v>5</v>
      </c>
      <c r="I13" s="1507">
        <f t="shared" si="1"/>
        <v>5</v>
      </c>
      <c r="J13" s="1507">
        <f t="shared" si="2"/>
        <v>0</v>
      </c>
      <c r="L13" s="1507"/>
      <c r="M13" s="1855"/>
      <c r="N13" s="1855"/>
      <c r="O13" s="1855"/>
    </row>
    <row r="14" spans="1:15" ht="12" customHeight="1" x14ac:dyDescent="0.2">
      <c r="A14" s="1493" t="s">
        <v>1370</v>
      </c>
      <c r="B14" s="1494"/>
      <c r="C14" s="1495" t="s">
        <v>2070</v>
      </c>
      <c r="D14" s="1495" t="s">
        <v>2070</v>
      </c>
      <c r="E14" s="1498"/>
      <c r="F14" s="1497"/>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2070</v>
      </c>
      <c r="D16" s="1495" t="s">
        <v>2070</v>
      </c>
      <c r="E16" s="1498"/>
      <c r="F16" s="1497" t="s">
        <v>2072</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2070</v>
      </c>
      <c r="D19" s="1495" t="s">
        <v>2070</v>
      </c>
      <c r="E19" s="1498"/>
      <c r="F19" s="1497" t="s">
        <v>2073</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2070</v>
      </c>
      <c r="D24" s="1495" t="s">
        <v>2070</v>
      </c>
      <c r="E24" s="1498"/>
      <c r="F24" s="1497" t="s">
        <v>2074</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2070</v>
      </c>
      <c r="D25" s="1495" t="s">
        <v>2070</v>
      </c>
      <c r="E25" s="1498"/>
      <c r="F25" s="1497"/>
      <c r="G25" s="1507"/>
      <c r="H25" s="1507">
        <f t="shared" si="0"/>
        <v>5</v>
      </c>
      <c r="I25" s="1507">
        <f t="shared" si="1"/>
        <v>5</v>
      </c>
      <c r="J25" s="1507">
        <f t="shared" si="2"/>
        <v>0</v>
      </c>
      <c r="L25" s="1507"/>
      <c r="M25" s="1855"/>
      <c r="N25" s="1855"/>
      <c r="O25" s="1855"/>
    </row>
    <row r="26" spans="1:15" ht="12" customHeight="1" x14ac:dyDescent="0.2">
      <c r="A26" s="1493" t="s">
        <v>1517</v>
      </c>
      <c r="B26" s="1494"/>
      <c r="C26" s="1495" t="s">
        <v>2070</v>
      </c>
      <c r="D26" s="1495" t="s">
        <v>2070</v>
      </c>
      <c r="E26" s="1498"/>
      <c r="F26" s="1497" t="s">
        <v>2075</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2070</v>
      </c>
      <c r="D28" s="1495" t="s">
        <v>2070</v>
      </c>
      <c r="E28" s="1498"/>
      <c r="F28" s="1497" t="s">
        <v>2076</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2070</v>
      </c>
      <c r="D30" s="1495" t="s">
        <v>2070</v>
      </c>
      <c r="E30" s="1498"/>
      <c r="F30" s="1497" t="s">
        <v>2071</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55</v>
      </c>
      <c r="I34" s="1507">
        <f>SUM(I11:I32)</f>
        <v>55</v>
      </c>
      <c r="J34" s="1507">
        <f>SUM(J11:J32)</f>
        <v>0</v>
      </c>
      <c r="K34" s="1507">
        <f>SUM(H34:J34)</f>
        <v>110</v>
      </c>
      <c r="L34" s="1507"/>
      <c r="M34" s="1855"/>
      <c r="N34" s="1855"/>
      <c r="O34" s="1855"/>
    </row>
    <row r="35" spans="1:15" ht="12" customHeight="1" x14ac:dyDescent="0.2">
      <c r="A35" s="1500" t="s">
        <v>1376</v>
      </c>
      <c r="B35" s="1501"/>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2"/>
      <c r="B39" s="1502"/>
      <c r="C39" s="1502"/>
      <c r="D39" s="1502"/>
      <c r="E39" s="1502"/>
      <c r="F39" s="1502"/>
    </row>
    <row r="40" spans="1:15" s="1499" customFormat="1" ht="12" customHeight="1" x14ac:dyDescent="0.25">
      <c r="A40" s="1503" t="s">
        <v>1375</v>
      </c>
      <c r="B40" s="1504"/>
      <c r="C40" s="2405"/>
      <c r="D40" s="2405"/>
      <c r="E40" s="2405"/>
      <c r="F40" s="2406"/>
      <c r="H40" s="1508"/>
      <c r="I40" s="1508"/>
      <c r="J40" s="1508"/>
      <c r="K40" s="1508"/>
    </row>
    <row r="41" spans="1:15" s="1499" customFormat="1" ht="12" customHeight="1" x14ac:dyDescent="0.25">
      <c r="A41" s="2407"/>
      <c r="B41" s="2408"/>
      <c r="C41" s="2408"/>
      <c r="D41" s="2408"/>
      <c r="E41" s="2408"/>
      <c r="F41" s="2409"/>
      <c r="H41" s="1508"/>
      <c r="I41" s="1508"/>
      <c r="J41" s="1508"/>
      <c r="K41" s="1508"/>
    </row>
    <row r="42" spans="1:15" s="1499" customFormat="1" ht="12" customHeight="1" x14ac:dyDescent="0.25">
      <c r="A42" s="2407"/>
      <c r="B42" s="2408"/>
      <c r="C42" s="2408"/>
      <c r="D42" s="2408"/>
      <c r="E42" s="2408"/>
      <c r="F42" s="2409"/>
      <c r="H42" s="1508"/>
      <c r="I42" s="1508"/>
      <c r="J42" s="1508"/>
      <c r="K42" s="1508"/>
    </row>
    <row r="43" spans="1:15" s="1499" customFormat="1" ht="15" x14ac:dyDescent="0.25">
      <c r="A43" s="2396"/>
      <c r="B43" s="2397"/>
      <c r="C43" s="2397"/>
      <c r="D43" s="2397"/>
      <c r="E43" s="2397"/>
      <c r="F43" s="2398"/>
      <c r="H43" s="1508"/>
      <c r="I43" s="1508"/>
      <c r="J43" s="1508"/>
      <c r="K43" s="1508"/>
    </row>
    <row r="44" spans="1:15" s="1499" customFormat="1" ht="12" hidden="1" customHeight="1" x14ac:dyDescent="0.25">
      <c r="A44" s="2396"/>
      <c r="B44" s="2397"/>
      <c r="C44" s="2397"/>
      <c r="D44" s="2397"/>
      <c r="E44" s="2397"/>
      <c r="F44" s="2398"/>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 zoomScaleNormal="100" workbookViewId="0">
      <selection activeCell="J61" sqref="J61"/>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2001</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36" t="str">
        <f>COVER!A17</f>
        <v xml:space="preserve">  Nashville CCSD 49</v>
      </c>
      <c r="K6" s="2436"/>
      <c r="L6" s="2450"/>
      <c r="M6" s="838"/>
      <c r="N6" s="1997"/>
    </row>
    <row r="7" spans="1:14" x14ac:dyDescent="0.2">
      <c r="A7" s="2451" t="s">
        <v>864</v>
      </c>
      <c r="B7" s="2452"/>
      <c r="C7" s="2452"/>
      <c r="D7" s="2452"/>
      <c r="E7" s="2453"/>
      <c r="F7" s="839"/>
      <c r="G7" s="838"/>
      <c r="H7" s="838"/>
      <c r="I7" s="1923" t="s">
        <v>369</v>
      </c>
      <c r="J7" s="2438">
        <f>COVER!A13</f>
        <v>13095049004</v>
      </c>
      <c r="K7" s="2438"/>
      <c r="L7" s="243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2017</v>
      </c>
      <c r="F9" s="1857"/>
      <c r="G9" s="1857"/>
      <c r="H9" s="1857"/>
      <c r="I9" s="1928" t="s">
        <v>2018</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54" t="s">
        <v>478</v>
      </c>
      <c r="B11" s="2455"/>
      <c r="C11" s="2456"/>
      <c r="D11" s="1936" t="s">
        <v>866</v>
      </c>
      <c r="E11" s="1936" t="s">
        <v>64</v>
      </c>
      <c r="F11" s="1936" t="s">
        <v>6</v>
      </c>
      <c r="G11" s="1937" t="s">
        <v>2019</v>
      </c>
      <c r="H11" s="1938" t="s">
        <v>155</v>
      </c>
      <c r="I11" s="1936" t="s">
        <v>64</v>
      </c>
      <c r="J11" s="1936" t="s">
        <v>6</v>
      </c>
      <c r="K11" s="1937" t="s">
        <v>2000</v>
      </c>
      <c r="L11" s="1938" t="s">
        <v>155</v>
      </c>
      <c r="M11" s="838"/>
      <c r="N11" s="1997"/>
    </row>
    <row r="12" spans="1:14" x14ac:dyDescent="0.2">
      <c r="A12" s="2002">
        <v>1</v>
      </c>
      <c r="B12" s="1939" t="s">
        <v>813</v>
      </c>
      <c r="C12" s="842"/>
      <c r="D12" s="1940">
        <v>2320</v>
      </c>
      <c r="E12" s="1943">
        <f>'Expenditures 15-22'!K50</f>
        <v>106333</v>
      </c>
      <c r="F12" s="1941"/>
      <c r="G12" s="1967">
        <f>G68</f>
        <v>43808</v>
      </c>
      <c r="H12" s="1943">
        <f t="shared" ref="H12:H18" si="0">SUM(E12:G12)</f>
        <v>150141</v>
      </c>
      <c r="I12" s="1942">
        <v>110515</v>
      </c>
      <c r="J12" s="1941"/>
      <c r="K12" s="1942">
        <v>48000</v>
      </c>
      <c r="L12" s="1943">
        <f t="shared" ref="L12:L18" si="1">SUM(I12:K12)</f>
        <v>158515</v>
      </c>
      <c r="M12" s="838"/>
      <c r="N12" s="1997"/>
    </row>
    <row r="13" spans="1:14" x14ac:dyDescent="0.2">
      <c r="A13" s="2002">
        <v>2</v>
      </c>
      <c r="B13" s="1939" t="s">
        <v>42</v>
      </c>
      <c r="C13" s="842"/>
      <c r="D13" s="1940">
        <v>2330</v>
      </c>
      <c r="E13" s="1943">
        <f>'Expenditures 15-22'!K51</f>
        <v>8000</v>
      </c>
      <c r="F13" s="1941"/>
      <c r="G13" s="1967">
        <f>H68</f>
        <v>0</v>
      </c>
      <c r="H13" s="1943">
        <f t="shared" si="0"/>
        <v>8000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7" t="s">
        <v>7</v>
      </c>
      <c r="C18" s="2458"/>
      <c r="D18" s="2459"/>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114333</v>
      </c>
      <c r="F19" s="1949">
        <f t="shared" si="2"/>
        <v>0</v>
      </c>
      <c r="G19" s="1949">
        <f t="shared" ref="G19" si="3">SUM(G12:G17)-G18</f>
        <v>43808</v>
      </c>
      <c r="H19" s="1949">
        <f t="shared" si="2"/>
        <v>158141</v>
      </c>
      <c r="I19" s="1949">
        <f t="shared" si="2"/>
        <v>110515</v>
      </c>
      <c r="J19" s="1949">
        <f t="shared" si="2"/>
        <v>0</v>
      </c>
      <c r="K19" s="1949">
        <f t="shared" si="2"/>
        <v>48000</v>
      </c>
      <c r="L19" s="1949">
        <f t="shared" si="2"/>
        <v>158515</v>
      </c>
      <c r="M19" s="838"/>
      <c r="N19" s="1997"/>
    </row>
    <row r="20" spans="1:14" ht="13.5" thickTop="1" x14ac:dyDescent="0.2">
      <c r="A20" s="2002">
        <v>9</v>
      </c>
      <c r="B20" s="2460" t="s">
        <v>2020</v>
      </c>
      <c r="C20" s="2460"/>
      <c r="D20" s="2461"/>
      <c r="E20" s="1950"/>
      <c r="F20" s="1950"/>
      <c r="G20" s="1950"/>
      <c r="H20" s="1950"/>
      <c r="I20" s="1950"/>
      <c r="J20" s="1950"/>
      <c r="K20" s="1950"/>
      <c r="L20" s="1951">
        <f>IF(AND(H19&gt;0,L19&gt;0),(((L19-H19)/H19)),"Enter Budget Data")</f>
        <v>2.3649780891735854E-3</v>
      </c>
      <c r="M20" s="838"/>
      <c r="N20" s="1997"/>
    </row>
    <row r="21" spans="1:14" x14ac:dyDescent="0.2">
      <c r="A21" s="2004" t="s">
        <v>194</v>
      </c>
      <c r="B21" s="2005" t="s">
        <v>2045</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2021</v>
      </c>
      <c r="B24" s="2009"/>
      <c r="C24" s="2010"/>
      <c r="D24" s="2010"/>
      <c r="E24" s="2010"/>
      <c r="F24" s="2010"/>
      <c r="G24" s="2010"/>
      <c r="H24" s="2010"/>
      <c r="I24" s="2010"/>
      <c r="J24" s="2010"/>
      <c r="K24" s="2010"/>
      <c r="L24" s="838"/>
      <c r="M24" s="838"/>
      <c r="N24" s="1997"/>
    </row>
    <row r="25" spans="1:14" x14ac:dyDescent="0.2">
      <c r="A25" s="2008" t="s">
        <v>2022</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2"/>
      <c r="D27" s="2462"/>
      <c r="E27" s="843"/>
      <c r="F27" s="2463"/>
      <c r="G27" s="2463"/>
      <c r="H27" s="2463"/>
      <c r="I27" s="838"/>
      <c r="J27" s="838"/>
      <c r="K27" s="838"/>
      <c r="L27" s="838"/>
      <c r="M27" s="838"/>
      <c r="N27" s="1997"/>
    </row>
    <row r="28" spans="1:14" x14ac:dyDescent="0.2">
      <c r="A28" s="1996"/>
      <c r="B28" s="2006"/>
      <c r="C28" s="1956" t="s">
        <v>1026</v>
      </c>
      <c r="D28" s="844"/>
      <c r="E28" s="1957"/>
      <c r="F28" s="2464" t="s">
        <v>1492</v>
      </c>
      <c r="G28" s="2464"/>
      <c r="H28" s="2464"/>
      <c r="I28" s="838"/>
      <c r="J28" s="838"/>
      <c r="K28" s="838"/>
      <c r="L28" s="838"/>
      <c r="M28" s="838"/>
      <c r="N28" s="1997"/>
    </row>
    <row r="29" spans="1:14" x14ac:dyDescent="0.2">
      <c r="A29" s="1996"/>
      <c r="B29" s="2006"/>
      <c r="C29" s="2465" t="s">
        <v>2055</v>
      </c>
      <c r="D29" s="2465"/>
      <c r="E29" s="845"/>
      <c r="F29" s="2465" t="s">
        <v>2089</v>
      </c>
      <c r="G29" s="2465"/>
      <c r="H29" s="2465"/>
      <c r="I29" s="838"/>
      <c r="J29" s="838"/>
      <c r="K29" s="838"/>
      <c r="L29" s="838"/>
      <c r="M29" s="838"/>
      <c r="N29" s="1997"/>
    </row>
    <row r="30" spans="1:14" x14ac:dyDescent="0.2">
      <c r="A30" s="1996"/>
      <c r="B30" s="2006"/>
      <c r="C30" s="1959" t="s">
        <v>1544</v>
      </c>
      <c r="D30" s="838"/>
      <c r="E30" s="1958"/>
      <c r="F30" s="2449" t="s">
        <v>1493</v>
      </c>
      <c r="G30" s="2449"/>
      <c r="H30" s="244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6" t="s">
        <v>2023</v>
      </c>
      <c r="D34" s="2427"/>
      <c r="E34" s="2427"/>
      <c r="F34" s="2427"/>
      <c r="G34" s="2427"/>
      <c r="H34" s="2427"/>
      <c r="I34" s="2427"/>
      <c r="J34" s="2427"/>
      <c r="K34" s="2015"/>
      <c r="L34" s="838"/>
      <c r="M34" s="838"/>
      <c r="N34" s="1997"/>
    </row>
    <row r="35" spans="1:14" x14ac:dyDescent="0.2">
      <c r="A35" s="1996"/>
      <c r="B35" s="838"/>
      <c r="C35" s="2427"/>
      <c r="D35" s="2427"/>
      <c r="E35" s="2427"/>
      <c r="F35" s="2427"/>
      <c r="G35" s="2427"/>
      <c r="H35" s="2427"/>
      <c r="I35" s="2427"/>
      <c r="J35" s="242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26" t="s">
        <v>2024</v>
      </c>
      <c r="D37" s="2427"/>
      <c r="E37" s="2427"/>
      <c r="F37" s="2427"/>
      <c r="G37" s="2427"/>
      <c r="H37" s="2427"/>
      <c r="I37" s="2427"/>
      <c r="J37" s="2427"/>
      <c r="K37" s="2015"/>
      <c r="L37" s="2017"/>
      <c r="M37" s="838"/>
      <c r="N37" s="1997"/>
    </row>
    <row r="38" spans="1:14" x14ac:dyDescent="0.2">
      <c r="A38" s="1996"/>
      <c r="B38" s="838"/>
      <c r="C38" s="2427"/>
      <c r="D38" s="2427"/>
      <c r="E38" s="2427"/>
      <c r="F38" s="2427"/>
      <c r="G38" s="2427"/>
      <c r="H38" s="2427"/>
      <c r="I38" s="2427"/>
      <c r="J38" s="242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28" t="s">
        <v>2025</v>
      </c>
      <c r="D40" s="2429"/>
      <c r="E40" s="2429"/>
      <c r="F40" s="2429"/>
      <c r="G40" s="2429"/>
      <c r="H40" s="2429"/>
      <c r="I40" s="2429"/>
      <c r="J40" s="242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0" t="s">
        <v>2026</v>
      </c>
      <c r="B43" s="2431"/>
      <c r="C43" s="2431"/>
      <c r="D43" s="2431"/>
      <c r="E43" s="2431"/>
      <c r="F43" s="2431"/>
      <c r="G43" s="2431"/>
      <c r="H43" s="2431"/>
      <c r="I43" s="2431"/>
      <c r="J43" s="2431"/>
      <c r="K43" s="2431"/>
      <c r="L43" s="2431"/>
      <c r="M43" s="2431"/>
      <c r="N43" s="2432"/>
    </row>
    <row r="44" spans="1:14" x14ac:dyDescent="0.2">
      <c r="A44" s="1981"/>
      <c r="B44" s="1982"/>
      <c r="C44" s="1982"/>
      <c r="D44" s="1982"/>
      <c r="E44" s="1982"/>
      <c r="F44" s="1982"/>
      <c r="G44" s="1982"/>
      <c r="H44" s="1982"/>
      <c r="I44" s="1982"/>
      <c r="J44" s="1982"/>
      <c r="K44" s="1982"/>
      <c r="L44" s="1982"/>
      <c r="M44" s="1982"/>
      <c r="N44" s="1983"/>
    </row>
    <row r="45" spans="1:14" x14ac:dyDescent="0.2">
      <c r="A45" s="1981" t="s">
        <v>2027</v>
      </c>
      <c r="B45" s="1982"/>
      <c r="C45" s="1982"/>
      <c r="D45" s="1982"/>
      <c r="E45" s="1982"/>
      <c r="F45" s="1982"/>
      <c r="G45" s="1982"/>
      <c r="H45" s="1982"/>
      <c r="I45" s="1982"/>
      <c r="J45" s="1982"/>
      <c r="K45" s="1982"/>
      <c r="L45" s="1982"/>
      <c r="M45" s="1982"/>
      <c r="N45" s="1983"/>
    </row>
    <row r="46" spans="1:14" x14ac:dyDescent="0.2">
      <c r="A46" s="2433" t="s">
        <v>2028</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2044</v>
      </c>
      <c r="B49" s="2023"/>
      <c r="C49" s="2023"/>
      <c r="D49" s="2024"/>
      <c r="E49" s="2024"/>
      <c r="F49" s="2024"/>
      <c r="G49" s="2024"/>
      <c r="H49" s="2024"/>
      <c r="I49" s="2024"/>
      <c r="J49" s="2024"/>
      <c r="K49" s="2024"/>
      <c r="L49" s="2024"/>
      <c r="M49" s="2024"/>
      <c r="N49" s="2025"/>
    </row>
    <row r="50" spans="1:14" ht="15" x14ac:dyDescent="0.25">
      <c r="A50" s="2027" t="s">
        <v>2043</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6" t="str">
        <f>J6</f>
        <v xml:space="preserve">  Nashville CCSD 49</v>
      </c>
      <c r="M52" s="2436"/>
      <c r="N52" s="2437"/>
    </row>
    <row r="53" spans="1:14" x14ac:dyDescent="0.2">
      <c r="A53" s="1981"/>
      <c r="B53" s="1982"/>
      <c r="C53" s="1982"/>
      <c r="D53" s="1982"/>
      <c r="E53" s="1982"/>
      <c r="F53" s="1982"/>
      <c r="G53" s="1982"/>
      <c r="H53" s="1982"/>
      <c r="I53" s="1982"/>
      <c r="J53" s="1982"/>
      <c r="K53" s="1923" t="s">
        <v>369</v>
      </c>
      <c r="L53" s="2438">
        <f>J7</f>
        <v>13095049004</v>
      </c>
      <c r="M53" s="2438"/>
      <c r="N53" s="243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0"/>
      <c r="B55" s="2441"/>
      <c r="C55" s="2441"/>
      <c r="D55" s="1969"/>
      <c r="E55" s="1969"/>
      <c r="F55" s="1969"/>
      <c r="G55" s="2442" t="s">
        <v>2029</v>
      </c>
      <c r="H55" s="2442"/>
      <c r="I55" s="2442"/>
      <c r="J55" s="2442"/>
      <c r="K55" s="2442"/>
      <c r="L55" s="2442"/>
      <c r="M55" s="2442"/>
      <c r="N55" s="2443"/>
    </row>
    <row r="56" spans="1:14" ht="63.75" x14ac:dyDescent="0.2">
      <c r="A56" s="2444" t="s">
        <v>2030</v>
      </c>
      <c r="B56" s="2445"/>
      <c r="C56" s="2446"/>
      <c r="D56" s="1963" t="s">
        <v>2031</v>
      </c>
      <c r="E56" s="1963" t="s">
        <v>2032</v>
      </c>
      <c r="F56" s="1970"/>
      <c r="G56" s="1963" t="s">
        <v>2033</v>
      </c>
      <c r="H56" s="1963" t="s">
        <v>2034</v>
      </c>
      <c r="I56" s="1963" t="s">
        <v>2035</v>
      </c>
      <c r="J56" s="1963" t="s">
        <v>2036</v>
      </c>
      <c r="K56" s="1963" t="s">
        <v>2037</v>
      </c>
      <c r="L56" s="1963" t="s">
        <v>2038</v>
      </c>
      <c r="M56" s="1963" t="s">
        <v>2039</v>
      </c>
      <c r="N56" s="1964" t="s">
        <v>2046</v>
      </c>
    </row>
    <row r="57" spans="1:14" ht="24.75" customHeight="1" x14ac:dyDescent="0.2">
      <c r="A57" s="2447" t="s">
        <v>296</v>
      </c>
      <c r="B57" s="2448"/>
      <c r="C57" s="2448"/>
      <c r="D57" s="1965">
        <v>2361</v>
      </c>
      <c r="E57" s="1975">
        <f>'Expenditures 15-22'!K319</f>
        <v>0</v>
      </c>
      <c r="F57" s="1971"/>
      <c r="G57" s="2028"/>
      <c r="H57" s="2029"/>
      <c r="I57" s="2029"/>
      <c r="J57" s="2029"/>
      <c r="K57" s="2029"/>
      <c r="L57" s="2029"/>
      <c r="M57" s="2029">
        <v>0</v>
      </c>
      <c r="N57" s="1974">
        <f>IF((SUM(G57:M57))=E57,SUM(G57:M57),"Column N does not agree with Column E")</f>
        <v>0</v>
      </c>
    </row>
    <row r="58" spans="1:14" ht="24" customHeight="1" x14ac:dyDescent="0.2">
      <c r="A58" s="2424" t="s">
        <v>2040</v>
      </c>
      <c r="B58" s="2425"/>
      <c r="C58" s="2425"/>
      <c r="D58" s="1966">
        <v>2362</v>
      </c>
      <c r="E58" s="1976">
        <f>'Expenditures 15-22'!K320</f>
        <v>21252</v>
      </c>
      <c r="F58" s="1971"/>
      <c r="G58" s="2030"/>
      <c r="H58" s="2031"/>
      <c r="I58" s="2031"/>
      <c r="J58" s="2031"/>
      <c r="K58" s="2031"/>
      <c r="L58" s="2031"/>
      <c r="M58" s="2031">
        <v>21252</v>
      </c>
      <c r="N58" s="1974">
        <f>IF((SUM(G58:M58))=E58,SUM(G58:M58),"Column N does not agree with Column E")</f>
        <v>21252</v>
      </c>
    </row>
    <row r="59" spans="1:14" ht="24.75" customHeight="1" x14ac:dyDescent="0.2">
      <c r="A59" s="2418" t="s">
        <v>297</v>
      </c>
      <c r="B59" s="2419"/>
      <c r="C59" s="2419"/>
      <c r="D59" s="1966">
        <v>2363</v>
      </c>
      <c r="E59" s="1976">
        <f>'Expenditures 15-22'!K321</f>
        <v>5764</v>
      </c>
      <c r="F59" s="1971"/>
      <c r="G59" s="2030"/>
      <c r="H59" s="2031"/>
      <c r="I59" s="2031"/>
      <c r="J59" s="2031"/>
      <c r="K59" s="2031"/>
      <c r="L59" s="2031"/>
      <c r="M59" s="2031">
        <v>5764</v>
      </c>
      <c r="N59" s="1974">
        <f>IF((SUM(G59:M59))=E59,SUM(G59:M59),"Column N does not agree with Column E")</f>
        <v>5764</v>
      </c>
    </row>
    <row r="60" spans="1:14" ht="24" customHeight="1" x14ac:dyDescent="0.2">
      <c r="A60" s="2418" t="s">
        <v>236</v>
      </c>
      <c r="B60" s="2419"/>
      <c r="C60" s="2419"/>
      <c r="D60" s="1966">
        <v>2364</v>
      </c>
      <c r="E60" s="1976">
        <f>'Expenditures 15-22'!K322</f>
        <v>0</v>
      </c>
      <c r="F60" s="1971"/>
      <c r="G60" s="2030"/>
      <c r="H60" s="2031"/>
      <c r="I60" s="2031"/>
      <c r="J60" s="2031"/>
      <c r="K60" s="2031"/>
      <c r="L60" s="2031"/>
      <c r="M60" s="2031">
        <v>0</v>
      </c>
      <c r="N60" s="1974">
        <f t="shared" ref="N60:N67" si="4">IF((SUM(G60:M60))=E60,SUM(G60:M60),"Column N does not agree with Column E")</f>
        <v>0</v>
      </c>
    </row>
    <row r="61" spans="1:14" ht="24.75" customHeight="1" x14ac:dyDescent="0.2">
      <c r="A61" s="2418" t="s">
        <v>697</v>
      </c>
      <c r="B61" s="2419"/>
      <c r="C61" s="2419"/>
      <c r="D61" s="1966">
        <v>2365</v>
      </c>
      <c r="E61" s="1976">
        <f>'Expenditures 15-22'!K323</f>
        <v>0</v>
      </c>
      <c r="F61" s="1971"/>
      <c r="G61" s="2030"/>
      <c r="H61" s="2031"/>
      <c r="I61" s="2031"/>
      <c r="J61" s="2031"/>
      <c r="K61" s="2031"/>
      <c r="L61" s="2031"/>
      <c r="M61" s="2031">
        <v>0</v>
      </c>
      <c r="N61" s="1974">
        <f t="shared" si="4"/>
        <v>0</v>
      </c>
    </row>
    <row r="62" spans="1:14" ht="24" customHeight="1" x14ac:dyDescent="0.2">
      <c r="A62" s="2418" t="s">
        <v>237</v>
      </c>
      <c r="B62" s="2419"/>
      <c r="C62" s="2419"/>
      <c r="D62" s="1966">
        <v>2366</v>
      </c>
      <c r="E62" s="1976">
        <f>'Expenditures 15-22'!K324</f>
        <v>0</v>
      </c>
      <c r="F62" s="1971"/>
      <c r="G62" s="2030"/>
      <c r="H62" s="2031"/>
      <c r="I62" s="2031"/>
      <c r="J62" s="2031"/>
      <c r="K62" s="2031"/>
      <c r="L62" s="2031"/>
      <c r="M62" s="2031">
        <v>0</v>
      </c>
      <c r="N62" s="1974">
        <f t="shared" si="4"/>
        <v>0</v>
      </c>
    </row>
    <row r="63" spans="1:14" ht="24" customHeight="1" x14ac:dyDescent="0.2">
      <c r="A63" s="2424" t="s">
        <v>1022</v>
      </c>
      <c r="B63" s="2425"/>
      <c r="C63" s="2425"/>
      <c r="D63" s="1966">
        <v>2367</v>
      </c>
      <c r="E63" s="1976">
        <f>'Expenditures 15-22'!K325</f>
        <v>112115</v>
      </c>
      <c r="F63" s="1971"/>
      <c r="G63" s="2030">
        <v>43808</v>
      </c>
      <c r="H63" s="2031"/>
      <c r="I63" s="2031"/>
      <c r="J63" s="2031"/>
      <c r="K63" s="2031"/>
      <c r="L63" s="2031"/>
      <c r="M63" s="2031">
        <v>68307</v>
      </c>
      <c r="N63" s="1974">
        <f t="shared" si="4"/>
        <v>112115</v>
      </c>
    </row>
    <row r="64" spans="1:14" ht="24" customHeight="1" x14ac:dyDescent="0.2">
      <c r="A64" s="2418" t="s">
        <v>1023</v>
      </c>
      <c r="B64" s="2419"/>
      <c r="C64" s="2419"/>
      <c r="D64" s="1966">
        <v>2368</v>
      </c>
      <c r="E64" s="1976">
        <f>'Expenditures 15-22'!K326</f>
        <v>0</v>
      </c>
      <c r="F64" s="1971"/>
      <c r="G64" s="2030"/>
      <c r="H64" s="2031"/>
      <c r="I64" s="2031"/>
      <c r="J64" s="2031"/>
      <c r="K64" s="2031"/>
      <c r="L64" s="2031"/>
      <c r="M64" s="2031">
        <v>0</v>
      </c>
      <c r="N64" s="1974">
        <f t="shared" si="4"/>
        <v>0</v>
      </c>
    </row>
    <row r="65" spans="1:14" ht="24" customHeight="1" x14ac:dyDescent="0.2">
      <c r="A65" s="2418" t="s">
        <v>965</v>
      </c>
      <c r="B65" s="2419"/>
      <c r="C65" s="2419"/>
      <c r="D65" s="1966">
        <v>2369</v>
      </c>
      <c r="E65" s="1976">
        <f>'Expenditures 15-22'!K327</f>
        <v>6450</v>
      </c>
      <c r="F65" s="1971"/>
      <c r="G65" s="2030"/>
      <c r="H65" s="2031"/>
      <c r="I65" s="2031"/>
      <c r="J65" s="2031"/>
      <c r="K65" s="2031"/>
      <c r="L65" s="2031"/>
      <c r="M65" s="2031">
        <v>6450</v>
      </c>
      <c r="N65" s="1974">
        <f t="shared" si="4"/>
        <v>6450</v>
      </c>
    </row>
    <row r="66" spans="1:14" ht="24" customHeight="1" x14ac:dyDescent="0.2">
      <c r="A66" s="2418" t="s">
        <v>469</v>
      </c>
      <c r="B66" s="2419"/>
      <c r="C66" s="2419"/>
      <c r="D66" s="1966">
        <v>2371</v>
      </c>
      <c r="E66" s="1976">
        <f>'Expenditures 15-22'!K328</f>
        <v>29208</v>
      </c>
      <c r="F66" s="1971"/>
      <c r="G66" s="2030"/>
      <c r="H66" s="2031"/>
      <c r="I66" s="2031"/>
      <c r="J66" s="2031"/>
      <c r="K66" s="2031"/>
      <c r="L66" s="2031"/>
      <c r="M66" s="2031">
        <v>29208</v>
      </c>
      <c r="N66" s="1974">
        <f t="shared" si="4"/>
        <v>29208</v>
      </c>
    </row>
    <row r="67" spans="1:14" ht="24.75" customHeight="1" x14ac:dyDescent="0.2">
      <c r="A67" s="2420" t="s">
        <v>2041</v>
      </c>
      <c r="B67" s="2421"/>
      <c r="C67" s="2421"/>
      <c r="D67" s="1968">
        <v>2372</v>
      </c>
      <c r="E67" s="1977">
        <f>'Expenditures 15-22'!K329</f>
        <v>0</v>
      </c>
      <c r="F67" s="1971"/>
      <c r="G67" s="2032"/>
      <c r="H67" s="2033"/>
      <c r="I67" s="2033"/>
      <c r="J67" s="2033"/>
      <c r="K67" s="2033"/>
      <c r="L67" s="2033"/>
      <c r="M67" s="2033">
        <v>0</v>
      </c>
      <c r="N67" s="1974">
        <f t="shared" si="4"/>
        <v>0</v>
      </c>
    </row>
    <row r="68" spans="1:14" x14ac:dyDescent="0.2">
      <c r="A68" s="2422" t="s">
        <v>1151</v>
      </c>
      <c r="B68" s="2423"/>
      <c r="C68" s="2423"/>
      <c r="D68" s="1969"/>
      <c r="E68" s="1973">
        <f>SUM(E57:E67)</f>
        <v>174789</v>
      </c>
      <c r="F68" s="1972"/>
      <c r="G68" s="1973">
        <f t="shared" ref="G68:N68" si="5">SUM(G57:G67)</f>
        <v>43808</v>
      </c>
      <c r="H68" s="1973">
        <f t="shared" si="5"/>
        <v>0</v>
      </c>
      <c r="I68" s="1973">
        <f t="shared" si="5"/>
        <v>0</v>
      </c>
      <c r="J68" s="1973">
        <f t="shared" si="5"/>
        <v>0</v>
      </c>
      <c r="K68" s="1973">
        <f t="shared" si="5"/>
        <v>0</v>
      </c>
      <c r="L68" s="1973">
        <f t="shared" si="5"/>
        <v>0</v>
      </c>
      <c r="M68" s="1973">
        <f t="shared" si="5"/>
        <v>130981</v>
      </c>
      <c r="N68" s="1987">
        <f t="shared" si="5"/>
        <v>174789</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2042</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43" zoomScale="110" zoomScaleNormal="110" workbookViewId="0">
      <selection activeCell="J61" sqref="J61"/>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2094</v>
      </c>
    </row>
    <row r="6" spans="1:2" x14ac:dyDescent="0.2">
      <c r="A6" s="847">
        <v>2</v>
      </c>
      <c r="B6" s="307" t="s">
        <v>2095</v>
      </c>
    </row>
    <row r="7" spans="1:2" x14ac:dyDescent="0.2">
      <c r="A7" s="847">
        <v>3</v>
      </c>
      <c r="B7" s="307" t="s">
        <v>2096</v>
      </c>
    </row>
    <row r="8" spans="1:2" x14ac:dyDescent="0.2">
      <c r="A8" s="847">
        <v>4</v>
      </c>
      <c r="B8" s="307" t="s">
        <v>2097</v>
      </c>
    </row>
    <row r="9" spans="1:2" x14ac:dyDescent="0.2">
      <c r="A9" s="848"/>
      <c r="B9" s="307" t="s">
        <v>2098</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Nashville CCSD 49</v>
      </c>
    </row>
    <row r="65" spans="2:2" x14ac:dyDescent="0.2">
      <c r="B65" s="849">
        <f>COVER!A13</f>
        <v>13095049004</v>
      </c>
    </row>
  </sheetData>
  <phoneticPr fontId="15" type="noConversion"/>
  <pageMargins left="0.2" right="0.2" top="1.17" bottom="0.75" header="0.19" footer="0.16"/>
  <pageSetup scale="80" firstPageNumber="34" orientation="portrait" useFirstPageNumber="1" r:id="rId1"/>
  <headerFooter alignWithMargins="0">
    <oddHeader>&amp;LPage &amp;P&amp;C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61" sqref="J6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&amp;L&amp;9Page &amp;P&amp;R&amp;9Page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8" sqref="B28"/>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&amp;LPage &amp;P&amp;R&amp;9Page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1314450</xdr:colOff>
                <xdr:row>0</xdr:row>
                <xdr:rowOff>152400</xdr:rowOff>
              </from>
              <to>
                <xdr:col>1</xdr:col>
                <xdr:colOff>2228850</xdr:colOff>
                <xdr:row>5</xdr:row>
                <xdr:rowOff>28575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2447925</xdr:colOff>
                <xdr:row>1</xdr:row>
                <xdr:rowOff>57150</xdr:rowOff>
              </from>
              <to>
                <xdr:col>1</xdr:col>
                <xdr:colOff>3362325</xdr:colOff>
                <xdr:row>5</xdr:row>
                <xdr:rowOff>95250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6" r:id="rId8">
          <objectPr defaultSize="0" r:id="rId9">
            <anchor moveWithCells="1">
              <from>
                <xdr:col>1</xdr:col>
                <xdr:colOff>0</xdr:colOff>
                <xdr:row>6</xdr:row>
                <xdr:rowOff>28575</xdr:rowOff>
              </from>
              <to>
                <xdr:col>1</xdr:col>
                <xdr:colOff>914400</xdr:colOff>
                <xdr:row>10</xdr:row>
                <xdr:rowOff>66675</xdr:rowOff>
              </to>
            </anchor>
          </objectPr>
        </oleObject>
      </mc:Choice>
      <mc:Fallback>
        <oleObject progId="Acrobat Document" dvAspect="DVASPECT_ICON" shapeId="44036" r:id="rId8"/>
      </mc:Fallback>
    </mc:AlternateContent>
    <mc:AlternateContent xmlns:mc="http://schemas.openxmlformats.org/markup-compatibility/2006">
      <mc:Choice Requires="x14">
        <oleObject progId="Acrobat Document" dvAspect="DVASPECT_ICON" shapeId="44037" r:id="rId10">
          <objectPr defaultSize="0" r:id="rId11">
            <anchor moveWithCells="1">
              <from>
                <xdr:col>1</xdr:col>
                <xdr:colOff>1209675</xdr:colOff>
                <xdr:row>6</xdr:row>
                <xdr:rowOff>57150</xdr:rowOff>
              </from>
              <to>
                <xdr:col>1</xdr:col>
                <xdr:colOff>2124075</xdr:colOff>
                <xdr:row>10</xdr:row>
                <xdr:rowOff>95250</xdr:rowOff>
              </to>
            </anchor>
          </objectPr>
        </oleObject>
      </mc:Choice>
      <mc:Fallback>
        <oleObject progId="Acrobat Document" dvAspect="DVASPECT_ICON" shapeId="44037" r:id="rId10"/>
      </mc:Fallback>
    </mc:AlternateContent>
    <mc:AlternateContent xmlns:mc="http://schemas.openxmlformats.org/markup-compatibility/2006">
      <mc:Choice Requires="x14">
        <oleObject progId="Acrobat Document" dvAspect="DVASPECT_ICON" shapeId="44038" r:id="rId12">
          <objectPr defaultSize="0" r:id="rId13">
            <anchor moveWithCells="1">
              <from>
                <xdr:col>1</xdr:col>
                <xdr:colOff>219075</xdr:colOff>
                <xdr:row>0</xdr:row>
                <xdr:rowOff>142875</xdr:rowOff>
              </from>
              <to>
                <xdr:col>1</xdr:col>
                <xdr:colOff>1133475</xdr:colOff>
                <xdr:row>5</xdr:row>
                <xdr:rowOff>19050</xdr:rowOff>
              </to>
            </anchor>
          </objectPr>
        </oleObject>
      </mc:Choice>
      <mc:Fallback>
        <oleObject progId="Acrobat Document" dvAspect="DVASPECT_ICON" shapeId="44038"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J61" sqref="J6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1971</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1670</v>
      </c>
      <c r="B6" s="2484"/>
      <c r="C6" s="2484"/>
      <c r="D6" s="2484"/>
      <c r="E6" s="2484"/>
      <c r="F6" s="248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4727609</v>
      </c>
      <c r="C8" s="1813">
        <f>'Acct Summary 7-8'!D8</f>
        <v>580177</v>
      </c>
      <c r="D8" s="1813">
        <f>'Acct Summary 7-8'!F8</f>
        <v>486564</v>
      </c>
      <c r="E8" s="1813">
        <f>'Acct Summary 7-8'!I8</f>
        <v>57196</v>
      </c>
      <c r="F8" s="1813">
        <f>SUM(B8:E8)</f>
        <v>5851546</v>
      </c>
    </row>
    <row r="9" spans="1:8" s="858" customFormat="1" ht="14.25" customHeight="1" thickBot="1" x14ac:dyDescent="0.25">
      <c r="A9" s="857" t="s">
        <v>1353</v>
      </c>
      <c r="B9" s="1814">
        <f>'Acct Summary 7-8'!C17</f>
        <v>4410682</v>
      </c>
      <c r="C9" s="1814">
        <f>'Acct Summary 7-8'!D17</f>
        <v>530689</v>
      </c>
      <c r="D9" s="1814">
        <f>'Acct Summary 7-8'!F17</f>
        <v>412117</v>
      </c>
      <c r="E9" s="1813"/>
      <c r="F9" s="1813">
        <f>SUM(B9:E9)</f>
        <v>5353488</v>
      </c>
    </row>
    <row r="10" spans="1:8" s="858" customFormat="1" ht="14.25" thickTop="1" thickBot="1" x14ac:dyDescent="0.25">
      <c r="A10" s="859" t="s">
        <v>1354</v>
      </c>
      <c r="B10" s="1815">
        <f>(B8-B9)</f>
        <v>316927</v>
      </c>
      <c r="C10" s="1815">
        <f>(C8-C9)</f>
        <v>49488</v>
      </c>
      <c r="D10" s="1815">
        <f>(D8-D9)</f>
        <v>74447</v>
      </c>
      <c r="E10" s="1814">
        <f>(E8-E9)</f>
        <v>57196</v>
      </c>
      <c r="F10" s="1816">
        <f>SUM(F8-F9)</f>
        <v>498058</v>
      </c>
    </row>
    <row r="11" spans="1:8" s="858" customFormat="1" ht="14.25" thickTop="1" thickBot="1" x14ac:dyDescent="0.25">
      <c r="A11" s="860" t="s">
        <v>1902</v>
      </c>
      <c r="B11" s="1817">
        <f>'Acct Summary 7-8'!C81</f>
        <v>3999213</v>
      </c>
      <c r="C11" s="1817">
        <f>'Acct Summary 7-8'!D81</f>
        <v>549363</v>
      </c>
      <c r="D11" s="1817">
        <f>'Acct Summary 7-8'!F81</f>
        <v>513846</v>
      </c>
      <c r="E11" s="1817">
        <f>'Acct Summary 7-8'!I81</f>
        <v>867706</v>
      </c>
      <c r="F11" s="1818">
        <f>SUM(B11:E11)</f>
        <v>5930128</v>
      </c>
    </row>
    <row r="12" spans="1:8" ht="16.5" customHeight="1" thickTop="1" x14ac:dyDescent="0.2">
      <c r="A12" s="861"/>
      <c r="B12" s="862"/>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1666</v>
      </c>
      <c r="B16" s="2470"/>
      <c r="C16" s="2470"/>
      <c r="D16" s="2470"/>
      <c r="E16" s="247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r:id="rId1"/>
  <headerFooter alignWithMargins="0">
    <oddHeader xml:space="preserve">&amp;L&amp;9Page &amp;P&amp;R&amp;9Page &amp;P&amp;8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J61" sqref="J6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2" t="s">
        <v>660</v>
      </c>
      <c r="B3" s="2493"/>
      <c r="C3" s="2493"/>
      <c r="D3" s="2494"/>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3" t="s">
        <v>1487</v>
      </c>
      <c r="D7" s="2504"/>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7" t="s">
        <v>311</v>
      </c>
      <c r="D21" s="2508"/>
    </row>
    <row r="22" spans="1:10" ht="12.75" x14ac:dyDescent="0.2">
      <c r="A22" s="918"/>
      <c r="B22" s="919">
        <v>2</v>
      </c>
      <c r="C22" s="2505" t="s">
        <v>1507</v>
      </c>
      <c r="D22" s="250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9" t="s">
        <v>533</v>
      </c>
      <c r="D43" s="251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1" t="s">
        <v>779</v>
      </c>
      <c r="D56" s="250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1" t="s">
        <v>1674</v>
      </c>
      <c r="D70" s="250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0" t="str">
        <f>IF('Contracts Paid in CY 29'!$D$38&gt;0,"OK","PLEASE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1966</v>
      </c>
      <c r="F1" s="1543" t="s">
        <v>1967</v>
      </c>
      <c r="G1" s="1899" t="s">
        <v>1977</v>
      </c>
    </row>
    <row r="2" spans="1:7" ht="15.75" x14ac:dyDescent="0.25">
      <c r="A2" t="s">
        <v>260</v>
      </c>
      <c r="B2" s="135">
        <f>COVER!A13</f>
        <v>13095049004</v>
      </c>
      <c r="E2" s="1542">
        <v>2020</v>
      </c>
      <c r="F2" s="1542">
        <v>1</v>
      </c>
      <c r="G2" s="1898">
        <v>101000300</v>
      </c>
    </row>
    <row r="3" spans="1:7" ht="15" x14ac:dyDescent="0.25">
      <c r="A3" t="s">
        <v>950</v>
      </c>
      <c r="B3" s="135" t="str">
        <f>COVER!A15</f>
        <v>Washington</v>
      </c>
      <c r="E3" s="1830" t="s">
        <v>1970</v>
      </c>
      <c r="F3" s="1830" t="s">
        <v>1969</v>
      </c>
      <c r="G3" s="1898">
        <v>101000400</v>
      </c>
    </row>
    <row r="4" spans="1:7" ht="15" x14ac:dyDescent="0.25">
      <c r="A4" t="s">
        <v>1000</v>
      </c>
      <c r="B4" s="135" t="str">
        <f>COVER!A17</f>
        <v xml:space="preserve">  Nashville CCSD 49</v>
      </c>
      <c r="E4" s="1828">
        <v>44119</v>
      </c>
      <c r="F4" s="1829">
        <v>44151</v>
      </c>
      <c r="G4" s="1898">
        <v>101000600</v>
      </c>
    </row>
    <row r="5" spans="1:7" ht="15" x14ac:dyDescent="0.25">
      <c r="A5" t="s">
        <v>699</v>
      </c>
      <c r="B5" s="135" t="str">
        <f>COVER!A38</f>
        <v>Michael Brink</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Ron Daniels</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Yes</v>
      </c>
      <c r="G14" s="1898">
        <v>402100300</v>
      </c>
    </row>
    <row r="15" spans="1:7" ht="15" x14ac:dyDescent="0.25">
      <c r="A15" t="s">
        <v>573</v>
      </c>
      <c r="B15" s="135" t="str">
        <f>COVER!T23</f>
        <v>066-005251</v>
      </c>
      <c r="G15" s="1898">
        <v>402100400</v>
      </c>
    </row>
    <row r="16" spans="1:7" ht="15" x14ac:dyDescent="0.25">
      <c r="A16" t="s">
        <v>419</v>
      </c>
      <c r="B16" s="135" t="str">
        <f>COVER!T13</f>
        <v>Emling &amp; Hoffman, PC</v>
      </c>
      <c r="G16" s="1898">
        <v>402100600</v>
      </c>
    </row>
    <row r="17" spans="1:7" ht="15" x14ac:dyDescent="0.25">
      <c r="A17" t="s">
        <v>878</v>
      </c>
      <c r="B17" s="135" t="str">
        <f>COVER!T15</f>
        <v>Donald L Hoffman</v>
      </c>
      <c r="G17" s="1898">
        <v>402100800</v>
      </c>
    </row>
    <row r="18" spans="1:7" ht="15" x14ac:dyDescent="0.25">
      <c r="A18" t="s">
        <v>1140</v>
      </c>
      <c r="B18" s="135" t="str">
        <f>COVER!T17</f>
        <v>1191 West Saint Louis Street</v>
      </c>
      <c r="G18" s="1898">
        <v>102200300</v>
      </c>
    </row>
    <row r="19" spans="1:7" ht="15" x14ac:dyDescent="0.25">
      <c r="A19" t="s">
        <v>880</v>
      </c>
      <c r="B19" s="135" t="str">
        <f>COVER!T25</f>
        <v>donhoffman@emlingcpa.com</v>
      </c>
      <c r="G19" s="1898">
        <v>102200400</v>
      </c>
    </row>
    <row r="20" spans="1:7" ht="15" x14ac:dyDescent="0.25">
      <c r="A20" t="s">
        <v>881</v>
      </c>
      <c r="B20" s="135" t="str">
        <f>COVER!T19</f>
        <v>Nashville</v>
      </c>
      <c r="G20" s="1898">
        <v>102200600</v>
      </c>
    </row>
    <row r="21" spans="1:7" ht="15" x14ac:dyDescent="0.25">
      <c r="A21" t="s">
        <v>476</v>
      </c>
      <c r="B21" s="135" t="str">
        <f>COVER!X19</f>
        <v>IL</v>
      </c>
      <c r="G21" s="1898">
        <v>102200800</v>
      </c>
    </row>
    <row r="22" spans="1:7" ht="15" x14ac:dyDescent="0.25">
      <c r="A22" t="s">
        <v>882</v>
      </c>
      <c r="B22" s="135">
        <f>COVER!Z19</f>
        <v>62263</v>
      </c>
      <c r="G22" s="1898">
        <v>102300300</v>
      </c>
    </row>
    <row r="23" spans="1:7" ht="15" x14ac:dyDescent="0.25">
      <c r="A23" t="s">
        <v>1142</v>
      </c>
      <c r="B23" s="135" t="str">
        <f>COVER!T21</f>
        <v>618-327-4375</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t="str">
        <f>COVER!U34</f>
        <v>X</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Yes</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Yes</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3627969</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3999213</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3999213</v>
      </c>
      <c r="D92" s="2" t="str">
        <f t="shared" si="0"/>
        <v>Error?</v>
      </c>
      <c r="G92" s="1898">
        <v>102640600</v>
      </c>
    </row>
    <row r="93" spans="1:7" ht="15" x14ac:dyDescent="0.25">
      <c r="A93" s="5">
        <v>32</v>
      </c>
      <c r="B93" s="1832">
        <f>'Assets-Liab 5-6'!C41</f>
        <v>3999213</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497568</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549363</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549363</v>
      </c>
      <c r="D123" s="2" t="str">
        <f t="shared" si="0"/>
        <v>Error?</v>
      </c>
      <c r="G123" s="1898">
        <v>203000400</v>
      </c>
    </row>
    <row r="124" spans="1:7" ht="15" x14ac:dyDescent="0.25">
      <c r="A124" s="5">
        <v>63</v>
      </c>
      <c r="B124" s="1832">
        <f>'Assets-Liab 5-6'!D41</f>
        <v>549363</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28354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28354</v>
      </c>
      <c r="D140" s="2" t="str">
        <f t="shared" si="1"/>
        <v>Error?</v>
      </c>
    </row>
    <row r="141" spans="1:7" x14ac:dyDescent="0.2">
      <c r="A141" s="5">
        <v>80</v>
      </c>
      <c r="B141" s="1832">
        <f>'Assets-Liab 5-6'!E41</f>
        <v>28354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425078</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513846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513846</v>
      </c>
      <c r="D170" s="2" t="str">
        <f t="shared" si="1"/>
        <v>Error?</v>
      </c>
    </row>
    <row r="171" spans="1:4" x14ac:dyDescent="0.2">
      <c r="A171" s="5">
        <v>110</v>
      </c>
      <c r="B171" s="1832">
        <f>'Assets-Liab 5-6'!F41</f>
        <v>513846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61573</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99244</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99244</v>
      </c>
      <c r="D189" s="2" t="str">
        <f t="shared" si="1"/>
        <v>Error?</v>
      </c>
    </row>
    <row r="190" spans="1:4" x14ac:dyDescent="0.2">
      <c r="A190" s="5">
        <v>129</v>
      </c>
      <c r="B190" s="1832">
        <f>'Assets-Liab 5-6'!G41</f>
        <v>99244</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22098</v>
      </c>
      <c r="D273" s="2" t="str">
        <f t="shared" si="3"/>
        <v>Error?</v>
      </c>
    </row>
    <row r="274" spans="1:4" x14ac:dyDescent="0.2">
      <c r="A274" s="5">
        <v>213</v>
      </c>
      <c r="B274" s="1832">
        <f>'Assets-Liab 5-6'!M17</f>
        <v>11083353</v>
      </c>
      <c r="D274" s="2" t="str">
        <f t="shared" si="3"/>
        <v>Error?</v>
      </c>
    </row>
    <row r="275" spans="1:4" x14ac:dyDescent="0.2">
      <c r="A275" s="5">
        <v>214</v>
      </c>
      <c r="B275" s="1832">
        <f>'Assets-Liab 5-6'!M18</f>
        <v>356699</v>
      </c>
      <c r="D275" s="2" t="str">
        <f t="shared" si="3"/>
        <v>Error?</v>
      </c>
    </row>
    <row r="276" spans="1:4" x14ac:dyDescent="0.2">
      <c r="A276" s="5">
        <v>215</v>
      </c>
      <c r="B276" s="1832">
        <f>'Assets-Liab 5-6'!M19</f>
        <v>2561595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14023745</v>
      </c>
      <c r="C279" s="2" t="s">
        <v>569</v>
      </c>
      <c r="D279" s="2" t="str">
        <f t="shared" si="3"/>
        <v>Error?</v>
      </c>
    </row>
    <row r="280" spans="1:4" x14ac:dyDescent="0.2">
      <c r="A280" s="5">
        <v>219</v>
      </c>
      <c r="B280" s="1832">
        <f>'Assets-Liab 5-6'!M40</f>
        <v>14023745</v>
      </c>
      <c r="D280" s="2" t="str">
        <f t="shared" si="3"/>
        <v>Error?</v>
      </c>
    </row>
    <row r="281" spans="1:4" x14ac:dyDescent="0.2">
      <c r="A281" s="5">
        <v>220</v>
      </c>
      <c r="B281" s="1832">
        <f>'Assets-Liab 5-6'!M41</f>
        <v>14023745</v>
      </c>
      <c r="C281" s="2" t="s">
        <v>569</v>
      </c>
      <c r="D281" s="2" t="str">
        <f t="shared" si="3"/>
        <v>Error?</v>
      </c>
    </row>
    <row r="282" spans="1:4" x14ac:dyDescent="0.2">
      <c r="A282" s="5">
        <v>221</v>
      </c>
      <c r="B282" s="1832">
        <f>'Assets-Liab 5-6'!N21</f>
        <v>28354</v>
      </c>
      <c r="D282" s="2" t="str">
        <f t="shared" si="3"/>
        <v>Error?</v>
      </c>
    </row>
    <row r="283" spans="1:4" x14ac:dyDescent="0.2">
      <c r="A283" s="5">
        <v>222</v>
      </c>
      <c r="B283" s="1832">
        <f>'Assets-Liab 5-6'!N22</f>
        <v>1685646</v>
      </c>
      <c r="D283" s="2" t="str">
        <f t="shared" si="3"/>
        <v>Error?</v>
      </c>
    </row>
    <row r="284" spans="1:4" x14ac:dyDescent="0.2">
      <c r="A284" s="5">
        <v>223</v>
      </c>
      <c r="B284" s="1832">
        <f>'Assets-Liab 5-6'!N23</f>
        <v>1714000</v>
      </c>
      <c r="C284" s="2" t="s">
        <v>569</v>
      </c>
      <c r="D284" s="2" t="str">
        <f t="shared" si="3"/>
        <v>Error?</v>
      </c>
    </row>
    <row r="285" spans="1:4" x14ac:dyDescent="0.2">
      <c r="A285" s="5">
        <v>224</v>
      </c>
      <c r="B285" s="1832">
        <f>'Assets-Liab 5-6'!N36</f>
        <v>1714000</v>
      </c>
      <c r="D285" s="2" t="str">
        <f t="shared" si="3"/>
        <v>Error?</v>
      </c>
    </row>
    <row r="286" spans="1:4" x14ac:dyDescent="0.2">
      <c r="A286" s="10">
        <v>225</v>
      </c>
      <c r="B286" s="1832"/>
      <c r="D286" s="2" t="str">
        <f t="shared" si="3"/>
        <v>OK</v>
      </c>
    </row>
    <row r="287" spans="1:4" x14ac:dyDescent="0.2">
      <c r="A287" s="5">
        <v>226</v>
      </c>
      <c r="B287" s="1832">
        <f>'Assets-Liab 5-6'!N37</f>
        <v>1714000</v>
      </c>
      <c r="C287" s="2" t="s">
        <v>569</v>
      </c>
      <c r="D287" s="2" t="str">
        <f t="shared" si="3"/>
        <v>Error?</v>
      </c>
    </row>
    <row r="288" spans="1:4" x14ac:dyDescent="0.2">
      <c r="A288" s="5">
        <v>227</v>
      </c>
      <c r="B288" s="1832">
        <f>'Assets-Liab 5-6'!N41</f>
        <v>1714000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1473500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201197</v>
      </c>
      <c r="D718" s="2" t="str">
        <f t="shared" si="10"/>
        <v>Error?</v>
      </c>
    </row>
    <row r="719" spans="1:4" x14ac:dyDescent="0.2">
      <c r="A719" s="5">
        <v>658</v>
      </c>
      <c r="B719" s="1832">
        <f>'Expenditures 15-22'!C15</f>
        <v>3058</v>
      </c>
      <c r="D719" s="2" t="str">
        <f t="shared" si="10"/>
        <v>Error?</v>
      </c>
    </row>
    <row r="720" spans="1:4" x14ac:dyDescent="0.2">
      <c r="A720" s="5">
        <v>659</v>
      </c>
      <c r="B720" s="1832">
        <f>'Expenditures 15-22'!C33</f>
        <v>2242855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54946</v>
      </c>
      <c r="D722" s="2" t="str">
        <f t="shared" si="10"/>
        <v>Error?</v>
      </c>
    </row>
    <row r="723" spans="1:4" x14ac:dyDescent="0.2">
      <c r="A723" s="5">
        <v>662</v>
      </c>
      <c r="B723" s="1832">
        <f>'Expenditures 15-22'!C38</f>
        <v>13727</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68673</v>
      </c>
      <c r="C727" s="2" t="s">
        <v>569</v>
      </c>
      <c r="D727" s="2" t="str">
        <f t="shared" si="10"/>
        <v>Error?</v>
      </c>
    </row>
    <row r="728" spans="1:4" x14ac:dyDescent="0.2">
      <c r="A728" s="5">
        <v>667</v>
      </c>
      <c r="B728" s="1832">
        <f>'Expenditures 15-22'!C44</f>
        <v>728</v>
      </c>
      <c r="D728" s="2" t="str">
        <f t="shared" si="10"/>
        <v>Error?</v>
      </c>
    </row>
    <row r="729" spans="1:4" x14ac:dyDescent="0.2">
      <c r="A729" s="5">
        <v>668</v>
      </c>
      <c r="B729" s="1832">
        <f>'Expenditures 15-22'!C45</f>
        <v>125524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126252</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68098</v>
      </c>
      <c r="D733" s="2" t="str">
        <f t="shared" si="10"/>
        <v>Error?</v>
      </c>
    </row>
    <row r="734" spans="1:4" x14ac:dyDescent="0.2">
      <c r="A734" s="5">
        <v>673</v>
      </c>
      <c r="B734" s="1832">
        <f>'Expenditures 15-22'!C53</f>
        <v>76098</v>
      </c>
      <c r="C734" s="2" t="s">
        <v>569</v>
      </c>
      <c r="D734" s="2" t="str">
        <f t="shared" si="10"/>
        <v>Error?</v>
      </c>
    </row>
    <row r="735" spans="1:4" x14ac:dyDescent="0.2">
      <c r="A735" s="5">
        <v>674</v>
      </c>
      <c r="B735" s="1832">
        <f>'Expenditures 15-22'!C55</f>
        <v>87106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87106</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51231</v>
      </c>
      <c r="D739" s="2" t="str">
        <f t="shared" si="10"/>
        <v>Error?</v>
      </c>
    </row>
    <row r="740" spans="1:4" x14ac:dyDescent="0.2">
      <c r="A740" s="5">
        <v>679</v>
      </c>
      <c r="B740" s="1832">
        <f>'Expenditures 15-22'!C61</f>
        <v>16532</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16626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84389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442518</v>
      </c>
      <c r="C755" s="2" t="s">
        <v>569</v>
      </c>
      <c r="D755" s="2" t="str">
        <f t="shared" si="10"/>
        <v>Error?</v>
      </c>
    </row>
    <row r="756" spans="1:4" x14ac:dyDescent="0.2">
      <c r="A756" s="5">
        <v>695</v>
      </c>
      <c r="B756" s="1832">
        <f>'Expenditures 15-22'!C75</f>
        <v>40327</v>
      </c>
      <c r="D756" s="2" t="str">
        <f t="shared" si="10"/>
        <v>Error?</v>
      </c>
    </row>
    <row r="757" spans="1:4" x14ac:dyDescent="0.2">
      <c r="A757" s="5">
        <v>696</v>
      </c>
      <c r="B757" s="1832">
        <f>'Expenditures 15-22'!C114</f>
        <v>2725700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221942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21912</v>
      </c>
      <c r="D776" s="2" t="str">
        <f t="shared" si="11"/>
        <v>Error?</v>
      </c>
    </row>
    <row r="777" spans="1:4" x14ac:dyDescent="0.2">
      <c r="A777" s="5">
        <v>716</v>
      </c>
      <c r="B777" s="1832">
        <f>'Expenditures 15-22'!D15</f>
        <v>353</v>
      </c>
      <c r="D777" s="2" t="str">
        <f t="shared" si="11"/>
        <v>Error?</v>
      </c>
    </row>
    <row r="778" spans="1:4" x14ac:dyDescent="0.2">
      <c r="A778" s="5">
        <v>717</v>
      </c>
      <c r="B778" s="1832">
        <f>'Expenditures 15-22'!D33</f>
        <v>297248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5512</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5512</v>
      </c>
      <c r="C785" s="2" t="s">
        <v>569</v>
      </c>
      <c r="D785" s="2" t="str">
        <f t="shared" si="11"/>
        <v>Error?</v>
      </c>
    </row>
    <row r="786" spans="1:4" x14ac:dyDescent="0.2">
      <c r="A786" s="5">
        <v>725</v>
      </c>
      <c r="B786" s="1832">
        <f>'Expenditures 15-22'!D44</f>
        <v>3558</v>
      </c>
      <c r="D786" s="2" t="str">
        <f t="shared" si="11"/>
        <v>Error?</v>
      </c>
    </row>
    <row r="787" spans="1:4" x14ac:dyDescent="0.2">
      <c r="A787" s="5">
        <v>726</v>
      </c>
      <c r="B787" s="1832">
        <f>'Expenditures 15-22'!D45</f>
        <v>11186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14744</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36546</v>
      </c>
      <c r="D791" s="2" t="str">
        <f t="shared" si="11"/>
        <v>Error?</v>
      </c>
    </row>
    <row r="792" spans="1:4" x14ac:dyDescent="0.2">
      <c r="A792" s="5">
        <v>731</v>
      </c>
      <c r="B792" s="1832">
        <f>'Expenditures 15-22'!D53</f>
        <v>36546</v>
      </c>
      <c r="C792" s="2" t="s">
        <v>569</v>
      </c>
      <c r="D792" s="2" t="str">
        <f t="shared" si="11"/>
        <v>Error?</v>
      </c>
    </row>
    <row r="793" spans="1:4" x14ac:dyDescent="0.2">
      <c r="A793" s="5">
        <v>732</v>
      </c>
      <c r="B793" s="1832">
        <f>'Expenditures 15-22'!D55</f>
        <v>38884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38884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95670</v>
      </c>
      <c r="C813" s="2" t="s">
        <v>569</v>
      </c>
      <c r="D813" s="2" t="str">
        <f t="shared" si="11"/>
        <v>Error?</v>
      </c>
    </row>
    <row r="814" spans="1:4" x14ac:dyDescent="0.2">
      <c r="A814" s="5">
        <v>753</v>
      </c>
      <c r="B814" s="1832">
        <f>'Expenditures 15-22'!D75</f>
        <v>3708</v>
      </c>
      <c r="D814" s="2" t="str">
        <f t="shared" si="11"/>
        <v>Error?</v>
      </c>
    </row>
    <row r="815" spans="1:4" x14ac:dyDescent="0.2">
      <c r="A815" s="5">
        <v>754</v>
      </c>
      <c r="B815" s="1832">
        <f>'Expenditures 15-22'!D114</f>
        <v>396626</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53270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7141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60411</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103</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103</v>
      </c>
      <c r="C843" s="2" t="s">
        <v>569</v>
      </c>
      <c r="D843" s="2" t="str">
        <f t="shared" si="12"/>
        <v>Error?</v>
      </c>
    </row>
    <row r="844" spans="1:4" x14ac:dyDescent="0.2">
      <c r="A844" s="5">
        <v>783</v>
      </c>
      <c r="B844" s="1832">
        <f>'Expenditures 15-22'!E44</f>
        <v>6476</v>
      </c>
      <c r="D844" s="2" t="str">
        <f t="shared" si="12"/>
        <v>Error?</v>
      </c>
    </row>
    <row r="845" spans="1:4" x14ac:dyDescent="0.2">
      <c r="A845" s="5">
        <v>784</v>
      </c>
      <c r="B845" s="1832">
        <f>'Expenditures 15-22'!E45</f>
        <v>146094</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152570</v>
      </c>
      <c r="C847" s="2" t="s">
        <v>569</v>
      </c>
      <c r="D847" s="2" t="str">
        <f t="shared" si="12"/>
        <v>Error?</v>
      </c>
    </row>
    <row r="848" spans="1:4" x14ac:dyDescent="0.2">
      <c r="A848" s="5">
        <v>787</v>
      </c>
      <c r="B848" s="1832">
        <f>'Expenditures 15-22'!E49</f>
        <v>20113</v>
      </c>
      <c r="D848" s="2" t="str">
        <f t="shared" si="12"/>
        <v>Error?</v>
      </c>
    </row>
    <row r="849" spans="1:4" x14ac:dyDescent="0.2">
      <c r="A849" s="5">
        <v>788</v>
      </c>
      <c r="B849" s="1832">
        <f>'Expenditures 15-22'!E50</f>
        <v>509</v>
      </c>
      <c r="D849" s="2" t="str">
        <f t="shared" si="12"/>
        <v>Error?</v>
      </c>
    </row>
    <row r="850" spans="1:4" x14ac:dyDescent="0.2">
      <c r="A850" s="5">
        <v>789</v>
      </c>
      <c r="B850" s="1832">
        <f>'Expenditures 15-22'!E53</f>
        <v>20622</v>
      </c>
      <c r="C850" s="2" t="s">
        <v>569</v>
      </c>
      <c r="D850" s="2" t="str">
        <f t="shared" si="12"/>
        <v>Error?</v>
      </c>
    </row>
    <row r="851" spans="1:4" x14ac:dyDescent="0.2">
      <c r="A851" s="5">
        <v>790</v>
      </c>
      <c r="B851" s="1832">
        <f>'Expenditures 15-22'!E55</f>
        <v>3425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3425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5205</v>
      </c>
      <c r="D855" s="2" t="str">
        <f t="shared" si="12"/>
        <v>Error?</v>
      </c>
    </row>
    <row r="856" spans="1:4" x14ac:dyDescent="0.2">
      <c r="A856" s="5">
        <v>795</v>
      </c>
      <c r="B856" s="1832">
        <f>'Expenditures 15-22'!E61</f>
        <v>4626</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162105</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171936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348656</v>
      </c>
      <c r="C871" s="2" t="s">
        <v>569</v>
      </c>
      <c r="D871" s="2" t="str">
        <f t="shared" si="12"/>
        <v>Error?</v>
      </c>
    </row>
    <row r="872" spans="1:4" x14ac:dyDescent="0.2">
      <c r="A872" s="5">
        <v>811</v>
      </c>
      <c r="B872" s="1832">
        <f>'Expenditures 15-22'!E75</f>
        <v>7300</v>
      </c>
      <c r="D872" s="2" t="str">
        <f t="shared" si="12"/>
        <v>Error?</v>
      </c>
    </row>
    <row r="873" spans="1:4" x14ac:dyDescent="0.2">
      <c r="A873" s="5">
        <v>812</v>
      </c>
      <c r="B873" s="1832">
        <f>'Expenditures 15-22'!E114</f>
        <v>792707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73328</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21753</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109673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168</v>
      </c>
      <c r="D896" s="2" t="str">
        <f t="shared" si="13"/>
        <v>Error?</v>
      </c>
    </row>
    <row r="897" spans="1:4" x14ac:dyDescent="0.2">
      <c r="A897" s="5">
        <v>836</v>
      </c>
      <c r="B897" s="1832">
        <f>'Expenditures 15-22'!F38</f>
        <v>1516</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1684</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31272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31272</v>
      </c>
      <c r="C905" s="2" t="s">
        <v>569</v>
      </c>
      <c r="D905" s="2" t="str">
        <f t="shared" si="13"/>
        <v>Error?</v>
      </c>
    </row>
    <row r="906" spans="1:4" x14ac:dyDescent="0.2">
      <c r="A906" s="5">
        <v>845</v>
      </c>
      <c r="B906" s="1832">
        <f>'Expenditures 15-22'!F49</f>
        <v>4</v>
      </c>
      <c r="D906" s="2" t="str">
        <f t="shared" si="13"/>
        <v>Error?</v>
      </c>
    </row>
    <row r="907" spans="1:4" x14ac:dyDescent="0.2">
      <c r="A907" s="5">
        <v>846</v>
      </c>
      <c r="B907" s="1832">
        <f>'Expenditures 15-22'!F50</f>
        <v>178</v>
      </c>
      <c r="D907" s="2" t="str">
        <f t="shared" si="13"/>
        <v>Error?</v>
      </c>
    </row>
    <row r="908" spans="1:4" x14ac:dyDescent="0.2">
      <c r="A908" s="5">
        <v>847</v>
      </c>
      <c r="B908" s="1832">
        <f>'Expenditures 15-22'!F53</f>
        <v>182</v>
      </c>
      <c r="C908" s="2" t="s">
        <v>569</v>
      </c>
      <c r="D908" s="2" t="str">
        <f t="shared" si="13"/>
        <v>Error?</v>
      </c>
    </row>
    <row r="909" spans="1:4" x14ac:dyDescent="0.2">
      <c r="A909" s="5">
        <v>848</v>
      </c>
      <c r="B909" s="1832">
        <f>'Expenditures 15-22'!F55</f>
        <v>209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209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787</v>
      </c>
      <c r="D913" s="2" t="str">
        <f t="shared" si="13"/>
        <v>Error?</v>
      </c>
    </row>
    <row r="914" spans="1:4" x14ac:dyDescent="0.2">
      <c r="A914" s="5">
        <v>853</v>
      </c>
      <c r="B914" s="1832">
        <f>'Expenditures 15-22'!F61</f>
        <v>564</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9261</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10612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43959</v>
      </c>
      <c r="C929" s="2" t="s">
        <v>569</v>
      </c>
      <c r="D929" s="2" t="str">
        <f t="shared" si="13"/>
        <v>Error?</v>
      </c>
    </row>
    <row r="930" spans="1:4" x14ac:dyDescent="0.2">
      <c r="A930" s="5">
        <v>869</v>
      </c>
      <c r="B930" s="1832">
        <f>'Expenditures 15-22'!F75</f>
        <v>5650</v>
      </c>
      <c r="D930" s="2" t="str">
        <f t="shared" si="13"/>
        <v>Error?</v>
      </c>
    </row>
    <row r="931" spans="1:4" x14ac:dyDescent="0.2">
      <c r="A931" s="5">
        <v>870</v>
      </c>
      <c r="B931" s="1832">
        <f>'Expenditures 15-22'!F114</f>
        <v>159282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168479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168479</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168479</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168479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1896</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13646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146</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146</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1002</v>
      </c>
      <c r="D1023" s="2" t="str">
        <f t="shared" ref="D1023:D1086" si="15">IF(ISBLANK(B1023),"OK",IF(A1023-B1023=0,"OK","Error?"))</f>
        <v>Error?</v>
      </c>
    </row>
    <row r="1024" spans="1:4" x14ac:dyDescent="0.2">
      <c r="A1024" s="5">
        <v>963</v>
      </c>
      <c r="B1024" s="1832">
        <f>'Expenditures 15-22'!H53</f>
        <v>1002</v>
      </c>
      <c r="C1024" s="2" t="s">
        <v>569</v>
      </c>
      <c r="D1024" s="2" t="str">
        <f t="shared" si="15"/>
        <v>Error?</v>
      </c>
    </row>
    <row r="1025" spans="1:4" x14ac:dyDescent="0.2">
      <c r="A1025" s="5">
        <v>964</v>
      </c>
      <c r="B1025" s="1832">
        <f>'Expenditures 15-22'!H55</f>
        <v>399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399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18</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1565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152677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167888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1996</v>
      </c>
      <c r="E1056" s="4" t="s">
        <v>1995</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1822040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253899</v>
      </c>
      <c r="C1106" s="2" t="s">
        <v>569</v>
      </c>
      <c r="D1106" s="2" t="str">
        <f t="shared" si="16"/>
        <v>Error?</v>
      </c>
    </row>
    <row r="1107" spans="1:4" x14ac:dyDescent="0.2">
      <c r="A1107" s="5">
        <v>1046</v>
      </c>
      <c r="B1107" s="1832">
        <f>'Expenditures 15-22'!K15</f>
        <v>3411</v>
      </c>
      <c r="C1107" s="2" t="s">
        <v>569</v>
      </c>
      <c r="D1107" s="2" t="str">
        <f t="shared" si="16"/>
        <v>Error?</v>
      </c>
    </row>
    <row r="1108" spans="1:4" x14ac:dyDescent="0.2">
      <c r="A1108" s="5">
        <v>1047</v>
      </c>
      <c r="B1108" s="1832">
        <f>'Expenditures 15-22'!K33</f>
        <v>2723833</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60626</v>
      </c>
      <c r="C1110" s="2" t="s">
        <v>569</v>
      </c>
      <c r="D1110" s="2" t="str">
        <f t="shared" si="16"/>
        <v>Error?</v>
      </c>
    </row>
    <row r="1111" spans="1:4" x14ac:dyDescent="0.2">
      <c r="A1111" s="5">
        <v>1050</v>
      </c>
      <c r="B1111" s="1832">
        <f>'Expenditures 15-22'!K38</f>
        <v>15492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76118</v>
      </c>
      <c r="C1115" s="2" t="s">
        <v>569</v>
      </c>
      <c r="D1115" s="2" t="str">
        <f t="shared" si="16"/>
        <v>Error?</v>
      </c>
    </row>
    <row r="1116" spans="1:4" x14ac:dyDescent="0.2">
      <c r="A1116" s="5">
        <v>1055</v>
      </c>
      <c r="B1116" s="1832">
        <f>'Expenditures 15-22'!K44</f>
        <v>10762</v>
      </c>
      <c r="C1116" s="2" t="s">
        <v>569</v>
      </c>
      <c r="D1116" s="2" t="str">
        <f t="shared" si="16"/>
        <v>Error?</v>
      </c>
    </row>
    <row r="1117" spans="1:4" x14ac:dyDescent="0.2">
      <c r="A1117" s="5">
        <v>1056</v>
      </c>
      <c r="B1117" s="1832">
        <f>'Expenditures 15-22'!K45</f>
        <v>482555</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493317</v>
      </c>
      <c r="C1119" s="2" t="s">
        <v>569</v>
      </c>
      <c r="D1119" s="2" t="str">
        <f t="shared" si="16"/>
        <v>Error?</v>
      </c>
    </row>
    <row r="1120" spans="1:4" x14ac:dyDescent="0.2">
      <c r="A1120" s="5">
        <v>1059</v>
      </c>
      <c r="B1120" s="1832">
        <f>'Expenditures 15-22'!K49</f>
        <v>20117</v>
      </c>
      <c r="C1120" s="2" t="s">
        <v>569</v>
      </c>
      <c r="D1120" s="2" t="str">
        <f t="shared" si="16"/>
        <v>Error?</v>
      </c>
    </row>
    <row r="1121" spans="1:4" x14ac:dyDescent="0.2">
      <c r="A1121" s="5">
        <v>1060</v>
      </c>
      <c r="B1121" s="1832">
        <f>'Expenditures 15-22'!K50</f>
        <v>106333</v>
      </c>
      <c r="C1121" s="2" t="s">
        <v>569</v>
      </c>
      <c r="D1121" s="2" t="str">
        <f t="shared" si="16"/>
        <v>Error?</v>
      </c>
    </row>
    <row r="1122" spans="1:4" x14ac:dyDescent="0.2">
      <c r="A1122" s="5">
        <v>1061</v>
      </c>
      <c r="B1122" s="1832">
        <f>'Expenditures 15-22'!K53</f>
        <v>134450</v>
      </c>
      <c r="C1122" s="2" t="s">
        <v>569</v>
      </c>
      <c r="D1122" s="2" t="str">
        <f t="shared" si="16"/>
        <v>Error?</v>
      </c>
    </row>
    <row r="1123" spans="1:4" x14ac:dyDescent="0.2">
      <c r="A1123" s="5">
        <v>1062</v>
      </c>
      <c r="B1123" s="1832">
        <f>'Expenditures 15-22'!K55</f>
        <v>130023</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130023</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57225</v>
      </c>
      <c r="C1127" s="2" t="s">
        <v>569</v>
      </c>
      <c r="D1127" s="2" t="str">
        <f t="shared" si="16"/>
        <v>Error?</v>
      </c>
    </row>
    <row r="1128" spans="1:4" x14ac:dyDescent="0.2">
      <c r="A1128" s="5">
        <v>1067</v>
      </c>
      <c r="B1128" s="1832">
        <f>'Expenditures 15-22'!K61</f>
        <v>21722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187992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266939</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1100847</v>
      </c>
      <c r="C1143" s="2" t="s">
        <v>569</v>
      </c>
      <c r="D1143" s="2" t="str">
        <f t="shared" si="16"/>
        <v>Error?</v>
      </c>
    </row>
    <row r="1144" spans="1:4" x14ac:dyDescent="0.2">
      <c r="A1144" s="5">
        <v>1083</v>
      </c>
      <c r="B1144" s="1832">
        <f>'Expenditures 15-22'!K75</f>
        <v>56985</v>
      </c>
      <c r="C1144" s="2" t="s">
        <v>569</v>
      </c>
      <c r="D1144" s="2" t="str">
        <f t="shared" si="16"/>
        <v>Error?</v>
      </c>
    </row>
    <row r="1145" spans="1:4" x14ac:dyDescent="0.2">
      <c r="A1145" s="5">
        <v>1084</v>
      </c>
      <c r="B1145" s="1832">
        <f>'Expenditures 15-22'!K102</f>
        <v>529017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4410682</v>
      </c>
      <c r="C1152" s="2" t="s">
        <v>569</v>
      </c>
      <c r="D1152" s="2" t="str">
        <f t="shared" si="17"/>
        <v>Error?</v>
      </c>
    </row>
    <row r="1153" spans="1:4" x14ac:dyDescent="0.2">
      <c r="A1153" s="5">
        <v>1092</v>
      </c>
      <c r="B1153" s="1832">
        <f>'Expenditures 15-22'!K115</f>
        <v>316927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148679</v>
      </c>
      <c r="D1221" s="2" t="str">
        <f t="shared" si="18"/>
        <v>Error?</v>
      </c>
    </row>
    <row r="1222" spans="1:4" x14ac:dyDescent="0.2">
      <c r="A1222" s="10">
        <v>1161</v>
      </c>
      <c r="B1222" s="1832"/>
      <c r="D1222" s="2" t="str">
        <f t="shared" si="18"/>
        <v>OK</v>
      </c>
    </row>
    <row r="1223" spans="1:4" x14ac:dyDescent="0.2">
      <c r="A1223" s="5">
        <v>1162</v>
      </c>
      <c r="B1223" s="1832">
        <f>'Expenditures 15-22'!C127</f>
        <v>148679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148679</v>
      </c>
      <c r="C1225" s="2" t="s">
        <v>569</v>
      </c>
      <c r="D1225" s="2" t="str">
        <f t="shared" si="18"/>
        <v>Error?</v>
      </c>
    </row>
    <row r="1226" spans="1:4" x14ac:dyDescent="0.2">
      <c r="A1226" s="5">
        <v>1165</v>
      </c>
      <c r="B1226" s="1832">
        <f>'Expenditures 15-22'!C151</f>
        <v>148679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7462</v>
      </c>
      <c r="D1229" s="2" t="str">
        <f t="shared" si="18"/>
        <v>Error?</v>
      </c>
    </row>
    <row r="1230" spans="1:4" x14ac:dyDescent="0.2">
      <c r="A1230" s="10">
        <v>1169</v>
      </c>
      <c r="B1230" s="1832"/>
      <c r="D1230" s="2" t="str">
        <f t="shared" si="18"/>
        <v>OK</v>
      </c>
    </row>
    <row r="1231" spans="1:4" x14ac:dyDescent="0.2">
      <c r="A1231" s="5">
        <v>1170</v>
      </c>
      <c r="B1231" s="1832">
        <f>'Expenditures 15-22'!D127</f>
        <v>7462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7462</v>
      </c>
      <c r="C1233" s="2" t="s">
        <v>569</v>
      </c>
      <c r="D1233" s="2" t="str">
        <f t="shared" si="18"/>
        <v>Error?</v>
      </c>
    </row>
    <row r="1234" spans="1:4" x14ac:dyDescent="0.2">
      <c r="A1234" s="5">
        <v>1173</v>
      </c>
      <c r="B1234" s="1832">
        <f>'Expenditures 15-22'!D151</f>
        <v>7462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190976</v>
      </c>
      <c r="D1237" s="2" t="str">
        <f t="shared" si="18"/>
        <v>Error?</v>
      </c>
    </row>
    <row r="1238" spans="1:4" x14ac:dyDescent="0.2">
      <c r="A1238" s="10">
        <v>1177</v>
      </c>
      <c r="B1238" s="1832"/>
      <c r="D1238" s="2" t="str">
        <f t="shared" si="18"/>
        <v>OK</v>
      </c>
    </row>
    <row r="1239" spans="1:4" x14ac:dyDescent="0.2">
      <c r="A1239" s="5">
        <v>1178</v>
      </c>
      <c r="B1239" s="1832">
        <f>'Expenditures 15-22'!E127</f>
        <v>190976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190976</v>
      </c>
      <c r="C1241" s="2" t="s">
        <v>569</v>
      </c>
      <c r="D1241" s="2" t="str">
        <f t="shared" si="18"/>
        <v>Error?</v>
      </c>
    </row>
    <row r="1242" spans="1:4" x14ac:dyDescent="0.2">
      <c r="A1242" s="5">
        <v>1181</v>
      </c>
      <c r="B1242" s="1832">
        <f>'Expenditures 15-22'!E151</f>
        <v>190976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140490</v>
      </c>
      <c r="D1245" s="2" t="str">
        <f t="shared" si="18"/>
        <v>Error?</v>
      </c>
    </row>
    <row r="1246" spans="1:4" x14ac:dyDescent="0.2">
      <c r="A1246" s="10">
        <v>1185</v>
      </c>
      <c r="B1246" s="1832"/>
      <c r="D1246" s="2" t="str">
        <f t="shared" si="18"/>
        <v>OK</v>
      </c>
    </row>
    <row r="1247" spans="1:4" x14ac:dyDescent="0.2">
      <c r="A1247" s="5">
        <v>1186</v>
      </c>
      <c r="B1247" s="1832">
        <f>'Expenditures 15-22'!F127</f>
        <v>140490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140490</v>
      </c>
      <c r="C1249" s="2" t="s">
        <v>569</v>
      </c>
      <c r="D1249" s="2" t="str">
        <f t="shared" si="18"/>
        <v>Error?</v>
      </c>
    </row>
    <row r="1250" spans="1:4" x14ac:dyDescent="0.2">
      <c r="A1250" s="5">
        <v>1189</v>
      </c>
      <c r="B1250" s="1832">
        <f>'Expenditures 15-22'!F151</f>
        <v>140490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16775</v>
      </c>
      <c r="D1252" s="2" t="str">
        <f t="shared" si="18"/>
        <v>Error?</v>
      </c>
    </row>
    <row r="1253" spans="1:4" x14ac:dyDescent="0.2">
      <c r="A1253" s="5">
        <v>1192</v>
      </c>
      <c r="B1253" s="1832">
        <f>'Expenditures 15-22'!G124</f>
        <v>26307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43082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43082</v>
      </c>
      <c r="C1258" s="2" t="s">
        <v>569</v>
      </c>
      <c r="D1258" s="2" t="str">
        <f t="shared" si="18"/>
        <v>Error?</v>
      </c>
    </row>
    <row r="1259" spans="1:4" x14ac:dyDescent="0.2">
      <c r="A1259" s="5">
        <v>1198</v>
      </c>
      <c r="B1259" s="1832">
        <f>'Expenditures 15-22'!G151</f>
        <v>43082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16775</v>
      </c>
      <c r="C1275" s="2" t="s">
        <v>569</v>
      </c>
      <c r="D1275" s="2" t="str">
        <f t="shared" si="18"/>
        <v>Error?</v>
      </c>
    </row>
    <row r="1276" spans="1:4" x14ac:dyDescent="0.2">
      <c r="A1276" s="5">
        <v>1215</v>
      </c>
      <c r="B1276" s="1832">
        <f>'Expenditures 15-22'!K124</f>
        <v>513914</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530689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530689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530689</v>
      </c>
      <c r="C1288" s="2" t="s">
        <v>569</v>
      </c>
      <c r="D1288" s="2" t="str">
        <f t="shared" si="19"/>
        <v>Error?</v>
      </c>
    </row>
    <row r="1289" spans="1:4" x14ac:dyDescent="0.2">
      <c r="A1289" s="5">
        <v>1228</v>
      </c>
      <c r="B1289" s="1832">
        <f>'Expenditures 15-22'!K152</f>
        <v>49488</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47194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263000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310194</v>
      </c>
      <c r="C1317" s="2" t="s">
        <v>569</v>
      </c>
      <c r="D1317" s="2" t="str">
        <f t="shared" si="19"/>
        <v>Error?</v>
      </c>
    </row>
    <row r="1318" spans="1:4" x14ac:dyDescent="0.2">
      <c r="A1318" s="5">
        <v>1257</v>
      </c>
      <c r="B1318" s="1832">
        <f>'Expenditures 15-22'!H174</f>
        <v>310194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47194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263000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310194</v>
      </c>
      <c r="C1331" s="2" t="s">
        <v>569</v>
      </c>
      <c r="D1331" s="2" t="str">
        <f t="shared" si="19"/>
        <v>Error?</v>
      </c>
    </row>
    <row r="1332" spans="1:4" x14ac:dyDescent="0.2">
      <c r="A1332" s="5">
        <v>1271</v>
      </c>
      <c r="B1332" s="1832">
        <f>'Expenditures 15-22'!K174</f>
        <v>310194</v>
      </c>
      <c r="C1332" s="2" t="s">
        <v>569</v>
      </c>
      <c r="D1332" s="2" t="str">
        <f t="shared" si="19"/>
        <v>Error?</v>
      </c>
    </row>
    <row r="1333" spans="1:4" x14ac:dyDescent="0.2">
      <c r="A1333" s="5">
        <v>1272</v>
      </c>
      <c r="B1333" s="1832">
        <f>'Expenditures 15-22'!K175</f>
        <v>-895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9152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9152</v>
      </c>
      <c r="C1339" s="2" t="s">
        <v>569</v>
      </c>
      <c r="D1339" s="2" t="str">
        <f t="shared" si="19"/>
        <v>Error?</v>
      </c>
    </row>
    <row r="1340" spans="1:4" x14ac:dyDescent="0.2">
      <c r="A1340" s="5">
        <v>1279</v>
      </c>
      <c r="B1340" s="1832">
        <f>'Expenditures 15-22'!C210</f>
        <v>9152</v>
      </c>
      <c r="C1340" s="2" t="s">
        <v>569</v>
      </c>
      <c r="D1340" s="2" t="str">
        <f t="shared" si="19"/>
        <v>Error?</v>
      </c>
    </row>
    <row r="1341" spans="1:4" x14ac:dyDescent="0.2">
      <c r="A1341" s="5">
        <v>1280</v>
      </c>
      <c r="B1341" s="1832">
        <f>'Expenditures 15-22'!D182</f>
        <v>3068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3068</v>
      </c>
      <c r="C1345" s="2" t="s">
        <v>569</v>
      </c>
      <c r="D1345" s="2" t="str">
        <f t="shared" si="20"/>
        <v>Error?</v>
      </c>
    </row>
    <row r="1346" spans="1:4" x14ac:dyDescent="0.2">
      <c r="A1346" s="5">
        <v>1285</v>
      </c>
      <c r="B1346" s="1832">
        <f>'Expenditures 15-22'!D210</f>
        <v>3068</v>
      </c>
      <c r="C1346" s="2" t="s">
        <v>569</v>
      </c>
      <c r="D1346" s="2" t="str">
        <f t="shared" si="20"/>
        <v>Error?</v>
      </c>
    </row>
    <row r="1347" spans="1:4" x14ac:dyDescent="0.2">
      <c r="A1347" s="5">
        <v>1286</v>
      </c>
      <c r="B1347" s="1832">
        <f>'Expenditures 15-22'!E182</f>
        <v>399897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399897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399897</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412117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412117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412117</v>
      </c>
      <c r="C1388" s="2" t="s">
        <v>569</v>
      </c>
      <c r="D1388" s="2" t="str">
        <f t="shared" si="20"/>
        <v>Error?</v>
      </c>
    </row>
    <row r="1389" spans="1:4" x14ac:dyDescent="0.2">
      <c r="A1389" s="5">
        <v>1328</v>
      </c>
      <c r="B1389" s="1832">
        <f>'Expenditures 15-22'!K211</f>
        <v>74447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4259</v>
      </c>
      <c r="D1408" s="2" t="str">
        <f t="shared" si="21"/>
        <v>Error?</v>
      </c>
    </row>
    <row r="1409" spans="1:4" x14ac:dyDescent="0.2">
      <c r="A1409" s="5">
        <v>1348</v>
      </c>
      <c r="B1409" s="1832">
        <f>'Expenditures 15-22'!D224</f>
        <v>107</v>
      </c>
      <c r="D1409" s="2" t="str">
        <f t="shared" si="21"/>
        <v>Error?</v>
      </c>
    </row>
    <row r="1410" spans="1:4" x14ac:dyDescent="0.2">
      <c r="A1410" s="5">
        <v>1349</v>
      </c>
      <c r="B1410" s="1832">
        <f>'Expenditures 15-22'!D229</f>
        <v>65672</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5048</v>
      </c>
      <c r="D1412" s="2" t="str">
        <f t="shared" si="21"/>
        <v>Error?</v>
      </c>
    </row>
    <row r="1413" spans="1:4" x14ac:dyDescent="0.2">
      <c r="A1413" s="5">
        <v>1352</v>
      </c>
      <c r="B1413" s="1832">
        <f>'Expenditures 15-22'!D234</f>
        <v>5621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10669</v>
      </c>
      <c r="C1417" s="2" t="s">
        <v>569</v>
      </c>
      <c r="D1417" s="2" t="str">
        <f t="shared" si="21"/>
        <v>Error?</v>
      </c>
    </row>
    <row r="1418" spans="1:4" x14ac:dyDescent="0.2">
      <c r="A1418" s="5">
        <v>1357</v>
      </c>
      <c r="B1418" s="1832">
        <f>'Expenditures 15-22'!D240</f>
        <v>10</v>
      </c>
      <c r="D1418" s="2" t="str">
        <f t="shared" si="21"/>
        <v>Error?</v>
      </c>
    </row>
    <row r="1419" spans="1:4" x14ac:dyDescent="0.2">
      <c r="A1419" s="5">
        <v>1358</v>
      </c>
      <c r="B1419" s="1832">
        <f>'Expenditures 15-22'!D241</f>
        <v>6361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6371</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1755</v>
      </c>
      <c r="D1423" s="2" t="str">
        <f t="shared" si="21"/>
        <v>Error?</v>
      </c>
    </row>
    <row r="1424" spans="1:4" x14ac:dyDescent="0.2">
      <c r="A1424" s="5">
        <v>1363</v>
      </c>
      <c r="B1424" s="1832">
        <f>'Expenditures 15-22'!D257</f>
        <v>1755</v>
      </c>
      <c r="C1424" s="2" t="s">
        <v>569</v>
      </c>
      <c r="D1424" s="2" t="str">
        <f t="shared" si="21"/>
        <v>Error?</v>
      </c>
    </row>
    <row r="1425" spans="1:4" x14ac:dyDescent="0.2">
      <c r="A1425" s="5">
        <v>1364</v>
      </c>
      <c r="B1425" s="1832">
        <f>'Expenditures 15-22'!D259</f>
        <v>1473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1473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7961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30561</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2633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41155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61423</v>
      </c>
      <c r="C1446" s="2" t="s">
        <v>569</v>
      </c>
      <c r="D1446" s="2" t="str">
        <f t="shared" si="21"/>
        <v>Error?</v>
      </c>
    </row>
    <row r="1447" spans="1:4" x14ac:dyDescent="0.2">
      <c r="A1447" s="5">
        <v>1386</v>
      </c>
      <c r="B1447" s="1832">
        <f>'Expenditures 15-22'!D280</f>
        <v>4258</v>
      </c>
      <c r="D1447" s="2" t="str">
        <f t="shared" si="21"/>
        <v>Error?</v>
      </c>
    </row>
    <row r="1448" spans="1:4" x14ac:dyDescent="0.2">
      <c r="A1448" s="5">
        <v>1387</v>
      </c>
      <c r="B1448" s="1832">
        <f>'Expenditures 15-22'!D295</f>
        <v>131353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4259</v>
      </c>
      <c r="C1472" s="2" t="s">
        <v>569</v>
      </c>
      <c r="D1472" s="2" t="str">
        <f t="shared" si="22"/>
        <v>Error?</v>
      </c>
    </row>
    <row r="1473" spans="1:4" x14ac:dyDescent="0.2">
      <c r="A1473" s="5">
        <v>1412</v>
      </c>
      <c r="B1473" s="1832">
        <f>'Expenditures 15-22'!K224</f>
        <v>107</v>
      </c>
      <c r="C1473" s="2" t="s">
        <v>569</v>
      </c>
      <c r="D1473" s="2" t="str">
        <f t="shared" si="22"/>
        <v>Error?</v>
      </c>
    </row>
    <row r="1474" spans="1:4" x14ac:dyDescent="0.2">
      <c r="A1474" s="5">
        <v>1413</v>
      </c>
      <c r="B1474" s="1832">
        <f>'Expenditures 15-22'!K229</f>
        <v>65672</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5048</v>
      </c>
      <c r="C1476" s="2" t="s">
        <v>569</v>
      </c>
      <c r="D1476" s="2" t="str">
        <f t="shared" si="22"/>
        <v>Error?</v>
      </c>
    </row>
    <row r="1477" spans="1:4" x14ac:dyDescent="0.2">
      <c r="A1477" s="5">
        <v>1416</v>
      </c>
      <c r="B1477" s="1832">
        <f>'Expenditures 15-22'!K234</f>
        <v>5621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10669</v>
      </c>
      <c r="C1481" s="2" t="s">
        <v>569</v>
      </c>
      <c r="D1481" s="2" t="str">
        <f t="shared" si="22"/>
        <v>Error?</v>
      </c>
    </row>
    <row r="1482" spans="1:4" x14ac:dyDescent="0.2">
      <c r="A1482" s="5">
        <v>1421</v>
      </c>
      <c r="B1482" s="1832">
        <f>'Expenditures 15-22'!K240</f>
        <v>10</v>
      </c>
      <c r="C1482" s="2" t="s">
        <v>569</v>
      </c>
      <c r="D1482" s="2" t="str">
        <f t="shared" si="22"/>
        <v>Error?</v>
      </c>
    </row>
    <row r="1483" spans="1:4" x14ac:dyDescent="0.2">
      <c r="A1483" s="5">
        <v>1422</v>
      </c>
      <c r="B1483" s="1832">
        <f>'Expenditures 15-22'!K241</f>
        <v>6361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6371</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1755</v>
      </c>
      <c r="C1487" s="2" t="s">
        <v>569</v>
      </c>
      <c r="D1487" s="2" t="str">
        <f t="shared" si="22"/>
        <v>Error?</v>
      </c>
    </row>
    <row r="1488" spans="1:4" x14ac:dyDescent="0.2">
      <c r="A1488" s="5">
        <v>1427</v>
      </c>
      <c r="B1488" s="1832">
        <f>'Expenditures 15-22'!K257</f>
        <v>1755</v>
      </c>
      <c r="C1488" s="2" t="s">
        <v>569</v>
      </c>
      <c r="D1488" s="2" t="str">
        <f t="shared" si="22"/>
        <v>Error?</v>
      </c>
    </row>
    <row r="1489" spans="1:4" x14ac:dyDescent="0.2">
      <c r="A1489" s="5">
        <v>1428</v>
      </c>
      <c r="B1489" s="1832">
        <f>'Expenditures 15-22'!K259</f>
        <v>1473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1473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7961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30561</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2633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41155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61423</v>
      </c>
      <c r="C1510" s="2" t="s">
        <v>569</v>
      </c>
      <c r="D1510" s="2" t="str">
        <f t="shared" si="22"/>
        <v>Error?</v>
      </c>
    </row>
    <row r="1511" spans="1:4" x14ac:dyDescent="0.2">
      <c r="A1511" s="5">
        <v>1450</v>
      </c>
      <c r="B1511" s="1832">
        <f>'Expenditures 15-22'!K280</f>
        <v>4258</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131353</v>
      </c>
      <c r="C1517" s="2" t="s">
        <v>569</v>
      </c>
      <c r="D1517" s="2" t="str">
        <f t="shared" si="22"/>
        <v>Error?</v>
      </c>
    </row>
    <row r="1518" spans="1:4" x14ac:dyDescent="0.2">
      <c r="A1518" s="5">
        <v>1457</v>
      </c>
      <c r="B1518" s="1832">
        <f>'Expenditures 15-22'!K296</f>
        <v>-20577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3682286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3999213</v>
      </c>
      <c r="C1630" s="2" t="s">
        <v>569</v>
      </c>
      <c r="D1630" s="2" t="str">
        <f t="shared" si="24"/>
        <v>Error?</v>
      </c>
    </row>
    <row r="1631" spans="1:4" x14ac:dyDescent="0.2">
      <c r="A1631" s="5">
        <v>1570</v>
      </c>
      <c r="B1631" s="1832">
        <f>'Acct Summary 7-8'!D79</f>
        <v>499875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549363</v>
      </c>
      <c r="C1644" s="2" t="s">
        <v>569</v>
      </c>
      <c r="D1644" s="2" t="str">
        <f t="shared" si="24"/>
        <v>Error?</v>
      </c>
    </row>
    <row r="1645" spans="1:4" x14ac:dyDescent="0.2">
      <c r="A1645" s="5">
        <v>1584</v>
      </c>
      <c r="B1645" s="1832">
        <f>'Acct Summary 7-8'!E79</f>
        <v>29249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28354</v>
      </c>
      <c r="C1658" s="2" t="s">
        <v>569</v>
      </c>
      <c r="D1658" s="2" t="str">
        <f t="shared" si="24"/>
        <v>Error?</v>
      </c>
    </row>
    <row r="1659" spans="1:4" x14ac:dyDescent="0.2">
      <c r="A1659" s="5">
        <v>1598</v>
      </c>
      <c r="B1659" s="1832">
        <f>'Acct Summary 7-8'!F79</f>
        <v>439399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513846</v>
      </c>
      <c r="C1672" s="2" t="s">
        <v>569</v>
      </c>
      <c r="D1672" s="2" t="str">
        <f t="shared" si="25"/>
        <v>Error?</v>
      </c>
    </row>
    <row r="1673" spans="1:4" x14ac:dyDescent="0.2">
      <c r="A1673" s="5">
        <v>1612</v>
      </c>
      <c r="B1673" s="1832">
        <f>'Acct Summary 7-8'!G79</f>
        <v>119821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99244</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2561050</v>
      </c>
      <c r="C1744" s="2" t="s">
        <v>569</v>
      </c>
      <c r="D1744" s="2" t="str">
        <f t="shared" si="26"/>
        <v>Error?</v>
      </c>
    </row>
    <row r="1745" spans="1:5" x14ac:dyDescent="0.2">
      <c r="A1745" s="5">
        <v>1684</v>
      </c>
      <c r="B1745" s="1832">
        <f>'Tax Sched 23'!B5</f>
        <v>340920</v>
      </c>
      <c r="C1745" s="2" t="s">
        <v>569</v>
      </c>
      <c r="D1745" s="2" t="str">
        <f t="shared" si="26"/>
        <v>Error?</v>
      </c>
    </row>
    <row r="1746" spans="1:5" x14ac:dyDescent="0.2">
      <c r="A1746" s="5">
        <v>1685</v>
      </c>
      <c r="B1746" s="1832">
        <f>'Tax Sched 23'!B6</f>
        <v>309102</v>
      </c>
      <c r="C1746" s="2" t="s">
        <v>569</v>
      </c>
      <c r="D1746" s="2" t="str">
        <f t="shared" si="26"/>
        <v>Error?</v>
      </c>
    </row>
    <row r="1747" spans="1:5" x14ac:dyDescent="0.2">
      <c r="A1747" s="5">
        <v>1686</v>
      </c>
      <c r="B1747" s="1832">
        <f>'Tax Sched 23'!B7</f>
        <v>229282</v>
      </c>
      <c r="C1747" s="2" t="s">
        <v>569</v>
      </c>
      <c r="D1747" s="2" t="str">
        <f t="shared" si="26"/>
        <v>Error?</v>
      </c>
    </row>
    <row r="1748" spans="1:5" x14ac:dyDescent="0.2">
      <c r="A1748" s="5">
        <v>1687</v>
      </c>
      <c r="B1748" s="1832">
        <f>'Tax Sched 23'!B8</f>
        <v>54834</v>
      </c>
      <c r="C1748" s="2" t="s">
        <v>569</v>
      </c>
      <c r="D1748" s="2" t="str">
        <f t="shared" si="26"/>
        <v>Error?</v>
      </c>
    </row>
    <row r="1749" spans="1:5" x14ac:dyDescent="0.2">
      <c r="A1749" s="5">
        <v>1688</v>
      </c>
      <c r="B1749" s="1832">
        <f>'Tax Sched 23'!B10</f>
        <v>49842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179440</v>
      </c>
      <c r="C1752" s="2" t="s">
        <v>569</v>
      </c>
      <c r="D1752" s="2" t="str">
        <f t="shared" si="26"/>
        <v>Error?</v>
      </c>
    </row>
    <row r="1753" spans="1:5" x14ac:dyDescent="0.2">
      <c r="A1753" s="5">
        <v>1692</v>
      </c>
      <c r="B1753" s="1832">
        <f>'Tax Sched 23'!B12</f>
        <v>54833</v>
      </c>
      <c r="C1753" s="2" t="s">
        <v>569</v>
      </c>
      <c r="D1753" s="2" t="str">
        <f t="shared" si="26"/>
        <v>Error?</v>
      </c>
    </row>
    <row r="1754" spans="1:5" x14ac:dyDescent="0.2">
      <c r="A1754" s="5">
        <v>1693</v>
      </c>
      <c r="B1754" s="1832">
        <f>'Tax Sched 23'!B14</f>
        <v>21944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3872042</v>
      </c>
      <c r="C1759" s="2" t="s">
        <v>569</v>
      </c>
      <c r="D1759" s="2" t="str">
        <f t="shared" si="26"/>
        <v>Error?</v>
      </c>
    </row>
    <row r="1760" spans="1:5" x14ac:dyDescent="0.2">
      <c r="A1760" s="5">
        <v>1699</v>
      </c>
      <c r="B1760" s="1832">
        <f>'Tax Sched 23'!D4</f>
        <v>2561050</v>
      </c>
      <c r="C1760" s="2" t="s">
        <v>569</v>
      </c>
      <c r="D1760" s="2" t="str">
        <f t="shared" si="26"/>
        <v>Error?</v>
      </c>
    </row>
    <row r="1761" spans="1:7" x14ac:dyDescent="0.2">
      <c r="A1761" s="5">
        <v>1700</v>
      </c>
      <c r="B1761" s="1832">
        <f>'Tax Sched 23'!D5</f>
        <v>340920</v>
      </c>
      <c r="C1761" s="2" t="s">
        <v>569</v>
      </c>
      <c r="D1761" s="2" t="str">
        <f t="shared" si="26"/>
        <v>Error?</v>
      </c>
    </row>
    <row r="1762" spans="1:7" s="8" customFormat="1" x14ac:dyDescent="0.2">
      <c r="A1762" s="5">
        <v>1701</v>
      </c>
      <c r="B1762" s="1832">
        <f>'Tax Sched 23'!D6</f>
        <v>309102</v>
      </c>
      <c r="C1762" s="2" t="s">
        <v>569</v>
      </c>
      <c r="D1762" s="2" t="str">
        <f t="shared" si="26"/>
        <v>Error?</v>
      </c>
      <c r="E1762" s="9"/>
      <c r="G1762"/>
    </row>
    <row r="1763" spans="1:7" x14ac:dyDescent="0.2">
      <c r="A1763" s="5">
        <v>1702</v>
      </c>
      <c r="B1763" s="1832">
        <f>'Tax Sched 23'!D7</f>
        <v>229282</v>
      </c>
      <c r="C1763" s="2" t="s">
        <v>569</v>
      </c>
      <c r="D1763" s="2" t="str">
        <f t="shared" si="26"/>
        <v>Error?</v>
      </c>
    </row>
    <row r="1764" spans="1:7" x14ac:dyDescent="0.2">
      <c r="A1764" s="5">
        <v>1703</v>
      </c>
      <c r="B1764" s="1832">
        <f>'Tax Sched 23'!D8</f>
        <v>54834</v>
      </c>
      <c r="C1764" s="2" t="s">
        <v>569</v>
      </c>
      <c r="D1764" s="2" t="str">
        <f t="shared" si="26"/>
        <v>Error?</v>
      </c>
    </row>
    <row r="1765" spans="1:7" x14ac:dyDescent="0.2">
      <c r="A1765" s="5">
        <v>1704</v>
      </c>
      <c r="B1765" s="1832">
        <f>'Tax Sched 23'!D10</f>
        <v>49842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179440</v>
      </c>
      <c r="C1768" s="2" t="s">
        <v>569</v>
      </c>
      <c r="D1768" s="2" t="str">
        <f t="shared" si="26"/>
        <v>Error?</v>
      </c>
    </row>
    <row r="1769" spans="1:7" x14ac:dyDescent="0.2">
      <c r="A1769" s="5">
        <v>1708</v>
      </c>
      <c r="B1769" s="1832">
        <f>'Tax Sched 23'!D12</f>
        <v>54833</v>
      </c>
      <c r="C1769" s="2" t="s">
        <v>569</v>
      </c>
      <c r="D1769" s="2" t="str">
        <f t="shared" si="26"/>
        <v>Error?</v>
      </c>
    </row>
    <row r="1770" spans="1:7" x14ac:dyDescent="0.2">
      <c r="A1770" s="5">
        <v>1709</v>
      </c>
      <c r="B1770" s="1832">
        <f>'Tax Sched 23'!D14</f>
        <v>21944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3872042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2810289</v>
      </c>
      <c r="C1792" s="2" t="s">
        <v>569</v>
      </c>
      <c r="D1792" s="2" t="str">
        <f t="shared" si="27"/>
        <v>Error?</v>
      </c>
    </row>
    <row r="1793" spans="1:4" x14ac:dyDescent="0.2">
      <c r="A1793" s="5">
        <v>1732</v>
      </c>
      <c r="B1793" s="1832">
        <f>'Tax Sched 23'!F5</f>
        <v>355000</v>
      </c>
      <c r="C1793" s="2" t="s">
        <v>569</v>
      </c>
      <c r="D1793" s="2" t="str">
        <f t="shared" si="27"/>
        <v>Error?</v>
      </c>
    </row>
    <row r="1794" spans="1:4" x14ac:dyDescent="0.2">
      <c r="A1794" s="5">
        <v>1733</v>
      </c>
      <c r="B1794" s="1832">
        <f>'Tax Sched 23'!F6</f>
        <v>343382</v>
      </c>
      <c r="C1794" s="2" t="s">
        <v>569</v>
      </c>
      <c r="D1794" s="2" t="str">
        <f t="shared" si="27"/>
        <v>Error?</v>
      </c>
    </row>
    <row r="1795" spans="1:4" x14ac:dyDescent="0.2">
      <c r="A1795" s="5">
        <v>1734</v>
      </c>
      <c r="B1795" s="1832">
        <f>'Tax Sched 23'!F7</f>
        <v>240000</v>
      </c>
      <c r="C1795" s="2" t="s">
        <v>569</v>
      </c>
      <c r="D1795" s="2" t="str">
        <f t="shared" si="27"/>
        <v>Error?</v>
      </c>
    </row>
    <row r="1796" spans="1:4" x14ac:dyDescent="0.2">
      <c r="A1796" s="5">
        <v>1735</v>
      </c>
      <c r="B1796" s="1832">
        <f>'Tax Sched 23'!F8</f>
        <v>70000</v>
      </c>
      <c r="C1796" s="2" t="s">
        <v>569</v>
      </c>
      <c r="D1796" s="2" t="str">
        <f t="shared" si="27"/>
        <v>Error?</v>
      </c>
    </row>
    <row r="1797" spans="1:4" x14ac:dyDescent="0.2">
      <c r="A1797" s="5">
        <v>1736</v>
      </c>
      <c r="B1797" s="1832">
        <f>'Tax Sched 23'!F10</f>
        <v>50000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185000</v>
      </c>
      <c r="C1800" s="2" t="s">
        <v>569</v>
      </c>
      <c r="D1800" s="2" t="str">
        <f t="shared" si="27"/>
        <v>Error?</v>
      </c>
    </row>
    <row r="1801" spans="1:4" x14ac:dyDescent="0.2">
      <c r="A1801" s="5">
        <v>1740</v>
      </c>
      <c r="B1801" s="1832">
        <f>'Tax Sched 23'!F12</f>
        <v>55000</v>
      </c>
      <c r="C1801" s="2" t="s">
        <v>569</v>
      </c>
      <c r="D1801" s="2" t="str">
        <f t="shared" si="27"/>
        <v>Error?</v>
      </c>
    </row>
    <row r="1802" spans="1:4" x14ac:dyDescent="0.2">
      <c r="A1802" s="5">
        <v>1741</v>
      </c>
      <c r="B1802" s="1832">
        <f>'Tax Sched 23'!F14</f>
        <v>22000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4216671</v>
      </c>
      <c r="C1807" s="2" t="s">
        <v>569</v>
      </c>
      <c r="D1807" s="2" t="str">
        <f t="shared" si="27"/>
        <v>Error?</v>
      </c>
    </row>
    <row r="1808" spans="1:4" x14ac:dyDescent="0.2">
      <c r="A1808" s="5">
        <v>1747</v>
      </c>
      <c r="B1808" s="1832">
        <f>'Tax Sched 23'!E4</f>
        <v>2810289</v>
      </c>
      <c r="D1808" s="2" t="str">
        <f t="shared" si="27"/>
        <v>Error?</v>
      </c>
    </row>
    <row r="1809" spans="1:4" x14ac:dyDescent="0.2">
      <c r="A1809" s="5">
        <v>1748</v>
      </c>
      <c r="B1809" s="1832">
        <f>'Tax Sched 23'!E5</f>
        <v>355000</v>
      </c>
      <c r="D1809" s="2" t="str">
        <f t="shared" si="27"/>
        <v>Error?</v>
      </c>
    </row>
    <row r="1810" spans="1:4" x14ac:dyDescent="0.2">
      <c r="A1810" s="5">
        <v>1749</v>
      </c>
      <c r="B1810" s="1832">
        <f>'Tax Sched 23'!E6</f>
        <v>343382</v>
      </c>
      <c r="D1810" s="2" t="str">
        <f t="shared" si="27"/>
        <v>Error?</v>
      </c>
    </row>
    <row r="1811" spans="1:4" x14ac:dyDescent="0.2">
      <c r="A1811" s="5">
        <v>1750</v>
      </c>
      <c r="B1811" s="1832">
        <f>'Tax Sched 23'!E7</f>
        <v>240000</v>
      </c>
      <c r="D1811" s="2" t="str">
        <f t="shared" si="27"/>
        <v>Error?</v>
      </c>
    </row>
    <row r="1812" spans="1:4" x14ac:dyDescent="0.2">
      <c r="A1812" s="5">
        <v>1751</v>
      </c>
      <c r="B1812" s="1832">
        <f>'Tax Sched 23'!E8</f>
        <v>70000</v>
      </c>
      <c r="D1812" s="2" t="str">
        <f t="shared" si="27"/>
        <v>Error?</v>
      </c>
    </row>
    <row r="1813" spans="1:4" x14ac:dyDescent="0.2">
      <c r="A1813" s="5">
        <v>1752</v>
      </c>
      <c r="B1813" s="1832">
        <f>'Tax Sched 23'!E10</f>
        <v>50000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185000</v>
      </c>
      <c r="D1816" s="2" t="str">
        <f t="shared" si="27"/>
        <v>Error?</v>
      </c>
    </row>
    <row r="1817" spans="1:4" x14ac:dyDescent="0.2">
      <c r="A1817" s="5">
        <v>1756</v>
      </c>
      <c r="B1817" s="1832">
        <f>'Tax Sched 23'!E12</f>
        <v>55000</v>
      </c>
      <c r="D1817" s="2" t="str">
        <f t="shared" si="27"/>
        <v>Error?</v>
      </c>
    </row>
    <row r="1818" spans="1:4" x14ac:dyDescent="0.2">
      <c r="A1818" s="5">
        <v>1757</v>
      </c>
      <c r="B1818" s="1832">
        <f>'Tax Sched 23'!E14</f>
        <v>22000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4216671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1977000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21953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21953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21953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22098</v>
      </c>
      <c r="D2008" s="2" t="str">
        <f t="shared" si="30"/>
        <v>Error?</v>
      </c>
    </row>
    <row r="2009" spans="1:4" x14ac:dyDescent="0.2">
      <c r="A2009" s="5">
        <v>1948</v>
      </c>
      <c r="B2009" s="1832">
        <f>'Cap Outlay Deprec 26'!C8</f>
        <v>11075700</v>
      </c>
      <c r="D2009" s="2" t="str">
        <f t="shared" si="30"/>
        <v>Error?</v>
      </c>
    </row>
    <row r="2010" spans="1:4" x14ac:dyDescent="0.2">
      <c r="A2010" s="5">
        <v>1949</v>
      </c>
      <c r="B2010" s="1832">
        <f>'Cap Outlay Deprec 26'!C10</f>
        <v>343878</v>
      </c>
      <c r="D2010" s="2" t="str">
        <f t="shared" si="30"/>
        <v>Error?</v>
      </c>
    </row>
    <row r="2011" spans="1:4" x14ac:dyDescent="0.2">
      <c r="A2011" s="5">
        <v>1950</v>
      </c>
      <c r="B2011" s="1832">
        <f>'Cap Outlay Deprec 26'!C12</f>
        <v>2368751</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13810427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21843</v>
      </c>
      <c r="D2015" s="2" t="str">
        <f t="shared" si="30"/>
        <v>Error?</v>
      </c>
    </row>
    <row r="2016" spans="1:4" x14ac:dyDescent="0.2">
      <c r="A2016" s="5">
        <v>1955</v>
      </c>
      <c r="B2016" s="1832">
        <f>'Cap Outlay Deprec 26'!D10</f>
        <v>12821</v>
      </c>
      <c r="D2016" s="2" t="str">
        <f t="shared" si="30"/>
        <v>Error?</v>
      </c>
    </row>
    <row r="2017" spans="1:4" x14ac:dyDescent="0.2">
      <c r="A2017" s="5">
        <v>1956</v>
      </c>
      <c r="B2017" s="1832">
        <f>'Cap Outlay Deprec 26'!D12</f>
        <v>192844</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227508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14190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14190</v>
      </c>
      <c r="C2025" s="2" t="s">
        <v>569</v>
      </c>
      <c r="D2025" s="2" t="str">
        <f t="shared" si="30"/>
        <v>Error?</v>
      </c>
    </row>
    <row r="2026" spans="1:4" x14ac:dyDescent="0.2">
      <c r="A2026" s="5">
        <v>1965</v>
      </c>
      <c r="B2026" s="1832">
        <f>'Cap Outlay Deprec 26'!F5</f>
        <v>22098</v>
      </c>
      <c r="C2026" s="2" t="s">
        <v>569</v>
      </c>
      <c r="D2026" s="2" t="str">
        <f t="shared" si="30"/>
        <v>Error?</v>
      </c>
    </row>
    <row r="2027" spans="1:4" x14ac:dyDescent="0.2">
      <c r="A2027" s="5">
        <v>1966</v>
      </c>
      <c r="B2027" s="1832">
        <f>'Cap Outlay Deprec 26'!F8</f>
        <v>11083353</v>
      </c>
      <c r="C2027" s="2" t="s">
        <v>569</v>
      </c>
      <c r="D2027" s="2" t="str">
        <f t="shared" si="30"/>
        <v>Error?</v>
      </c>
    </row>
    <row r="2028" spans="1:4" x14ac:dyDescent="0.2">
      <c r="A2028" s="5">
        <v>1967</v>
      </c>
      <c r="B2028" s="1832">
        <f>'Cap Outlay Deprec 26'!F10</f>
        <v>356699</v>
      </c>
      <c r="C2028" s="2" t="s">
        <v>569</v>
      </c>
      <c r="D2028" s="2" t="str">
        <f t="shared" si="30"/>
        <v>Error?</v>
      </c>
    </row>
    <row r="2029" spans="1:4" x14ac:dyDescent="0.2">
      <c r="A2029" s="5">
        <v>1968</v>
      </c>
      <c r="B2029" s="1832">
        <f>'Cap Outlay Deprec 26'!F12</f>
        <v>2561595</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14023745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4783114</v>
      </c>
      <c r="D2033" s="2" t="str">
        <f t="shared" si="30"/>
        <v>Error?</v>
      </c>
    </row>
    <row r="2034" spans="1:4" x14ac:dyDescent="0.2">
      <c r="A2034" s="5">
        <v>1973</v>
      </c>
      <c r="B2034" s="1832">
        <f>'Cap Outlay Deprec 26'!H10</f>
        <v>173737</v>
      </c>
      <c r="D2034" s="2" t="str">
        <f t="shared" si="30"/>
        <v>Error?</v>
      </c>
    </row>
    <row r="2035" spans="1:4" x14ac:dyDescent="0.2">
      <c r="A2035" s="5">
        <v>1974</v>
      </c>
      <c r="B2035" s="1832">
        <f>'Cap Outlay Deprec 26'!H12</f>
        <v>1923219</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6880070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228928</v>
      </c>
      <c r="D2039" s="2" t="str">
        <f t="shared" si="30"/>
        <v>Error?</v>
      </c>
    </row>
    <row r="2040" spans="1:4" x14ac:dyDescent="0.2">
      <c r="A2040" s="5">
        <v>1979</v>
      </c>
      <c r="B2040" s="1832">
        <f>'Cap Outlay Deprec 26'!I10</f>
        <v>12386</v>
      </c>
      <c r="D2040" s="2" t="str">
        <f t="shared" si="30"/>
        <v>Error?</v>
      </c>
    </row>
    <row r="2041" spans="1:4" x14ac:dyDescent="0.2">
      <c r="A2041" s="5">
        <v>1980</v>
      </c>
      <c r="B2041" s="1832">
        <f>'Cap Outlay Deprec 26'!I12</f>
        <v>84093</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325407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5012042</v>
      </c>
      <c r="C2051" s="2" t="s">
        <v>569</v>
      </c>
      <c r="D2051" s="2" t="str">
        <f t="shared" si="31"/>
        <v>Error?</v>
      </c>
    </row>
    <row r="2052" spans="1:4" x14ac:dyDescent="0.2">
      <c r="A2052" s="5">
        <v>1991</v>
      </c>
      <c r="B2052" s="1832">
        <f>'Cap Outlay Deprec 26'!K10</f>
        <v>186123</v>
      </c>
      <c r="C2052" s="2" t="s">
        <v>569</v>
      </c>
      <c r="D2052" s="2" t="str">
        <f t="shared" si="31"/>
        <v>Error?</v>
      </c>
    </row>
    <row r="2053" spans="1:4" x14ac:dyDescent="0.2">
      <c r="A2053" s="5">
        <v>1992</v>
      </c>
      <c r="B2053" s="1832">
        <f>'Cap Outlay Deprec 26'!K12</f>
        <v>2007312</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7205477</v>
      </c>
      <c r="C2055" s="2" t="s">
        <v>569</v>
      </c>
      <c r="D2055" s="2" t="str">
        <f t="shared" si="31"/>
        <v>Error?</v>
      </c>
    </row>
    <row r="2056" spans="1:4" x14ac:dyDescent="0.2">
      <c r="A2056" s="5">
        <v>1995</v>
      </c>
      <c r="B2056" s="1832">
        <f>'Cap Outlay Deprec 26'!L5</f>
        <v>22098</v>
      </c>
      <c r="C2056" s="2" t="s">
        <v>569</v>
      </c>
      <c r="D2056" s="2" t="str">
        <f t="shared" si="31"/>
        <v>Error?</v>
      </c>
    </row>
    <row r="2057" spans="1:4" x14ac:dyDescent="0.2">
      <c r="A2057" s="5">
        <v>1996</v>
      </c>
      <c r="B2057" s="1832">
        <f>'Cap Outlay Deprec 26'!L8</f>
        <v>6071311</v>
      </c>
      <c r="C2057" s="2" t="s">
        <v>569</v>
      </c>
      <c r="D2057" s="2" t="str">
        <f t="shared" si="31"/>
        <v>Error?</v>
      </c>
    </row>
    <row r="2058" spans="1:4" x14ac:dyDescent="0.2">
      <c r="A2058" s="5">
        <v>1997</v>
      </c>
      <c r="B2058" s="1832">
        <f>'Cap Outlay Deprec 26'!L10</f>
        <v>170576</v>
      </c>
      <c r="C2058" s="2" t="s">
        <v>569</v>
      </c>
      <c r="D2058" s="2" t="str">
        <f t="shared" si="31"/>
        <v>Error?</v>
      </c>
    </row>
    <row r="2059" spans="1:4" x14ac:dyDescent="0.2">
      <c r="A2059" s="5">
        <v>1998</v>
      </c>
      <c r="B2059" s="1832">
        <f>'Cap Outlay Deprec 26'!L12</f>
        <v>554283</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6818268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152677</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529017</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2891997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1488328</v>
      </c>
      <c r="C2553" s="2" t="s">
        <v>569</v>
      </c>
      <c r="D2553" s="2" t="str">
        <f t="shared" si="38"/>
        <v>Error?</v>
      </c>
    </row>
    <row r="2554" spans="1:4" x14ac:dyDescent="0.2">
      <c r="A2554" s="5">
        <v>2493</v>
      </c>
      <c r="B2554" s="1832">
        <f>'Acct Summary 7-8'!C7</f>
        <v>347284</v>
      </c>
      <c r="C2554" s="2" t="s">
        <v>569</v>
      </c>
      <c r="D2554" s="2" t="str">
        <f t="shared" si="38"/>
        <v>Error?</v>
      </c>
    </row>
    <row r="2555" spans="1:4" x14ac:dyDescent="0.2">
      <c r="A2555" s="5">
        <v>2494</v>
      </c>
      <c r="B2555" s="1832">
        <f>'Acct Summary 7-8'!C8</f>
        <v>4727609</v>
      </c>
      <c r="C2555" s="2" t="s">
        <v>569</v>
      </c>
      <c r="D2555" s="2" t="str">
        <f t="shared" si="38"/>
        <v>Error?</v>
      </c>
    </row>
    <row r="2556" spans="1:4" x14ac:dyDescent="0.2">
      <c r="A2556" s="5">
        <v>2495</v>
      </c>
      <c r="B2556" s="1832">
        <f>'Acct Summary 7-8'!C12</f>
        <v>2723833</v>
      </c>
      <c r="C2556" s="2" t="s">
        <v>569</v>
      </c>
      <c r="D2556" s="2" t="str">
        <f t="shared" si="38"/>
        <v>Error?</v>
      </c>
    </row>
    <row r="2557" spans="1:4" x14ac:dyDescent="0.2">
      <c r="A2557" s="5">
        <v>2496</v>
      </c>
      <c r="B2557" s="1832">
        <f>'Acct Summary 7-8'!C13</f>
        <v>1100847</v>
      </c>
      <c r="C2557" s="2" t="s">
        <v>569</v>
      </c>
      <c r="D2557" s="2" t="str">
        <f t="shared" si="38"/>
        <v>Error?</v>
      </c>
    </row>
    <row r="2558" spans="1:4" x14ac:dyDescent="0.2">
      <c r="A2558" s="5">
        <v>2497</v>
      </c>
      <c r="B2558" s="1832">
        <f>'Acct Summary 7-8'!C14</f>
        <v>56985</v>
      </c>
      <c r="C2558" s="2" t="s">
        <v>569</v>
      </c>
      <c r="D2558" s="2" t="str">
        <f t="shared" si="38"/>
        <v>Error?</v>
      </c>
    </row>
    <row r="2559" spans="1:4" x14ac:dyDescent="0.2">
      <c r="A2559" s="5">
        <v>2498</v>
      </c>
      <c r="B2559" s="1832">
        <f>'Acct Summary 7-8'!C15</f>
        <v>529017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4410682</v>
      </c>
      <c r="C2561" s="2" t="s">
        <v>569</v>
      </c>
      <c r="D2561" s="2" t="str">
        <f t="shared" si="39"/>
        <v>Error?</v>
      </c>
    </row>
    <row r="2562" spans="1:4" x14ac:dyDescent="0.2">
      <c r="A2562" s="5">
        <v>2501</v>
      </c>
      <c r="B2562" s="1832">
        <f>'Acct Summary 7-8'!C20</f>
        <v>316927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530177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580177</v>
      </c>
      <c r="C2568" s="2" t="s">
        <v>569</v>
      </c>
      <c r="D2568" s="2" t="str">
        <f t="shared" si="39"/>
        <v>Error?</v>
      </c>
    </row>
    <row r="2569" spans="1:4" x14ac:dyDescent="0.2">
      <c r="A2569" s="5">
        <v>2508</v>
      </c>
      <c r="B2569" s="1832">
        <f>'Acct Summary 7-8'!D13</f>
        <v>530689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530689</v>
      </c>
      <c r="C2573" s="2" t="s">
        <v>569</v>
      </c>
      <c r="D2573" s="2" t="str">
        <f t="shared" si="39"/>
        <v>Error?</v>
      </c>
    </row>
    <row r="2574" spans="1:4" x14ac:dyDescent="0.2">
      <c r="A2574" s="5">
        <v>2513</v>
      </c>
      <c r="B2574" s="1832">
        <f>'Acct Summary 7-8'!D20</f>
        <v>49488</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234443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252121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486564</v>
      </c>
      <c r="C2595" s="2" t="s">
        <v>569</v>
      </c>
      <c r="D2595" s="2" t="str">
        <f t="shared" si="39"/>
        <v>Error?</v>
      </c>
    </row>
    <row r="2596" spans="1:4" x14ac:dyDescent="0.2">
      <c r="A2596" s="5">
        <v>2535</v>
      </c>
      <c r="B2596" s="1832">
        <f>'Acct Summary 7-8'!F13</f>
        <v>412117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412117</v>
      </c>
      <c r="C2600" s="2" t="s">
        <v>569</v>
      </c>
      <c r="D2600" s="2" t="str">
        <f t="shared" si="39"/>
        <v>Error?</v>
      </c>
    </row>
    <row r="2601" spans="1:4" x14ac:dyDescent="0.2">
      <c r="A2601" s="5">
        <v>2540</v>
      </c>
      <c r="B2601" s="1832">
        <f>'Acct Summary 7-8'!F20</f>
        <v>74447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110776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110776</v>
      </c>
      <c r="C2606" s="2" t="s">
        <v>569</v>
      </c>
      <c r="D2606" s="2" t="str">
        <f t="shared" si="39"/>
        <v>Error?</v>
      </c>
    </row>
    <row r="2607" spans="1:4" x14ac:dyDescent="0.2">
      <c r="A2607" s="5">
        <v>2546</v>
      </c>
      <c r="B2607" s="1832">
        <f>'Acct Summary 7-8'!G12</f>
        <v>65672</v>
      </c>
      <c r="C2607" s="2" t="s">
        <v>569</v>
      </c>
      <c r="D2607" s="2" t="str">
        <f t="shared" si="39"/>
        <v>Error?</v>
      </c>
    </row>
    <row r="2608" spans="1:4" x14ac:dyDescent="0.2">
      <c r="A2608" s="5">
        <v>2547</v>
      </c>
      <c r="B2608" s="1832">
        <f>'Acct Summary 7-8'!G13</f>
        <v>61423</v>
      </c>
      <c r="C2608" s="2" t="s">
        <v>569</v>
      </c>
      <c r="D2608" s="2" t="str">
        <f t="shared" si="39"/>
        <v>Error?</v>
      </c>
    </row>
    <row r="2609" spans="1:4" x14ac:dyDescent="0.2">
      <c r="A2609" s="5">
        <v>2548</v>
      </c>
      <c r="B2609" s="1832">
        <f>'Acct Summary 7-8'!G14</f>
        <v>4258</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131353</v>
      </c>
      <c r="C2612" s="2" t="s">
        <v>569</v>
      </c>
      <c r="D2612" s="2" t="str">
        <f t="shared" si="39"/>
        <v>Error?</v>
      </c>
    </row>
    <row r="2613" spans="1:4" x14ac:dyDescent="0.2">
      <c r="A2613" s="5">
        <v>2552</v>
      </c>
      <c r="B2613" s="1832">
        <f>'Acct Summary 7-8'!G20</f>
        <v>-20577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309299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309299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310194</v>
      </c>
      <c r="C2634" s="2" t="s">
        <v>569</v>
      </c>
      <c r="D2634" s="2" t="str">
        <f t="shared" si="40"/>
        <v>Error?</v>
      </c>
    </row>
    <row r="2635" spans="1:4" x14ac:dyDescent="0.2">
      <c r="A2635" s="5">
        <v>2574</v>
      </c>
      <c r="B2635" s="1832">
        <f>'Acct Summary 7-8'!E17</f>
        <v>310194</v>
      </c>
      <c r="C2635" s="2" t="s">
        <v>569</v>
      </c>
      <c r="D2635" s="2" t="str">
        <f t="shared" si="40"/>
        <v>Error?</v>
      </c>
    </row>
    <row r="2636" spans="1:4" x14ac:dyDescent="0.2">
      <c r="A2636" s="5">
        <v>2575</v>
      </c>
      <c r="B2636" s="1832">
        <f>'Acct Summary 7-8'!E20</f>
        <v>-895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8000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8000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376340</v>
      </c>
      <c r="C2789" s="2" t="s">
        <v>569</v>
      </c>
      <c r="D2789" s="2" t="str">
        <f t="shared" si="42"/>
        <v>Error?</v>
      </c>
    </row>
    <row r="2790" spans="1:4" x14ac:dyDescent="0.2">
      <c r="A2790" s="5">
        <v>2729</v>
      </c>
      <c r="B2790" s="1832">
        <f>'Expenditures 15-22'!E102</f>
        <v>376340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866659</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867706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45507</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867706</v>
      </c>
      <c r="D2912" s="2" t="str">
        <f t="shared" si="44"/>
        <v>Error?</v>
      </c>
    </row>
    <row r="2913" spans="1:4" x14ac:dyDescent="0.2">
      <c r="A2913" s="5">
        <v>2852</v>
      </c>
      <c r="B2913" s="1832">
        <f>'Assets-Liab 5-6'!I41</f>
        <v>867706</v>
      </c>
      <c r="C2913" s="2" t="s">
        <v>569</v>
      </c>
      <c r="D2913" s="2" t="str">
        <f t="shared" si="44"/>
        <v>Error?</v>
      </c>
    </row>
    <row r="2914" spans="1:4" x14ac:dyDescent="0.2">
      <c r="A2914" s="5">
        <v>2853</v>
      </c>
      <c r="B2914" s="1832">
        <f>'Assets-Liab 5-6'!L33</f>
        <v>45507</v>
      </c>
      <c r="D2914" s="2" t="str">
        <f t="shared" si="44"/>
        <v>Error?</v>
      </c>
    </row>
    <row r="2915" spans="1:4" x14ac:dyDescent="0.2">
      <c r="A2915" s="10">
        <v>2854</v>
      </c>
      <c r="B2915" s="1832"/>
      <c r="D2915" s="2" t="str">
        <f t="shared" si="44"/>
        <v>OK</v>
      </c>
    </row>
    <row r="2916" spans="1:4" x14ac:dyDescent="0.2">
      <c r="A2916" s="5">
        <v>2855</v>
      </c>
      <c r="B2916" s="1832">
        <f>'Assets-Liab 5-6'!L34</f>
        <v>45507</v>
      </c>
      <c r="C2916" s="2" t="s">
        <v>569</v>
      </c>
      <c r="D2916" s="2" t="str">
        <f t="shared" si="44"/>
        <v>Error?</v>
      </c>
    </row>
    <row r="2917" spans="1:4" x14ac:dyDescent="0.2">
      <c r="A2917" s="5">
        <v>2856</v>
      </c>
      <c r="B2917" s="1832">
        <f>'Assets-Liab 5-6'!L41</f>
        <v>45507</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3546</v>
      </c>
      <c r="D2949" s="2" t="str">
        <f t="shared" si="45"/>
        <v>Error?</v>
      </c>
    </row>
    <row r="2950" spans="1:4" x14ac:dyDescent="0.2">
      <c r="A2950" s="5">
        <v>2889</v>
      </c>
      <c r="B2950" s="1832">
        <f>'Expenditures 15-22'!E79</f>
        <v>372794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152677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3546</v>
      </c>
      <c r="C2973" s="2" t="s">
        <v>569</v>
      </c>
      <c r="D2973" s="2" t="str">
        <f t="shared" si="45"/>
        <v>Error?</v>
      </c>
    </row>
    <row r="2974" spans="1:4" x14ac:dyDescent="0.2">
      <c r="A2974" s="5">
        <v>2913</v>
      </c>
      <c r="B2974" s="1832">
        <f>'Expenditures 15-22'!K79</f>
        <v>525471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92892</v>
      </c>
      <c r="D3055" s="2" t="str">
        <f t="shared" si="46"/>
        <v>Error?</v>
      </c>
    </row>
    <row r="3056" spans="1:4" x14ac:dyDescent="0.2">
      <c r="A3056" s="5">
        <v>2995</v>
      </c>
      <c r="B3056" s="1832">
        <f>'Expenditures 15-22'!D10</f>
        <v>3719</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3862</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100473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4287</v>
      </c>
      <c r="D3064" s="2" t="str">
        <f t="shared" si="46"/>
        <v>Error?</v>
      </c>
    </row>
    <row r="3065" spans="1:4" x14ac:dyDescent="0.2">
      <c r="A3065" s="5">
        <v>3004</v>
      </c>
      <c r="B3065" s="1832">
        <f>'Expenditures 15-22'!K219</f>
        <v>4287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57196</v>
      </c>
      <c r="C3225" s="2" t="s">
        <v>569</v>
      </c>
      <c r="D3225" s="2" t="str">
        <f t="shared" si="49"/>
        <v>Error?</v>
      </c>
    </row>
    <row r="3226" spans="1:4" x14ac:dyDescent="0.2">
      <c r="A3226" s="5">
        <v>3165</v>
      </c>
      <c r="B3226" s="1832">
        <f>'Acct Summary 7-8'!I8</f>
        <v>57196</v>
      </c>
      <c r="C3226" s="2" t="s">
        <v>569</v>
      </c>
      <c r="D3226" s="2" t="str">
        <f t="shared" si="49"/>
        <v>Error?</v>
      </c>
    </row>
    <row r="3227" spans="1:4" x14ac:dyDescent="0.2">
      <c r="A3227" s="5">
        <v>3166</v>
      </c>
      <c r="B3227" s="1832">
        <f>'Acct Summary 7-8'!I20</f>
        <v>57196</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316927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49488</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74447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-20577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-895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57196</v>
      </c>
      <c r="C3320" s="2" t="s">
        <v>569</v>
      </c>
      <c r="D3320" s="2" t="str">
        <f t="shared" si="50"/>
        <v>Error?</v>
      </c>
    </row>
    <row r="3321" spans="1:4" x14ac:dyDescent="0.2">
      <c r="A3321" s="5">
        <v>3260</v>
      </c>
      <c r="B3321" s="1832">
        <f>'Acct Summary 7-8'!I79</f>
        <v>810510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867706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359625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41977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2784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11750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404386</v>
      </c>
      <c r="C3380" s="2" t="s">
        <v>569</v>
      </c>
      <c r="D3380" s="2" t="str">
        <f t="shared" si="51"/>
        <v>Error?</v>
      </c>
    </row>
    <row r="3381" spans="1:4" x14ac:dyDescent="0.2">
      <c r="A3381" s="5">
        <v>3320</v>
      </c>
      <c r="B3381" s="1832">
        <f>'Expenditures 15-22'!K19</f>
        <v>11750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31758</v>
      </c>
      <c r="D3387" s="2" t="str">
        <f t="shared" si="51"/>
        <v>Error?</v>
      </c>
    </row>
    <row r="3388" spans="1:4" x14ac:dyDescent="0.2">
      <c r="A3388" s="5">
        <v>3327</v>
      </c>
      <c r="B3388" s="1832">
        <f>'Expenditures 15-22'!D217</f>
        <v>21718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31758</v>
      </c>
      <c r="C3390" s="2" t="s">
        <v>569</v>
      </c>
      <c r="D3390" s="2" t="str">
        <f t="shared" si="51"/>
        <v>Error?</v>
      </c>
    </row>
    <row r="3391" spans="1:4" x14ac:dyDescent="0.2">
      <c r="A3391" s="5">
        <v>3330</v>
      </c>
      <c r="B3391" s="1832">
        <f>'Expenditures 15-22'!K217</f>
        <v>21718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371244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51795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28354</v>
      </c>
      <c r="D3417" s="2" t="str">
        <f t="shared" si="52"/>
        <v>Error?</v>
      </c>
    </row>
    <row r="3418" spans="1:4" x14ac:dyDescent="0.2">
      <c r="A3418" s="10">
        <v>3357</v>
      </c>
      <c r="B3418" s="1832"/>
      <c r="D3418" s="2" t="str">
        <f t="shared" si="52"/>
        <v>OK</v>
      </c>
    </row>
    <row r="3419" spans="1:4" x14ac:dyDescent="0.2">
      <c r="A3419" s="5">
        <v>3358</v>
      </c>
      <c r="B3419" s="1832">
        <f>'Assets-Liab 5-6'!F4</f>
        <v>88768</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37671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1047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45507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54833</v>
      </c>
      <c r="C3446" s="2" t="s">
        <v>569</v>
      </c>
      <c r="D3446" s="2" t="str">
        <f t="shared" si="52"/>
        <v>Error?</v>
      </c>
    </row>
    <row r="3447" spans="1:4" x14ac:dyDescent="0.2">
      <c r="A3447" s="5">
        <v>3386</v>
      </c>
      <c r="B3447" s="1832">
        <f>'Tax Sched 23'!D16</f>
        <v>54833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70000</v>
      </c>
      <c r="C3449" s="2" t="s">
        <v>569</v>
      </c>
      <c r="D3449" s="2" t="str">
        <f t="shared" si="52"/>
        <v>Error?</v>
      </c>
    </row>
    <row r="3450" spans="1:4" x14ac:dyDescent="0.2">
      <c r="A3450" s="5">
        <v>3389</v>
      </c>
      <c r="B3450" s="1832">
        <f>'Tax Sched 23'!E16</f>
        <v>70000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17626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147250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164876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164876</v>
      </c>
      <c r="D3567" s="2" t="str">
        <f t="shared" si="54"/>
        <v>Error?</v>
      </c>
    </row>
    <row r="3568" spans="1:4" x14ac:dyDescent="0.2">
      <c r="A3568" s="5">
        <v>3507</v>
      </c>
      <c r="B3568" s="1832">
        <f>'Assets-Liab 5-6'!K41</f>
        <v>164876</v>
      </c>
      <c r="C3568" s="2" t="s">
        <v>569</v>
      </c>
      <c r="D3568" s="2" t="str">
        <f t="shared" si="54"/>
        <v>Error?</v>
      </c>
    </row>
    <row r="3569" spans="1:4" x14ac:dyDescent="0.2">
      <c r="A3569" s="5">
        <v>3508</v>
      </c>
      <c r="B3569" s="1832">
        <f>'Acct Summary 7-8'!K4</f>
        <v>56165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56165</v>
      </c>
      <c r="C3571" s="2" t="s">
        <v>569</v>
      </c>
      <c r="D3571" s="2" t="str">
        <f t="shared" si="54"/>
        <v>Error?</v>
      </c>
    </row>
    <row r="3572" spans="1:4" x14ac:dyDescent="0.2">
      <c r="A3572" s="5">
        <v>3511</v>
      </c>
      <c r="B3572" s="1832">
        <f>'Acct Summary 7-8'!K13</f>
        <v>30640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30640</v>
      </c>
      <c r="C3575" s="2" t="s">
        <v>569</v>
      </c>
      <c r="D3575" s="2" t="str">
        <f t="shared" si="54"/>
        <v>Error?</v>
      </c>
    </row>
    <row r="3576" spans="1:4" x14ac:dyDescent="0.2">
      <c r="A3576" s="5">
        <v>3515</v>
      </c>
      <c r="B3576" s="1832">
        <f>'Acct Summary 7-8'!K20</f>
        <v>25525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25525</v>
      </c>
      <c r="C3588" s="2" t="s">
        <v>569</v>
      </c>
      <c r="D3588" s="2" t="str">
        <f t="shared" si="55"/>
        <v>Error?</v>
      </c>
    </row>
    <row r="3589" spans="1:4" x14ac:dyDescent="0.2">
      <c r="A3589" s="5">
        <v>3528</v>
      </c>
      <c r="B3589" s="1832">
        <f>'Acct Summary 7-8'!K79</f>
        <v>139351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164876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28885</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28885</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28885</v>
      </c>
      <c r="C3635" s="2" t="s">
        <v>569</v>
      </c>
      <c r="D3635" s="2" t="str">
        <f t="shared" si="55"/>
        <v>Error?</v>
      </c>
    </row>
    <row r="3636" spans="1:4" x14ac:dyDescent="0.2">
      <c r="A3636" s="5">
        <v>3575</v>
      </c>
      <c r="B3636" s="1832">
        <f>'Expenditures 15-22'!E367</f>
        <v>28885</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1755</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1755</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1755</v>
      </c>
      <c r="C3649" s="2" t="s">
        <v>569</v>
      </c>
      <c r="D3649" s="2" t="str">
        <f t="shared" si="56"/>
        <v>Error?</v>
      </c>
    </row>
    <row r="3650" spans="1:4" x14ac:dyDescent="0.2">
      <c r="A3650" s="5">
        <v>3589</v>
      </c>
      <c r="B3650" s="1832">
        <f>'Expenditures 15-22'!G367</f>
        <v>1755</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30640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30640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30640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30640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25525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15962</v>
      </c>
      <c r="C3725" s="2" t="s">
        <v>569</v>
      </c>
      <c r="D3725" s="2" t="str">
        <f t="shared" si="57"/>
        <v>Error?</v>
      </c>
    </row>
    <row r="3726" spans="1:4" x14ac:dyDescent="0.2">
      <c r="A3726" s="5">
        <v>3665</v>
      </c>
      <c r="B3726" s="1832">
        <f>'Tax Sched 23'!D13</f>
        <v>15962</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16000</v>
      </c>
      <c r="C3728" s="2" t="s">
        <v>569</v>
      </c>
      <c r="D3728" s="2" t="str">
        <f t="shared" si="57"/>
        <v>Error?</v>
      </c>
    </row>
    <row r="3729" spans="1:4" x14ac:dyDescent="0.2">
      <c r="A3729" s="5">
        <v>3668</v>
      </c>
      <c r="B3729" s="1832">
        <f>'Tax Sched 23'!E13</f>
        <v>16000</v>
      </c>
      <c r="D3729" s="2" t="str">
        <f t="shared" si="57"/>
        <v>Error?</v>
      </c>
    </row>
    <row r="3730" spans="1:4" x14ac:dyDescent="0.2">
      <c r="A3730" s="5">
        <v>3669</v>
      </c>
      <c r="B3730" s="1832">
        <f>'ICR Computation 30'!E10</f>
        <v>171366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2062009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6789618</v>
      </c>
      <c r="C4122" s="2" t="s">
        <v>569</v>
      </c>
      <c r="D4122" s="2" t="str">
        <f t="shared" si="63"/>
        <v>Error?</v>
      </c>
    </row>
    <row r="4123" spans="1:4" x14ac:dyDescent="0.2">
      <c r="A4123" s="5">
        <v>4062</v>
      </c>
      <c r="B4123" s="1832">
        <f>'Acct Summary 7-8'!D10</f>
        <v>580177</v>
      </c>
      <c r="C4123" s="2" t="s">
        <v>569</v>
      </c>
      <c r="D4123" s="2" t="str">
        <f t="shared" si="63"/>
        <v>Error?</v>
      </c>
    </row>
    <row r="4124" spans="1:4" x14ac:dyDescent="0.2">
      <c r="A4124" s="5">
        <v>4063</v>
      </c>
      <c r="B4124" s="1832">
        <f>'Acct Summary 7-8'!E10</f>
        <v>309299</v>
      </c>
      <c r="C4124" s="2" t="s">
        <v>569</v>
      </c>
      <c r="D4124" s="2" t="str">
        <f t="shared" si="63"/>
        <v>Error?</v>
      </c>
    </row>
    <row r="4125" spans="1:4" x14ac:dyDescent="0.2">
      <c r="A4125" s="5">
        <v>4064</v>
      </c>
      <c r="B4125" s="1832">
        <f>'Acct Summary 7-8'!F10</f>
        <v>486564</v>
      </c>
      <c r="C4125" s="2" t="s">
        <v>569</v>
      </c>
      <c r="D4125" s="2" t="str">
        <f t="shared" si="63"/>
        <v>Error?</v>
      </c>
    </row>
    <row r="4126" spans="1:4" x14ac:dyDescent="0.2">
      <c r="A4126" s="5">
        <v>4065</v>
      </c>
      <c r="B4126" s="1832">
        <f>'Acct Summary 7-8'!G10</f>
        <v>110776</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57196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56165</v>
      </c>
      <c r="C4130" s="2" t="s">
        <v>569</v>
      </c>
      <c r="D4130" s="2" t="str">
        <f t="shared" si="63"/>
        <v>Error?</v>
      </c>
    </row>
    <row r="4131" spans="1:4" x14ac:dyDescent="0.2">
      <c r="A4131" s="5">
        <v>4070</v>
      </c>
      <c r="B4131" s="1832">
        <f>'Acct Summary 7-8'!C18</f>
        <v>2062009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6472691</v>
      </c>
      <c r="C4136" s="2" t="s">
        <v>569</v>
      </c>
      <c r="D4136" s="2" t="str">
        <f t="shared" si="63"/>
        <v>Error?</v>
      </c>
    </row>
    <row r="4137" spans="1:4" x14ac:dyDescent="0.2">
      <c r="A4137" s="5">
        <v>4076</v>
      </c>
      <c r="B4137" s="1832">
        <f>'Acct Summary 7-8'!D19</f>
        <v>530689</v>
      </c>
      <c r="C4137" s="2" t="s">
        <v>569</v>
      </c>
      <c r="D4137" s="2" t="str">
        <f t="shared" si="63"/>
        <v>Error?</v>
      </c>
    </row>
    <row r="4138" spans="1:4" x14ac:dyDescent="0.2">
      <c r="A4138" s="5">
        <v>4077</v>
      </c>
      <c r="B4138" s="1832">
        <f>'Acct Summary 7-8'!E19</f>
        <v>310194</v>
      </c>
      <c r="C4138" s="2" t="s">
        <v>569</v>
      </c>
      <c r="D4138" s="2" t="str">
        <f t="shared" si="63"/>
        <v>Error?</v>
      </c>
    </row>
    <row r="4139" spans="1:4" x14ac:dyDescent="0.2">
      <c r="A4139" s="5">
        <v>4078</v>
      </c>
      <c r="B4139" s="1832">
        <f>'Acct Summary 7-8'!F19</f>
        <v>412117</v>
      </c>
      <c r="C4139" s="2" t="s">
        <v>569</v>
      </c>
      <c r="D4139" s="2" t="str">
        <f t="shared" si="63"/>
        <v>Error?</v>
      </c>
    </row>
    <row r="4140" spans="1:4" x14ac:dyDescent="0.2">
      <c r="A4140" s="5">
        <v>4079</v>
      </c>
      <c r="B4140" s="1832">
        <f>'Acct Summary 7-8'!G19</f>
        <v>131353</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30640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1714000</v>
      </c>
      <c r="C4171" s="2" t="s">
        <v>569</v>
      </c>
      <c r="D4171" s="2" t="str">
        <f t="shared" si="64"/>
        <v>Error?</v>
      </c>
    </row>
    <row r="4172" spans="1:4" x14ac:dyDescent="0.2">
      <c r="A4172" s="5">
        <v>4111</v>
      </c>
      <c r="B4172" s="1832">
        <f>'Short-Term Long-Term Debt 24'!J49</f>
        <v>1685646</v>
      </c>
      <c r="C4172" s="2" t="s">
        <v>569</v>
      </c>
      <c r="D4172" s="2" t="str">
        <f t="shared" si="64"/>
        <v>Error?</v>
      </c>
    </row>
    <row r="4173" spans="1:4" x14ac:dyDescent="0.2">
      <c r="A4173" s="5">
        <v>4112</v>
      </c>
      <c r="B4173" s="1832">
        <f>'Short-Term Long-Term Debt 24'!H49</f>
        <v>263000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2096.48</v>
      </c>
      <c r="C4265" s="2" t="s">
        <v>569</v>
      </c>
      <c r="D4265" s="2" t="str">
        <f t="shared" si="65"/>
        <v>Error?</v>
      </c>
      <c r="E4265" s="125"/>
    </row>
    <row r="4266" spans="1:5" x14ac:dyDescent="0.2">
      <c r="A4266" s="12">
        <v>4205</v>
      </c>
      <c r="B4266" s="1832">
        <f>('FP Info 3'!F10)*100000</f>
        <v>264.84999999999997</v>
      </c>
      <c r="C4266" s="2" t="s">
        <v>569</v>
      </c>
      <c r="D4266" s="2" t="str">
        <f t="shared" si="65"/>
        <v>Error?</v>
      </c>
      <c r="E4266" s="125"/>
    </row>
    <row r="4267" spans="1:5" x14ac:dyDescent="0.2">
      <c r="A4267" s="12">
        <v>4206</v>
      </c>
      <c r="B4267" s="1832">
        <f>('FP Info 3'!H10)*100000</f>
        <v>52.23</v>
      </c>
      <c r="C4267" s="2" t="s">
        <v>569</v>
      </c>
      <c r="D4267" s="2" t="str">
        <f t="shared" si="65"/>
        <v>Error?</v>
      </c>
      <c r="E4267" s="125"/>
    </row>
    <row r="4268" spans="1:5" x14ac:dyDescent="0.2">
      <c r="A4268" s="12">
        <v>4207</v>
      </c>
      <c r="B4268" s="1832">
        <f>('FP Info 3'!J10)*100000</f>
        <v>2414</v>
      </c>
      <c r="C4268" s="2" t="s">
        <v>569</v>
      </c>
      <c r="D4268" s="2" t="str">
        <f t="shared" si="65"/>
        <v>Error?</v>
      </c>
    </row>
    <row r="4269" spans="1:5" x14ac:dyDescent="0.2">
      <c r="A4269" s="12">
        <v>4208</v>
      </c>
      <c r="B4269" s="1832">
        <f>'FP Info 3'!J16</f>
        <v>5930128</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2780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13629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19257</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12743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37.31</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128446057</v>
      </c>
      <c r="D4995" s="2" t="str">
        <f t="shared" si="77"/>
        <v>Error?</v>
      </c>
    </row>
    <row r="4996" spans="1:4" x14ac:dyDescent="0.2">
      <c r="A4996" s="12">
        <v>4935</v>
      </c>
      <c r="B4996" s="1832">
        <f>'FP Info 3'!H31</f>
        <v>8862777.9330000002</v>
      </c>
      <c r="D4996" s="2" t="str">
        <f t="shared" si="77"/>
        <v>Error?</v>
      </c>
    </row>
    <row r="4997" spans="1:4" x14ac:dyDescent="0.2">
      <c r="A4997" s="12">
        <v>4936</v>
      </c>
      <c r="B4997" s="1832">
        <f>'FP Info 3'!H37</f>
        <v>1714000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15962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2561050</v>
      </c>
      <c r="D5061" s="2" t="str">
        <f t="shared" si="78"/>
        <v>Error?</v>
      </c>
    </row>
    <row r="5062" spans="1:4" x14ac:dyDescent="0.2">
      <c r="A5062" s="10">
        <v>5001</v>
      </c>
      <c r="B5062" s="1832"/>
      <c r="D5062" s="2" t="str">
        <f t="shared" si="78"/>
        <v>OK</v>
      </c>
    </row>
    <row r="5063" spans="1:4" x14ac:dyDescent="0.2">
      <c r="A5063" s="5">
        <v>5002</v>
      </c>
      <c r="B5063" s="1832">
        <f>'Revenues 9-14'!C7</f>
        <v>21944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2598956</v>
      </c>
      <c r="C5066" s="2" t="s">
        <v>569</v>
      </c>
      <c r="D5066" s="2" t="str">
        <f t="shared" si="78"/>
        <v>Error?</v>
      </c>
    </row>
    <row r="5067" spans="1:4" x14ac:dyDescent="0.2">
      <c r="A5067" s="5">
        <v>5006</v>
      </c>
      <c r="B5067" s="1832">
        <f>'Revenues 9-14'!C14</f>
        <v>1028</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65689</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66717</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47860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47860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2600</v>
      </c>
      <c r="D5092" s="2" t="str">
        <f t="shared" si="78"/>
        <v>Error?</v>
      </c>
    </row>
    <row r="5093" spans="1:4" x14ac:dyDescent="0.2">
      <c r="A5093" s="5">
        <v>5032</v>
      </c>
      <c r="B5093" s="1832">
        <f>'Revenues 9-14'!C72</f>
        <v>4300</v>
      </c>
      <c r="D5093" s="2" t="str">
        <f t="shared" si="78"/>
        <v>Error?</v>
      </c>
    </row>
    <row r="5094" spans="1:4" x14ac:dyDescent="0.2">
      <c r="A5094" s="5">
        <v>5033</v>
      </c>
      <c r="B5094" s="1832">
        <f>'Revenues 9-14'!C73</f>
        <v>624</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76964</v>
      </c>
      <c r="C5096" s="2" t="s">
        <v>569</v>
      </c>
      <c r="D5096" s="2" t="str">
        <f t="shared" si="78"/>
        <v>Error?</v>
      </c>
    </row>
    <row r="5097" spans="1:4" x14ac:dyDescent="0.2">
      <c r="A5097" s="5">
        <v>5036</v>
      </c>
      <c r="B5097" s="1832">
        <f>'Revenues 9-14'!C77</f>
        <v>9157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34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11733</v>
      </c>
      <c r="D5101" s="2" t="str">
        <f t="shared" si="78"/>
        <v>Error?</v>
      </c>
    </row>
    <row r="5102" spans="1:4" x14ac:dyDescent="0.2">
      <c r="A5102" s="5">
        <v>5041</v>
      </c>
      <c r="B5102" s="1832">
        <f>'Revenues 9-14'!C82</f>
        <v>20924</v>
      </c>
      <c r="C5102" s="2" t="s">
        <v>569</v>
      </c>
      <c r="D5102" s="2" t="str">
        <f t="shared" si="78"/>
        <v>Error?</v>
      </c>
    </row>
    <row r="5103" spans="1:4" x14ac:dyDescent="0.2">
      <c r="A5103" s="5">
        <v>5042</v>
      </c>
      <c r="B5103" s="1832">
        <f>'Revenues 9-14'!C84</f>
        <v>32508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32508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3850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22374</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21844</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48068</v>
      </c>
      <c r="C5120" s="2" t="s">
        <v>569</v>
      </c>
      <c r="D5120" s="2" t="str">
        <f t="shared" si="79"/>
        <v>Error?</v>
      </c>
    </row>
    <row r="5121" spans="1:4" x14ac:dyDescent="0.2">
      <c r="A5121" s="5">
        <v>5060</v>
      </c>
      <c r="B5121" s="1832">
        <f>'Revenues 9-14'!C109</f>
        <v>2891997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979817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979817</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356809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356809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1512</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149440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508511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1488328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82502</v>
      </c>
      <c r="D5239" s="2" t="str">
        <f t="shared" si="80"/>
        <v>Error?</v>
      </c>
    </row>
    <row r="5240" spans="1:4" x14ac:dyDescent="0.2">
      <c r="A5240" s="5">
        <v>5179</v>
      </c>
      <c r="B5240" s="1832">
        <f>'Revenues 9-14'!C192</f>
        <v>1329</v>
      </c>
      <c r="D5240" s="2" t="str">
        <f t="shared" si="80"/>
        <v>Error?</v>
      </c>
    </row>
    <row r="5241" spans="1:4" x14ac:dyDescent="0.2">
      <c r="A5241" s="5">
        <v>5180</v>
      </c>
      <c r="B5241" s="1832">
        <f>'Revenues 9-14'!C193</f>
        <v>26207</v>
      </c>
      <c r="D5241" s="2" t="str">
        <f t="shared" si="80"/>
        <v>Error?</v>
      </c>
    </row>
    <row r="5242" spans="1:4" x14ac:dyDescent="0.2">
      <c r="A5242" s="5">
        <v>5181</v>
      </c>
      <c r="B5242" s="1832">
        <f>'Revenues 9-14'!C194</f>
        <v>18007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128045</v>
      </c>
      <c r="C5246" s="2" t="s">
        <v>569</v>
      </c>
      <c r="D5246" s="2" t="str">
        <f t="shared" si="80"/>
        <v>Error?</v>
      </c>
    </row>
    <row r="5247" spans="1:4" x14ac:dyDescent="0.2">
      <c r="A5247" s="5">
        <v>5186</v>
      </c>
      <c r="B5247" s="1832">
        <f>'Revenues 9-14'!C200</f>
        <v>104989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19257</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104989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7857</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57984</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65841</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347284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347284</v>
      </c>
      <c r="C5326" s="2" t="s">
        <v>569</v>
      </c>
      <c r="D5326" s="2" t="str">
        <f t="shared" si="82"/>
        <v>Error?</v>
      </c>
    </row>
    <row r="5327" spans="1:5" x14ac:dyDescent="0.2">
      <c r="A5327" s="5">
        <v>5266</v>
      </c>
      <c r="B5327" s="1832">
        <f>'Revenues 9-14'!C268</f>
        <v>4727609</v>
      </c>
      <c r="C5327" s="2" t="s">
        <v>569</v>
      </c>
      <c r="D5327" s="2" t="str">
        <f t="shared" si="82"/>
        <v>Error?</v>
      </c>
    </row>
    <row r="5328" spans="1:5" x14ac:dyDescent="0.2">
      <c r="A5328" s="5">
        <v>5267</v>
      </c>
      <c r="B5328" s="1832">
        <f>'Revenues 9-14'!D5</f>
        <v>340920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340920</v>
      </c>
      <c r="C5334" s="2" t="s">
        <v>569</v>
      </c>
      <c r="D5334" s="2" t="str">
        <f t="shared" si="82"/>
        <v>Error?</v>
      </c>
    </row>
    <row r="5335" spans="1:4" x14ac:dyDescent="0.2">
      <c r="A5335" s="5">
        <v>5274</v>
      </c>
      <c r="B5335" s="1832">
        <f>'Revenues 9-14'!D14</f>
        <v>135</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180000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180135</v>
      </c>
      <c r="C5339" s="2" t="s">
        <v>569</v>
      </c>
      <c r="D5339" s="2" t="str">
        <f t="shared" si="82"/>
        <v>Error?</v>
      </c>
    </row>
    <row r="5340" spans="1:4" x14ac:dyDescent="0.2">
      <c r="A5340" s="5">
        <v>5279</v>
      </c>
      <c r="B5340" s="1832">
        <f>'Revenues 9-14'!D65</f>
        <v>7122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7122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2000</v>
      </c>
      <c r="D5354" s="2" t="str">
        <f t="shared" si="82"/>
        <v>Error?</v>
      </c>
    </row>
    <row r="5355" spans="1:4" x14ac:dyDescent="0.2">
      <c r="A5355" s="5">
        <v>5294</v>
      </c>
      <c r="B5355" s="1832">
        <f>'Revenues 9-14'!D108</f>
        <v>2000</v>
      </c>
      <c r="C5355" s="2" t="s">
        <v>569</v>
      </c>
      <c r="D5355" s="2" t="str">
        <f t="shared" si="82"/>
        <v>Error?</v>
      </c>
    </row>
    <row r="5356" spans="1:4" x14ac:dyDescent="0.2">
      <c r="A5356" s="5">
        <v>5295</v>
      </c>
      <c r="B5356" s="1832">
        <f>'Revenues 9-14'!D109</f>
        <v>530177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580177</v>
      </c>
      <c r="C5508" s="2" t="s">
        <v>569</v>
      </c>
      <c r="D5508" s="2" t="str">
        <f t="shared" si="85"/>
        <v>Error?</v>
      </c>
    </row>
    <row r="5509" spans="1:4" x14ac:dyDescent="0.2">
      <c r="A5509" s="5">
        <v>5448</v>
      </c>
      <c r="B5509" s="1832">
        <f>'Revenues 9-14'!E5</f>
        <v>309102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309102</v>
      </c>
      <c r="C5513" s="2" t="s">
        <v>569</v>
      </c>
      <c r="D5513" s="2" t="str">
        <f t="shared" si="85"/>
        <v>Error?</v>
      </c>
    </row>
    <row r="5514" spans="1:4" x14ac:dyDescent="0.2">
      <c r="A5514" s="5">
        <v>5453</v>
      </c>
      <c r="B5514" s="1832">
        <f>'Revenues 9-14'!E14</f>
        <v>138</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138</v>
      </c>
      <c r="C5518" s="2" t="s">
        <v>569</v>
      </c>
      <c r="D5518" s="2" t="str">
        <f t="shared" si="85"/>
        <v>Error?</v>
      </c>
    </row>
    <row r="5519" spans="1:4" x14ac:dyDescent="0.2">
      <c r="A5519" s="5">
        <v>5458</v>
      </c>
      <c r="B5519" s="1832">
        <f>'Revenues 9-14'!E65</f>
        <v>59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59</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309299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309299</v>
      </c>
      <c r="C5552" s="2" t="s">
        <v>569</v>
      </c>
      <c r="D5552" s="2" t="str">
        <f t="shared" si="85"/>
        <v>Error?</v>
      </c>
    </row>
    <row r="5553" spans="1:4" x14ac:dyDescent="0.2">
      <c r="A5553" s="5">
        <v>5492</v>
      </c>
      <c r="B5553" s="1832">
        <f>'Revenues 9-14'!F5</f>
        <v>229282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229282</v>
      </c>
      <c r="C5557" s="2" t="s">
        <v>569</v>
      </c>
      <c r="D5557" s="2" t="str">
        <f t="shared" si="85"/>
        <v>Error?</v>
      </c>
    </row>
    <row r="5558" spans="1:4" x14ac:dyDescent="0.2">
      <c r="A5558" s="5">
        <v>5497</v>
      </c>
      <c r="B5558" s="1832">
        <f>'Revenues 9-14'!F14</f>
        <v>91</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91</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5070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5070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234443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125665</v>
      </c>
      <c r="D5615" s="2" t="str">
        <f t="shared" si="86"/>
        <v>Error?</v>
      </c>
    </row>
    <row r="5616" spans="1:4" x14ac:dyDescent="0.2">
      <c r="A5616" s="10">
        <v>5555</v>
      </c>
      <c r="B5616" s="1832"/>
      <c r="D5616" s="2" t="str">
        <f t="shared" si="86"/>
        <v>OK</v>
      </c>
    </row>
    <row r="5617" spans="1:5" x14ac:dyDescent="0.2">
      <c r="A5617" s="5">
        <v>5556</v>
      </c>
      <c r="B5617" s="1832">
        <f>'Revenues 9-14'!F153</f>
        <v>46227</v>
      </c>
      <c r="D5617" s="2" t="str">
        <f t="shared" si="86"/>
        <v>Error?</v>
      </c>
    </row>
    <row r="5618" spans="1:5" x14ac:dyDescent="0.2">
      <c r="A5618" s="5">
        <v>5557</v>
      </c>
      <c r="B5618" s="1832">
        <f>'Revenues 9-14'!F155</f>
        <v>171892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80229</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252121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252121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486564</v>
      </c>
      <c r="C5720" s="2" t="s">
        <v>569</v>
      </c>
      <c r="D5720" s="2" t="str">
        <f t="shared" si="88"/>
        <v>Error?</v>
      </c>
    </row>
    <row r="5721" spans="1:4" x14ac:dyDescent="0.2">
      <c r="A5721" s="5">
        <v>5660</v>
      </c>
      <c r="B5721" s="1832">
        <f>'Revenues 9-14'!G5</f>
        <v>54834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54833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109667</v>
      </c>
      <c r="C5725" s="2" t="s">
        <v>569</v>
      </c>
      <c r="D5725" s="2" t="str">
        <f t="shared" si="88"/>
        <v>Error?</v>
      </c>
    </row>
    <row r="5726" spans="1:4" x14ac:dyDescent="0.2">
      <c r="A5726" s="5">
        <v>5665</v>
      </c>
      <c r="B5726" s="1832">
        <f>'Revenues 9-14'!G14</f>
        <v>44</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44</v>
      </c>
      <c r="C5730" s="2" t="s">
        <v>569</v>
      </c>
      <c r="D5730" s="2" t="str">
        <f t="shared" si="88"/>
        <v>Error?</v>
      </c>
    </row>
    <row r="5731" spans="1:4" x14ac:dyDescent="0.2">
      <c r="A5731" s="5">
        <v>5670</v>
      </c>
      <c r="B5731" s="1832">
        <f>'Revenues 9-14'!G65</f>
        <v>1065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1065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110776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49842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49842</v>
      </c>
      <c r="C5918" s="2" t="s">
        <v>569</v>
      </c>
      <c r="D5918" s="2" t="str">
        <f t="shared" si="91"/>
        <v>Error?</v>
      </c>
    </row>
    <row r="5919" spans="1:4" x14ac:dyDescent="0.2">
      <c r="A5919" s="5">
        <v>5858</v>
      </c>
      <c r="B5919" s="1832">
        <f>'Revenues 9-14'!I14</f>
        <v>20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20</v>
      </c>
      <c r="C5923" s="2" t="s">
        <v>569</v>
      </c>
      <c r="D5923" s="2" t="str">
        <f t="shared" si="91"/>
        <v>Error?</v>
      </c>
    </row>
    <row r="5924" spans="1:4" x14ac:dyDescent="0.2">
      <c r="A5924" s="5">
        <v>5863</v>
      </c>
      <c r="B5924" s="1832">
        <f>'Revenues 9-14'!I65</f>
        <v>7334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7334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57196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54833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54833</v>
      </c>
      <c r="C5987" s="2" t="s">
        <v>569</v>
      </c>
      <c r="D5987" s="2" t="str">
        <f t="shared" si="92"/>
        <v>Error?</v>
      </c>
    </row>
    <row r="5988" spans="1:4" x14ac:dyDescent="0.2">
      <c r="A5988" s="5">
        <v>5927</v>
      </c>
      <c r="B5988" s="1832">
        <f>'Revenues 9-14'!K14</f>
        <v>22</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22</v>
      </c>
      <c r="C5992" s="2" t="s">
        <v>569</v>
      </c>
      <c r="D5992" s="2" t="str">
        <f t="shared" si="92"/>
        <v>Error?</v>
      </c>
    </row>
    <row r="5993" spans="1:4" x14ac:dyDescent="0.2">
      <c r="A5993" s="5">
        <v>5932</v>
      </c>
      <c r="B5993" s="1832">
        <f>'Revenues 9-14'!K65</f>
        <v>1310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1310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56165</v>
      </c>
      <c r="C6023" s="2" t="s">
        <v>569</v>
      </c>
      <c r="D6023" s="2" t="str">
        <f t="shared" si="93"/>
        <v>Error?</v>
      </c>
    </row>
    <row r="6024" spans="1:5" x14ac:dyDescent="0.2">
      <c r="A6024" s="5">
        <v>5963</v>
      </c>
      <c r="B6024" s="1832">
        <f>'Revenues 9-14'!G109</f>
        <v>110776</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57196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56165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69440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16524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515.70000000000005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68644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68644</v>
      </c>
      <c r="D6215" s="2" t="str">
        <f t="shared" si="96"/>
        <v>Error?</v>
      </c>
      <c r="E6215" s="2" t="s">
        <v>189</v>
      </c>
    </row>
    <row r="6216" spans="1:5" x14ac:dyDescent="0.2">
      <c r="A6216">
        <v>6155</v>
      </c>
      <c r="B6216" s="1832">
        <f>'Assets-Liab 5-6'!J41</f>
        <v>68644</v>
      </c>
      <c r="D6216" s="2" t="str">
        <f t="shared" si="96"/>
        <v>Error?</v>
      </c>
      <c r="E6216" s="2" t="s">
        <v>189</v>
      </c>
    </row>
    <row r="6217" spans="1:5" x14ac:dyDescent="0.2">
      <c r="A6217">
        <v>6156</v>
      </c>
      <c r="B6217" s="1832">
        <f>'Assets-Liab 5-6'!J4</f>
        <v>10802</v>
      </c>
      <c r="D6217" s="2" t="str">
        <f t="shared" si="96"/>
        <v>Error?</v>
      </c>
      <c r="E6217" s="2" t="s">
        <v>189</v>
      </c>
    </row>
    <row r="6218" spans="1:5" x14ac:dyDescent="0.2">
      <c r="A6218">
        <v>6157</v>
      </c>
      <c r="B6218" s="1832">
        <f>'Assets-Liab 5-6'!J5</f>
        <v>57842</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186105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186105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186105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174789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174789</v>
      </c>
      <c r="D6229" s="2" t="str">
        <f t="shared" si="96"/>
        <v>Error?</v>
      </c>
      <c r="E6229" s="2" t="s">
        <v>189</v>
      </c>
    </row>
    <row r="6230" spans="1:5" x14ac:dyDescent="0.2">
      <c r="A6230">
        <v>6169</v>
      </c>
      <c r="B6230" s="1832">
        <f>'Acct Summary 7-8'!J20</f>
        <v>11316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11316</v>
      </c>
      <c r="D6263" s="2" t="str">
        <f t="shared" si="96"/>
        <v>Error?</v>
      </c>
      <c r="E6263" s="2" t="s">
        <v>189</v>
      </c>
    </row>
    <row r="6264" spans="1:5" x14ac:dyDescent="0.2">
      <c r="A6264">
        <v>6203</v>
      </c>
      <c r="B6264" s="1832">
        <f>'Acct Summary 7-8'!J79</f>
        <v>57328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68644</v>
      </c>
      <c r="D6266" s="2" t="str">
        <f t="shared" si="96"/>
        <v>Error?</v>
      </c>
      <c r="E6266" s="2" t="s">
        <v>189</v>
      </c>
    </row>
    <row r="6267" spans="1:5" x14ac:dyDescent="0.2">
      <c r="A6267">
        <v>6206</v>
      </c>
      <c r="B6267" s="1832">
        <f>'Acct Summary 7-8'!C82</f>
        <v>316927</v>
      </c>
      <c r="D6267" s="2" t="str">
        <f t="shared" si="96"/>
        <v>Error?</v>
      </c>
      <c r="E6267" s="2" t="s">
        <v>189</v>
      </c>
    </row>
    <row r="6268" spans="1:5" x14ac:dyDescent="0.2">
      <c r="A6268">
        <v>6207</v>
      </c>
      <c r="B6268" s="1832">
        <f>'Acct Summary 7-8'!D82</f>
        <v>49488</v>
      </c>
      <c r="D6268" s="2" t="str">
        <f t="shared" si="96"/>
        <v>Error?</v>
      </c>
      <c r="E6268" s="2" t="s">
        <v>189</v>
      </c>
    </row>
    <row r="6269" spans="1:5" x14ac:dyDescent="0.2">
      <c r="A6269">
        <v>6208</v>
      </c>
      <c r="B6269" s="1832">
        <f>'Acct Summary 7-8'!E82</f>
        <v>-895</v>
      </c>
      <c r="D6269" s="2" t="str">
        <f t="shared" si="96"/>
        <v>Error?</v>
      </c>
      <c r="E6269" s="2" t="s">
        <v>189</v>
      </c>
    </row>
    <row r="6270" spans="1:5" x14ac:dyDescent="0.2">
      <c r="A6270">
        <v>6209</v>
      </c>
      <c r="B6270" s="1832">
        <f>'Acct Summary 7-8'!F82</f>
        <v>74447</v>
      </c>
      <c r="D6270" s="2" t="str">
        <f t="shared" si="96"/>
        <v>Error?</v>
      </c>
      <c r="E6270" s="2" t="s">
        <v>189</v>
      </c>
    </row>
    <row r="6271" spans="1:5" x14ac:dyDescent="0.2">
      <c r="A6271">
        <v>6210</v>
      </c>
      <c r="B6271" s="1832">
        <f>'Acct Summary 7-8'!G82</f>
        <v>-20577</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57196</v>
      </c>
      <c r="D6273" s="2" t="str">
        <f t="shared" si="97"/>
        <v>Error?</v>
      </c>
      <c r="E6273" s="2" t="s">
        <v>189</v>
      </c>
    </row>
    <row r="6274" spans="1:5" x14ac:dyDescent="0.2">
      <c r="A6274">
        <v>6213</v>
      </c>
      <c r="B6274" s="1832">
        <f>'Acct Summary 7-8'!J82</f>
        <v>11316</v>
      </c>
      <c r="D6274" s="2" t="str">
        <f t="shared" si="97"/>
        <v>Error?</v>
      </c>
      <c r="E6274" s="2" t="s">
        <v>189</v>
      </c>
    </row>
    <row r="6275" spans="1:5" x14ac:dyDescent="0.2">
      <c r="A6275">
        <v>6214</v>
      </c>
      <c r="B6275" s="1832">
        <f>'Acct Summary 7-8'!K82</f>
        <v>25525</v>
      </c>
      <c r="D6275" s="2" t="str">
        <f t="shared" si="97"/>
        <v>Error?</v>
      </c>
      <c r="E6275" s="2" t="s">
        <v>189</v>
      </c>
    </row>
    <row r="6276" spans="1:5" x14ac:dyDescent="0.2">
      <c r="A6276">
        <v>6215</v>
      </c>
      <c r="B6276" s="1832">
        <f>'Acct Summary 7-8'!C83</f>
        <v>7.924734191452168E-2</v>
      </c>
      <c r="D6276" s="2" t="str">
        <f t="shared" si="97"/>
        <v>Error?</v>
      </c>
      <c r="E6276" s="2" t="s">
        <v>189</v>
      </c>
    </row>
    <row r="6277" spans="1:5" x14ac:dyDescent="0.2">
      <c r="A6277">
        <v>6216</v>
      </c>
      <c r="B6277" s="1832">
        <f>'Acct Summary 7-8'!D83</f>
        <v>9.0082513747740567E-2</v>
      </c>
      <c r="D6277" s="2" t="str">
        <f t="shared" si="97"/>
        <v>Error?</v>
      </c>
      <c r="E6277" s="2" t="s">
        <v>189</v>
      </c>
    </row>
    <row r="6278" spans="1:5" x14ac:dyDescent="0.2">
      <c r="A6278">
        <v>6217</v>
      </c>
      <c r="B6278" s="1832">
        <f>'Acct Summary 7-8'!E83</f>
        <v>-3.1565211257670873E-2</v>
      </c>
      <c r="D6278" s="2" t="str">
        <f t="shared" si="97"/>
        <v>Error?</v>
      </c>
      <c r="E6278" s="2" t="s">
        <v>189</v>
      </c>
    </row>
    <row r="6279" spans="1:5" x14ac:dyDescent="0.2">
      <c r="A6279">
        <v>6218</v>
      </c>
      <c r="B6279" s="1832">
        <f>'Acct Summary 7-8'!F83</f>
        <v>0.14488192960536814</v>
      </c>
      <c r="D6279" s="2" t="str">
        <f t="shared" si="97"/>
        <v>Error?</v>
      </c>
      <c r="E6279" s="2" t="s">
        <v>189</v>
      </c>
    </row>
    <row r="6280" spans="1:5" x14ac:dyDescent="0.2">
      <c r="A6280">
        <v>6219</v>
      </c>
      <c r="B6280" s="1832">
        <f>'Acct Summary 7-8'!G83</f>
        <v>-0.20733747128289873</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6.591633571739737E-2</v>
      </c>
      <c r="D6282" s="2" t="str">
        <f t="shared" si="97"/>
        <v>Error?</v>
      </c>
      <c r="E6282" s="2" t="s">
        <v>189</v>
      </c>
    </row>
    <row r="6283" spans="1:5" x14ac:dyDescent="0.2">
      <c r="A6283">
        <v>6222</v>
      </c>
      <c r="B6283" s="1832">
        <f>'Acct Summary 7-8'!J83</f>
        <v>0.1648505331857118</v>
      </c>
      <c r="D6283" s="2" t="str">
        <f t="shared" si="97"/>
        <v>Error?</v>
      </c>
      <c r="E6283" s="2" t="s">
        <v>189</v>
      </c>
    </row>
    <row r="6284" spans="1:5" x14ac:dyDescent="0.2">
      <c r="A6284">
        <v>6223</v>
      </c>
      <c r="B6284" s="1832">
        <f>'Acct Summary 7-8'!K83</f>
        <v>0.15481331424828357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179440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179440</v>
      </c>
      <c r="D6301" s="2" t="str">
        <f t="shared" si="97"/>
        <v>Error?</v>
      </c>
      <c r="E6301" s="2" t="s">
        <v>189</v>
      </c>
    </row>
    <row r="6302" spans="1:5" x14ac:dyDescent="0.2">
      <c r="A6302">
        <v>6241</v>
      </c>
      <c r="B6302" s="1832">
        <f>'Revenues 9-14'!J14</f>
        <v>71</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71</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686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686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5908</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5908</v>
      </c>
      <c r="D6351" s="2" t="str">
        <f t="shared" si="98"/>
        <v>Error?</v>
      </c>
      <c r="E6351" s="2" t="s">
        <v>189</v>
      </c>
    </row>
    <row r="6352" spans="1:5" x14ac:dyDescent="0.2">
      <c r="A6352">
        <v>6291</v>
      </c>
      <c r="B6352" s="1832">
        <f>'Revenues 9-14'!J109</f>
        <v>186105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112583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127874</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174789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186105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3543</v>
      </c>
      <c r="D7073" s="2" t="str">
        <f t="shared" si="109"/>
        <v>Error?</v>
      </c>
    </row>
    <row r="7074" spans="1:4" x14ac:dyDescent="0.2">
      <c r="A7074">
        <v>7013</v>
      </c>
      <c r="B7074" s="1832">
        <f>'Expenditures 15-22'!K216</f>
        <v>3543</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21252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21252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5764</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5764</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112115</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112115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6450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6450</v>
      </c>
      <c r="D7198" s="2" t="str">
        <f t="shared" si="111"/>
        <v>Error?</v>
      </c>
    </row>
    <row r="7199" spans="1:4" x14ac:dyDescent="0.2">
      <c r="A7199">
        <v>7138</v>
      </c>
      <c r="B7199" s="1832">
        <f>'Expenditures 15-22'!C330</f>
        <v>112115</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62674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174789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112115</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62674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174789</v>
      </c>
      <c r="D7224" s="2" t="str">
        <f t="shared" si="111"/>
        <v>Error?</v>
      </c>
    </row>
    <row r="7225" spans="1:4" x14ac:dyDescent="0.2">
      <c r="A7225">
        <v>7164</v>
      </c>
      <c r="B7225" s="1832">
        <f>'Expenditures 15-22'!K343</f>
        <v>11316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7345</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7946</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325407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29208</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29208</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21953</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1996</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0</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2827000</v>
      </c>
      <c r="D7817" s="2" t="str">
        <f t="shared" si="128"/>
        <v>Error?</v>
      </c>
      <c r="E7817" s="4" t="s">
        <v>1965</v>
      </c>
    </row>
    <row r="7818" spans="1:5" x14ac:dyDescent="0.2">
      <c r="A7818">
        <v>7757</v>
      </c>
      <c r="B7818" s="1832">
        <f>'PCTC-OEPP 27-28'!F172</f>
        <v>141203</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-351481</v>
      </c>
      <c r="D7820" s="2" t="str">
        <f t="shared" si="128"/>
        <v>Error?</v>
      </c>
    </row>
    <row r="7821" spans="1:5" x14ac:dyDescent="0.2">
      <c r="A7821">
        <v>7760</v>
      </c>
      <c r="B7821" s="1832">
        <f>'ICR Computation 30'!G40</f>
        <v>-351481</v>
      </c>
      <c r="D7821" s="2" t="str">
        <f t="shared" si="128"/>
        <v>Error?</v>
      </c>
    </row>
    <row r="7822" spans="1:5" x14ac:dyDescent="0.2">
      <c r="A7822" s="1">
        <v>7761</v>
      </c>
      <c r="B7822" s="1832">
        <f>'PCTC-OEPP 27-28'!F14</f>
        <v>5969824</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127874</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3411</v>
      </c>
      <c r="D7830" s="2" t="str">
        <f t="shared" si="129"/>
        <v>Error?</v>
      </c>
      <c r="E7830" s="4" t="s">
        <v>1997</v>
      </c>
    </row>
    <row r="7831" spans="1:5" x14ac:dyDescent="0.2">
      <c r="A7831">
        <v>7770</v>
      </c>
      <c r="B7831" s="1832">
        <f>'PCTC-OEPP 27-28'!F52</f>
        <v>56985</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1199756</v>
      </c>
      <c r="D7834" s="2" t="str">
        <f t="shared" si="129"/>
        <v>Error?</v>
      </c>
      <c r="E7834" s="4" t="s">
        <v>1997</v>
      </c>
    </row>
    <row r="7835" spans="1:5" x14ac:dyDescent="0.2">
      <c r="A7835">
        <v>7774</v>
      </c>
      <c r="B7835" s="1832">
        <f>'PCTC-OEPP 27-28'!F78</f>
        <v>4770068</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9249.6955594337778</v>
      </c>
      <c r="D7837" s="2" t="str">
        <f t="shared" si="129"/>
        <v>Error?</v>
      </c>
      <c r="E7837" s="4" t="s">
        <v>1997</v>
      </c>
    </row>
    <row r="7838" spans="1:5" x14ac:dyDescent="0.2">
      <c r="A7838">
        <v>7777</v>
      </c>
      <c r="B7838" s="1832">
        <f>'PCTC-OEPP 27-28'!F96</f>
        <v>20924</v>
      </c>
      <c r="D7838" s="2" t="str">
        <f t="shared" si="129"/>
        <v>Error?</v>
      </c>
      <c r="E7838" s="4" t="s">
        <v>1997</v>
      </c>
    </row>
    <row r="7839" spans="1:5" x14ac:dyDescent="0.2">
      <c r="A7839">
        <v>7778</v>
      </c>
      <c r="B7839" s="1832">
        <f>'PCTC-OEPP 27-28'!F102</f>
        <v>0</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356809</v>
      </c>
      <c r="D7842" s="2" t="str">
        <f t="shared" si="129"/>
        <v>Error?</v>
      </c>
      <c r="E7842" s="4" t="s">
        <v>1997</v>
      </c>
    </row>
    <row r="7843" spans="1:5" x14ac:dyDescent="0.2">
      <c r="A7843">
        <v>7782</v>
      </c>
      <c r="B7843" s="1832">
        <f>'PCTC-OEPP 27-28'!F107</f>
        <v>0</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0</v>
      </c>
      <c r="D7846" s="2" t="str">
        <f t="shared" si="129"/>
        <v>Error?</v>
      </c>
      <c r="E7846" s="4" t="s">
        <v>1997</v>
      </c>
    </row>
    <row r="7847" spans="1:5" x14ac:dyDescent="0.2">
      <c r="A7847">
        <v>7786</v>
      </c>
      <c r="B7847" s="1832">
        <f>'PCTC-OEPP 27-28'!F112</f>
        <v>171892</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750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128045</v>
      </c>
      <c r="D7858" s="2" t="str">
        <f t="shared" si="129"/>
        <v>Error?</v>
      </c>
      <c r="E7858" s="4" t="s">
        <v>1997</v>
      </c>
    </row>
    <row r="7859" spans="1:5" x14ac:dyDescent="0.2">
      <c r="A7859">
        <v>7798</v>
      </c>
      <c r="B7859" s="1832">
        <f>'PCTC-OEPP 27-28'!F127</f>
        <v>104989</v>
      </c>
      <c r="D7859" s="2" t="str">
        <f t="shared" si="129"/>
        <v>Error?</v>
      </c>
      <c r="E7859" s="4" t="s">
        <v>1997</v>
      </c>
    </row>
    <row r="7860" spans="1:5" x14ac:dyDescent="0.2">
      <c r="A7860">
        <v>7799</v>
      </c>
      <c r="B7860" s="1832">
        <f>'PCTC-OEPP 27-28'!F128</f>
        <v>19257</v>
      </c>
      <c r="D7860" s="2" t="str">
        <f t="shared" si="129"/>
        <v>Error?</v>
      </c>
      <c r="E7860" s="4" t="s">
        <v>1997</v>
      </c>
    </row>
    <row r="7861" spans="1:5" x14ac:dyDescent="0.2">
      <c r="A7861">
        <v>7800</v>
      </c>
      <c r="B7861" s="1832">
        <f>'PCTC-OEPP 27-28'!F129</f>
        <v>57984</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12743</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2780</v>
      </c>
      <c r="D7874" s="2" t="str">
        <f t="shared" si="129"/>
        <v>Error?</v>
      </c>
      <c r="E7874" s="4" t="s">
        <v>1997</v>
      </c>
    </row>
    <row r="7875" spans="1:5" x14ac:dyDescent="0.2">
      <c r="A7875">
        <v>7814</v>
      </c>
      <c r="B7875" s="1832">
        <f>'PCTC-OEPP 27-28'!F170</f>
        <v>13629</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1213833</v>
      </c>
      <c r="D7877" s="2" t="str">
        <f t="shared" si="129"/>
        <v>Error?</v>
      </c>
      <c r="E7877" s="4" t="s">
        <v>1997</v>
      </c>
    </row>
    <row r="7878" spans="1:5" x14ac:dyDescent="0.2">
      <c r="A7878">
        <v>7817</v>
      </c>
      <c r="B7878" s="1832">
        <f>'PCTC-OEPP 27-28'!F176</f>
        <v>3556235</v>
      </c>
      <c r="D7878" s="2" t="str">
        <f t="shared" si="129"/>
        <v>Error?</v>
      </c>
      <c r="E7878" s="4" t="s">
        <v>1997</v>
      </c>
    </row>
    <row r="7879" spans="1:5" x14ac:dyDescent="0.2">
      <c r="A7879">
        <v>7818</v>
      </c>
      <c r="B7879" s="1832">
        <f>'PCTC-OEPP 27-28'!F178</f>
        <v>3881642</v>
      </c>
      <c r="D7879" s="2" t="str">
        <f t="shared" si="129"/>
        <v>Error?</v>
      </c>
      <c r="E7879" s="4" t="s">
        <v>1997</v>
      </c>
    </row>
    <row r="7880" spans="1:5" x14ac:dyDescent="0.2">
      <c r="A7880">
        <v>7819</v>
      </c>
      <c r="B7880" s="1832">
        <f>'PCTC-OEPP 27-28'!F180</f>
        <v>7526.9381423308114</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J61" sqref="J6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4" t="str">
        <f>COVER!A17</f>
        <v xml:space="preserve">  Nashville CCSD 49</v>
      </c>
      <c r="B7" s="2515"/>
      <c r="C7" s="2515"/>
      <c r="D7" s="2553"/>
      <c r="E7" s="2554">
        <f>COVER!A13</f>
        <v>13095049004</v>
      </c>
      <c r="F7" s="2555"/>
      <c r="G7" s="2521" t="str">
        <f>COVER!T23</f>
        <v>066-005251</v>
      </c>
      <c r="H7" s="2522"/>
      <c r="I7" s="2522"/>
      <c r="J7" s="2522"/>
      <c r="K7" s="2522"/>
      <c r="L7" s="252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4"/>
      <c r="B9" s="2525"/>
      <c r="C9" s="2525"/>
      <c r="D9" s="2525"/>
      <c r="E9" s="2525"/>
      <c r="F9" s="2526"/>
      <c r="G9" s="2527" t="str">
        <f>COVER!T13</f>
        <v>Emling &amp; Hoffman, PC</v>
      </c>
      <c r="H9" s="2528"/>
      <c r="I9" s="2528"/>
      <c r="J9" s="2528"/>
      <c r="K9" s="2528"/>
      <c r="L9" s="2529"/>
    </row>
    <row r="10" spans="1:29" ht="13.5" customHeight="1" x14ac:dyDescent="0.2">
      <c r="A10" s="2511" t="str">
        <f>COVER!A38</f>
        <v>Michael Brink</v>
      </c>
      <c r="B10" s="2512"/>
      <c r="C10" s="2512"/>
      <c r="D10" s="2512"/>
      <c r="E10" s="2512"/>
      <c r="F10" s="2513"/>
      <c r="G10" s="2527" t="str">
        <f>COVER!T17</f>
        <v>1191 West Saint Louis Street</v>
      </c>
      <c r="H10" s="2540"/>
      <c r="I10" s="2540"/>
      <c r="J10" s="2540"/>
      <c r="K10" s="2540"/>
      <c r="L10" s="2541"/>
    </row>
    <row r="11" spans="1:29" ht="13.5" customHeight="1" x14ac:dyDescent="0.2">
      <c r="A11" s="963" t="s">
        <v>1502</v>
      </c>
      <c r="B11" s="964"/>
      <c r="C11" s="965"/>
      <c r="D11" s="970"/>
      <c r="E11" s="965"/>
      <c r="F11" s="969"/>
      <c r="G11" s="2527" t="str">
        <f>COVER!T19</f>
        <v>Nashville</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donhoffman@emlingcpa.com</v>
      </c>
      <c r="J13" s="2549"/>
      <c r="K13" s="2549"/>
      <c r="L13" s="2550"/>
    </row>
    <row r="14" spans="1:29" ht="13.5" customHeight="1" x14ac:dyDescent="0.2">
      <c r="A14" s="2527" t="str">
        <f>COVER!A19</f>
        <v>750 East Gorman Street</v>
      </c>
      <c r="B14" s="2540"/>
      <c r="C14" s="2540"/>
      <c r="D14" s="2540"/>
      <c r="E14" s="2540"/>
      <c r="F14" s="2541"/>
      <c r="G14" s="974" t="s">
        <v>1175</v>
      </c>
      <c r="H14" s="972"/>
      <c r="I14" s="972"/>
      <c r="J14" s="972"/>
      <c r="K14" s="972"/>
      <c r="L14" s="973"/>
    </row>
    <row r="15" spans="1:29" ht="13.5" customHeight="1" x14ac:dyDescent="0.2">
      <c r="A15" s="2527" t="str">
        <f>COVER!A21</f>
        <v>Nashville</v>
      </c>
      <c r="B15" s="2540"/>
      <c r="C15" s="2540"/>
      <c r="D15" s="2540"/>
      <c r="E15" s="2540"/>
      <c r="F15" s="2541"/>
      <c r="G15" s="2537" t="str">
        <f>COVER!T15</f>
        <v>Donald L Hoffman</v>
      </c>
      <c r="H15" s="2538"/>
      <c r="I15" s="2538"/>
      <c r="J15" s="2538"/>
      <c r="K15" s="2538"/>
      <c r="L15" s="2539"/>
    </row>
    <row r="16" spans="1:29" ht="12.2" customHeight="1" x14ac:dyDescent="0.2">
      <c r="A16" s="2517">
        <f>COVER!A25</f>
        <v>62263</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4" t="s">
        <v>1174</v>
      </c>
      <c r="H17" s="972"/>
      <c r="I17" s="972"/>
      <c r="J17" s="972"/>
      <c r="K17" s="976" t="s">
        <v>1173</v>
      </c>
      <c r="L17" s="969"/>
      <c r="M17" s="962"/>
    </row>
    <row r="18" spans="1:13" ht="12.2" customHeight="1" x14ac:dyDescent="0.2">
      <c r="A18" s="2511"/>
      <c r="B18" s="2512"/>
      <c r="C18" s="2512"/>
      <c r="D18" s="2512"/>
      <c r="E18" s="2512"/>
      <c r="F18" s="2513"/>
      <c r="G18" s="2514" t="str">
        <f>COVER!T21</f>
        <v>618-327-4375</v>
      </c>
      <c r="H18" s="2515"/>
      <c r="I18" s="2515"/>
      <c r="J18" s="2515"/>
      <c r="K18" s="2514" t="str">
        <f>COVER!X21</f>
        <v>618-327-4376</v>
      </c>
      <c r="L18" s="251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J61" sqref="J6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Nashville CCSD 49</v>
      </c>
      <c r="B1" s="2557"/>
      <c r="C1" s="2557"/>
      <c r="D1" s="2557"/>
    </row>
    <row r="2" spans="1:11" s="991" customFormat="1" ht="12.75" x14ac:dyDescent="0.2">
      <c r="A2" s="2558">
        <f>'Single Audit Cover'!E7</f>
        <v>13095049004</v>
      </c>
      <c r="B2" s="2559"/>
      <c r="C2" s="2559"/>
      <c r="D2" s="2559"/>
    </row>
    <row r="3" spans="1:11" s="991" customFormat="1" ht="12.75" x14ac:dyDescent="0.2">
      <c r="A3" s="2556" t="s">
        <v>1496</v>
      </c>
      <c r="B3" s="2557"/>
      <c r="C3" s="2557"/>
      <c r="D3" s="255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J61" sqref="J6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 xml:space="preserve">  Nashville CCSD 49</v>
      </c>
      <c r="B1" s="2561"/>
      <c r="C1" s="2561"/>
      <c r="D1" s="2561"/>
      <c r="E1" s="2561"/>
    </row>
    <row r="2" spans="1:5" x14ac:dyDescent="0.2">
      <c r="A2" s="2562">
        <f>'Single Audit Cover'!E7</f>
        <v>13095049004</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6" t="s">
        <v>1232</v>
      </c>
    </row>
    <row r="10" spans="1:5" x14ac:dyDescent="0.2">
      <c r="A10" s="1037" t="s">
        <v>1231</v>
      </c>
      <c r="B10" s="1038" t="s">
        <v>1230</v>
      </c>
      <c r="C10" s="1038"/>
      <c r="D10" s="1039">
        <f>SUM('Acct Summary 7-8'!C7:K7)</f>
        <v>347284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16524</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-13629</v>
      </c>
    </row>
    <row r="19" spans="1:4" ht="13.5" thickBot="1" x14ac:dyDescent="0.25">
      <c r="A19" s="1041" t="s">
        <v>1224</v>
      </c>
      <c r="D19" s="1042">
        <f>SUM(D10:D17)</f>
        <v>350179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1222</v>
      </c>
      <c r="D32" s="1039">
        <f>SUM(D19:D30)</f>
        <v>350179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1216</v>
      </c>
      <c r="C47" s="1048"/>
      <c r="D47" s="1049">
        <f>SUM(D35:D45)</f>
        <v>0</v>
      </c>
    </row>
    <row r="49" spans="2:4" x14ac:dyDescent="0.2">
      <c r="B49" s="1048" t="s">
        <v>1215</v>
      </c>
      <c r="C49" s="1048"/>
      <c r="D49" s="1049">
        <f>D32-D47</f>
        <v>350179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J61" sqref="J6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Nashville CCSD 49</v>
      </c>
      <c r="C1" s="2565"/>
      <c r="D1" s="2565"/>
      <c r="E1" s="2565"/>
      <c r="F1" s="2565"/>
      <c r="G1" s="2565"/>
      <c r="H1" s="2565"/>
      <c r="I1" s="2565"/>
      <c r="J1" s="2565"/>
      <c r="K1" s="2565"/>
      <c r="L1" s="2565"/>
      <c r="M1" s="2565"/>
    </row>
    <row r="2" spans="2:14" ht="15" x14ac:dyDescent="0.2">
      <c r="B2" s="2566">
        <f>'Single Audit Cover'!E7</f>
        <v>13095049004</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J61" sqref="J6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Nashville CCSD 49</v>
      </c>
      <c r="B1" s="2570"/>
      <c r="C1" s="2570"/>
      <c r="D1" s="2570"/>
      <c r="E1" s="2570"/>
      <c r="F1" s="2570"/>
    </row>
    <row r="2" spans="1:7" ht="13.5" customHeight="1" x14ac:dyDescent="0.2">
      <c r="A2" s="2566">
        <f>'Single Audit Cover'!E7</f>
        <v>13095049004</v>
      </c>
      <c r="B2" s="2566"/>
      <c r="C2" s="2566"/>
      <c r="D2" s="2566"/>
      <c r="E2" s="2566"/>
      <c r="F2" s="2566"/>
      <c r="G2" s="1051"/>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2" t="s">
        <v>1705</v>
      </c>
      <c r="C6" s="295"/>
      <c r="D6" s="295"/>
    </row>
    <row r="7" spans="1:7" ht="60.95" customHeight="1" x14ac:dyDescent="0.2">
      <c r="A7" s="2569" t="s">
        <v>1706</v>
      </c>
      <c r="B7" s="2569"/>
      <c r="C7" s="2569"/>
      <c r="D7" s="2569"/>
      <c r="E7" s="2569"/>
      <c r="F7" s="256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69" t="s">
        <v>1708</v>
      </c>
      <c r="B13" s="2569"/>
      <c r="C13" s="2569"/>
      <c r="D13" s="2569"/>
      <c r="E13" s="2569"/>
      <c r="F13" s="2569"/>
    </row>
    <row r="14" spans="1:7" ht="9.75" customHeight="1" x14ac:dyDescent="0.2">
      <c r="C14" s="1036"/>
      <c r="D14" s="1036"/>
    </row>
    <row r="15" spans="1:7" ht="13.5" customHeight="1" x14ac:dyDescent="0.2">
      <c r="C15" s="1476" t="s">
        <v>1259</v>
      </c>
      <c r="D15" s="2574" t="s">
        <v>1258</v>
      </c>
      <c r="E15" s="2574"/>
      <c r="F15" s="2574"/>
    </row>
    <row r="16" spans="1:7" ht="13.5" customHeight="1" x14ac:dyDescent="0.2">
      <c r="A16" s="1058"/>
      <c r="B16" s="1052" t="s">
        <v>1257</v>
      </c>
      <c r="C16" s="1476" t="s">
        <v>1256</v>
      </c>
      <c r="D16" s="2575" t="s">
        <v>1571</v>
      </c>
      <c r="E16" s="2575"/>
      <c r="F16" s="2575"/>
    </row>
    <row r="17" spans="1:6" ht="20.45" customHeight="1" x14ac:dyDescent="0.2">
      <c r="A17" s="1059"/>
      <c r="B17" s="1060"/>
      <c r="C17" s="1061"/>
      <c r="D17" s="2573"/>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7" t="s">
        <v>1709</v>
      </c>
      <c r="B32" s="2577"/>
      <c r="C32" s="2577"/>
      <c r="D32" s="2577"/>
      <c r="E32" s="2577"/>
      <c r="F32" s="2577"/>
    </row>
    <row r="33" spans="1:6" ht="13.5" customHeight="1" x14ac:dyDescent="0.2">
      <c r="A33" s="306" t="s">
        <v>1417</v>
      </c>
      <c r="B33" s="306"/>
      <c r="C33" s="1064">
        <v>0</v>
      </c>
      <c r="D33" s="1526"/>
      <c r="E33" s="1062"/>
    </row>
    <row r="34" spans="1:6" ht="13.5" customHeight="1" x14ac:dyDescent="0.2">
      <c r="A34" s="306" t="s">
        <v>1810</v>
      </c>
      <c r="B34" s="306"/>
      <c r="C34" s="1065">
        <v>0</v>
      </c>
      <c r="D34" s="1526" t="s">
        <v>1572</v>
      </c>
      <c r="E34" s="2578">
        <f>+C33+C34</f>
        <v>0</v>
      </c>
      <c r="F34" s="2579"/>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0" t="s">
        <v>1573</v>
      </c>
      <c r="C49" s="2580"/>
      <c r="D49" s="2580"/>
      <c r="E49" s="1168"/>
    </row>
    <row r="50" spans="1:5" s="1076" customFormat="1" ht="3.75" customHeight="1" x14ac:dyDescent="0.2">
      <c r="A50" s="1075"/>
      <c r="B50" s="1475"/>
      <c r="C50" s="1475"/>
      <c r="D50" s="1475"/>
      <c r="E50" s="1168"/>
    </row>
    <row r="51" spans="1:5" s="1076" customFormat="1" ht="20.25" customHeight="1" x14ac:dyDescent="0.2">
      <c r="A51" s="1077">
        <v>6</v>
      </c>
      <c r="B51" s="2576" t="s">
        <v>1534</v>
      </c>
      <c r="C51" s="2576"/>
      <c r="D51" s="2576"/>
    </row>
    <row r="52" spans="1:5" ht="14.25" customHeight="1" x14ac:dyDescent="0.2">
      <c r="A52" s="1077"/>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J61" sqref="J6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 xml:space="preserve">  Nashville CCSD 49</v>
      </c>
      <c r="C1" s="2586"/>
      <c r="D1" s="2586"/>
      <c r="E1" s="2586"/>
      <c r="F1" s="2586"/>
      <c r="G1" s="2586"/>
      <c r="H1" s="2586"/>
      <c r="I1" s="2586"/>
      <c r="J1" s="1178"/>
    </row>
    <row r="2" spans="2:10" s="295" customFormat="1" ht="12.75" customHeight="1" x14ac:dyDescent="0.2">
      <c r="B2" s="2587">
        <f>'Single Audit Cover'!E7</f>
        <v>13095049004</v>
      </c>
      <c r="C2" s="2588"/>
      <c r="D2" s="2588"/>
      <c r="E2" s="2588"/>
      <c r="F2" s="2588"/>
      <c r="G2" s="2588"/>
      <c r="H2" s="2588"/>
      <c r="I2" s="2588"/>
      <c r="J2" s="1178"/>
    </row>
    <row r="3" spans="2:10" s="295" customFormat="1" ht="12.75" customHeight="1" x14ac:dyDescent="0.2">
      <c r="B3" s="2589" t="s">
        <v>1274</v>
      </c>
      <c r="C3" s="2590"/>
      <c r="D3" s="2590"/>
      <c r="E3" s="2590"/>
      <c r="F3" s="2590"/>
      <c r="G3" s="2590"/>
      <c r="H3" s="2590"/>
      <c r="I3" s="2590"/>
      <c r="J3" s="1179"/>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9" t="s">
        <v>1273</v>
      </c>
      <c r="C7" s="2590"/>
      <c r="D7" s="2590"/>
      <c r="E7" s="2590"/>
      <c r="F7" s="2590"/>
      <c r="G7" s="2590"/>
      <c r="H7" s="2590"/>
      <c r="I7" s="259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1" t="s">
        <v>1154</v>
      </c>
      <c r="D11" s="259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2050</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t="s">
        <v>2050</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2" t="s">
        <v>2077</v>
      </c>
      <c r="E29" s="2592"/>
      <c r="F29" s="2592"/>
      <c r="G29" s="2592"/>
      <c r="H29" s="2592"/>
      <c r="I29" s="259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3" t="s">
        <v>1728</v>
      </c>
      <c r="D37" s="2594"/>
      <c r="E37" s="2594"/>
      <c r="F37" s="2595"/>
      <c r="G37" s="2593" t="s">
        <v>1575</v>
      </c>
      <c r="H37" s="2594"/>
      <c r="I37" s="2595"/>
    </row>
    <row r="38" spans="2:9" ht="16.5" customHeight="1" x14ac:dyDescent="0.2">
      <c r="B38" s="1200" t="s">
        <v>2077</v>
      </c>
      <c r="C38" s="2581"/>
      <c r="D38" s="2582"/>
      <c r="E38" s="2582"/>
      <c r="F38" s="2583"/>
      <c r="G38" s="2596"/>
      <c r="H38" s="2597"/>
      <c r="I38" s="2598"/>
    </row>
    <row r="39" spans="2:9" ht="16.5" customHeight="1" x14ac:dyDescent="0.2">
      <c r="B39" s="1200"/>
      <c r="C39" s="2581"/>
      <c r="D39" s="2582"/>
      <c r="E39" s="2582"/>
      <c r="F39" s="2583"/>
      <c r="G39" s="2584"/>
      <c r="H39" s="2584"/>
      <c r="I39" s="2584"/>
    </row>
    <row r="40" spans="2:9" ht="16.5" customHeight="1" x14ac:dyDescent="0.2">
      <c r="B40" s="1200"/>
      <c r="C40" s="2581"/>
      <c r="D40" s="2582"/>
      <c r="E40" s="2582"/>
      <c r="F40" s="2583"/>
      <c r="G40" s="2584"/>
      <c r="H40" s="2584"/>
      <c r="I40" s="2584"/>
    </row>
    <row r="41" spans="2:9" ht="16.5" customHeight="1" x14ac:dyDescent="0.2">
      <c r="B41" s="1200"/>
      <c r="C41" s="2581"/>
      <c r="D41" s="2582"/>
      <c r="E41" s="2582"/>
      <c r="F41" s="2583"/>
      <c r="G41" s="2584"/>
      <c r="H41" s="2584"/>
      <c r="I41" s="2584"/>
    </row>
    <row r="42" spans="2:9" ht="16.5" customHeight="1" x14ac:dyDescent="0.2">
      <c r="B42" s="1200"/>
      <c r="C42" s="2581"/>
      <c r="D42" s="2582"/>
      <c r="E42" s="2582"/>
      <c r="F42" s="2583"/>
      <c r="G42" s="2584"/>
      <c r="H42" s="2584"/>
      <c r="I42" s="2584"/>
    </row>
    <row r="43" spans="2:9" ht="16.5" customHeight="1" x14ac:dyDescent="0.2">
      <c r="B43" s="1200"/>
      <c r="C43" s="2599" t="s">
        <v>1576</v>
      </c>
      <c r="D43" s="2600"/>
      <c r="E43" s="2600"/>
      <c r="F43" s="2601"/>
      <c r="G43" s="2602">
        <f>SUM(G38:I42)</f>
        <v>0</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0</v>
      </c>
      <c r="E45" s="260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5" t="s">
        <v>2077</v>
      </c>
      <c r="F49" s="2605"/>
      <c r="G49" s="260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37" orientation="portrait" useFirstPageNumber="1" r:id="rId1"/>
  <headerFooter alignWithMargins="0">
    <oddHeader>&amp;L&amp;9Page 37&amp;R&amp;9Page 37</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J61" sqref="J6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Nashville CCSD 49</v>
      </c>
      <c r="C1" s="2585"/>
      <c r="D1" s="2585"/>
      <c r="E1" s="2585"/>
      <c r="F1" s="2585"/>
      <c r="G1" s="2585"/>
      <c r="H1" s="2585"/>
      <c r="I1" s="2585"/>
      <c r="J1" s="2585"/>
      <c r="K1" s="2585"/>
      <c r="L1" s="1144"/>
      <c r="M1" s="1144"/>
    </row>
    <row r="2" spans="1:13" ht="12" customHeight="1" x14ac:dyDescent="0.2">
      <c r="B2" s="2587">
        <f>'Single Audit Cover'!E7</f>
        <v>13095049004</v>
      </c>
      <c r="C2" s="2587"/>
      <c r="D2" s="2587"/>
      <c r="E2" s="2587"/>
      <c r="F2" s="2587"/>
      <c r="G2" s="2587"/>
      <c r="H2" s="2587"/>
      <c r="I2" s="2587"/>
      <c r="J2" s="2587"/>
      <c r="K2" s="2587"/>
      <c r="L2" s="1145"/>
      <c r="M2" s="1146"/>
    </row>
    <row r="3" spans="1:13" ht="10.35" customHeight="1" x14ac:dyDescent="0.2">
      <c r="B3" s="2608" t="s">
        <v>1274</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1285</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v>1</v>
      </c>
      <c r="E10" s="300"/>
      <c r="F10" s="1156" t="s">
        <v>1284</v>
      </c>
      <c r="G10" s="1157"/>
      <c r="H10" s="1158" t="s">
        <v>1283</v>
      </c>
      <c r="I10" s="1157" t="s">
        <v>2050</v>
      </c>
      <c r="J10" s="1159" t="s">
        <v>1282</v>
      </c>
      <c r="K10" s="300"/>
      <c r="L10" s="1151"/>
    </row>
    <row r="11" spans="1:13" ht="13.5" customHeight="1" x14ac:dyDescent="0.2">
      <c r="B11" s="300"/>
      <c r="C11" s="300"/>
      <c r="D11" s="300"/>
      <c r="E11" s="300"/>
      <c r="F11" s="300"/>
      <c r="G11" s="1153"/>
      <c r="H11" s="300"/>
      <c r="I11" s="1160" t="s">
        <v>1281</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7" t="s">
        <v>2078</v>
      </c>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7" t="s">
        <v>2079</v>
      </c>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1" t="s">
        <v>2080</v>
      </c>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7" t="s">
        <v>2081</v>
      </c>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35.25" customHeight="1" x14ac:dyDescent="0.2">
      <c r="B26" s="2607" t="s">
        <v>2082</v>
      </c>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56.25" customHeight="1" x14ac:dyDescent="0.2">
      <c r="B29" s="2606" t="s">
        <v>2083</v>
      </c>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6" t="s">
        <v>2084</v>
      </c>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38&amp;R&amp;8Page 38</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L31" sqref="L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Nashville CCSD 49</v>
      </c>
      <c r="C1" s="2612"/>
      <c r="D1" s="2612"/>
      <c r="E1" s="2612"/>
      <c r="F1" s="2612"/>
      <c r="G1" s="2612"/>
      <c r="H1" s="2612"/>
      <c r="I1" s="2612"/>
      <c r="J1" s="2612"/>
      <c r="K1" s="2612"/>
      <c r="L1" s="1221"/>
    </row>
    <row r="2" spans="1:12" ht="12.75" customHeight="1" x14ac:dyDescent="0.2">
      <c r="B2" s="2613">
        <f>'Single Audit Cover'!E7</f>
        <v>13095049004</v>
      </c>
      <c r="C2" s="2613"/>
      <c r="D2" s="2613"/>
      <c r="E2" s="2613"/>
      <c r="F2" s="2613"/>
      <c r="G2" s="2613"/>
      <c r="H2" s="2613"/>
      <c r="I2" s="2613"/>
      <c r="J2" s="2613"/>
      <c r="K2" s="2613"/>
      <c r="L2" s="1222"/>
    </row>
    <row r="3" spans="1:12" ht="12.75" customHeight="1" x14ac:dyDescent="0.2">
      <c r="B3" s="2608" t="s">
        <v>1274</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1159</v>
      </c>
      <c r="C5" s="1036"/>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2"/>
      <c r="G12" s="2592"/>
      <c r="H12" s="2592"/>
      <c r="I12" s="2592"/>
      <c r="J12" s="2592"/>
      <c r="K12" s="259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7"/>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J61" sqref="J6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5" t="str">
        <f>'Single Audit Cover'!A7</f>
        <v xml:space="preserve">  Nashville CCSD 49</v>
      </c>
      <c r="C1" s="2585"/>
      <c r="D1" s="2585"/>
      <c r="E1" s="1240"/>
    </row>
    <row r="2" spans="2:5" s="1058" customFormat="1" ht="12.75" customHeight="1" x14ac:dyDescent="0.2">
      <c r="B2" s="2587">
        <f>'Single Audit Cover'!E7</f>
        <v>13095049004</v>
      </c>
      <c r="C2" s="2587"/>
      <c r="D2" s="2587"/>
      <c r="E2" s="1241"/>
    </row>
    <row r="3" spans="2:5" ht="12.75" customHeight="1" x14ac:dyDescent="0.2">
      <c r="B3" s="2608" t="s">
        <v>1743</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c r="C5" s="306"/>
      <c r="D5" s="306"/>
      <c r="E5" s="306"/>
    </row>
    <row r="6" spans="2:5" s="1058" customFormat="1" ht="13.5" customHeight="1" x14ac:dyDescent="0.2">
      <c r="B6" s="1244" t="s">
        <v>1304</v>
      </c>
      <c r="C6" s="1244" t="s">
        <v>1303</v>
      </c>
      <c r="D6" s="1244" t="s">
        <v>1744</v>
      </c>
    </row>
    <row r="7" spans="2:5" ht="13.5" customHeight="1" x14ac:dyDescent="0.2">
      <c r="B7" s="1245" t="s">
        <v>2085</v>
      </c>
      <c r="C7" s="302" t="s">
        <v>2078</v>
      </c>
      <c r="D7" s="302" t="s">
        <v>2086</v>
      </c>
      <c r="E7" s="302"/>
    </row>
    <row r="8" spans="2:5" ht="13.5" customHeight="1" x14ac:dyDescent="0.2">
      <c r="B8" s="1245" t="s">
        <v>2087</v>
      </c>
      <c r="C8" s="302" t="s">
        <v>2088</v>
      </c>
      <c r="D8" s="302" t="s">
        <v>2093</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1745</v>
      </c>
    </row>
    <row r="46" spans="2:5" ht="12.2" customHeight="1" x14ac:dyDescent="0.2">
      <c r="B46" s="1254" t="s">
        <v>1746</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39&amp;R&amp;8Page 39</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dcmitype/"/>
    <ds:schemaRef ds:uri="http://schemas.microsoft.com/office/2006/documentManagement/types"/>
    <ds:schemaRef ds:uri="4d435f69-8686-490b-bd6d-b153bf22ab50"/>
    <ds:schemaRef ds:uri="http://purl.org/dc/elements/1.1/"/>
    <ds:schemaRef ds:uri="http://schemas.microsoft.com/office/infopath/2007/PartnerControls"/>
    <ds:schemaRef ds:uri="http://schemas.openxmlformats.org/package/2006/metadata/core-properties"/>
    <ds:schemaRef ds:uri="d21dc803-237d-4c68-8692-8d731fd29118"/>
    <ds:schemaRef ds:uri="http://purl.org/dc/terms/"/>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2020-10-15T23:01:56Z</cp:lastPrinted>
  <dcterms:created xsi:type="dcterms:W3CDTF">2003-10-29T19:06:34Z</dcterms:created>
  <dcterms:modified xsi:type="dcterms:W3CDTF">2020-11-10T01:22:30Z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