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A428CF2-075B-4626-88FB-25753C5F609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6216" i="106"/>
  <c r="D6216"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B6230" i="106" s="1"/>
  <c r="D6230" i="106" s="1"/>
  <c r="J10" i="4"/>
  <c r="B6225" i="106" s="1"/>
  <c r="D62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<sst xmlns="http://schemas.openxmlformats.org/spreadsheetml/2006/main" count="5160" uniqueCount="2095">
  <si>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</si>
  <si>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</si>
  <si>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</si>
  <si>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</si>
  <si>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</si>
  <si>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</si>
  <si>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</si>
  <si>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</si>
  <si>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</si>
  <si>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</si>
  <si>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</si>
  <si>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</si>
  <si>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</si>
  <si>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</si>
  <si>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</si>
  <si>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</si>
  <si>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</si>
  <si>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</si>
  <si>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</si>
  <si>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</si>
  <si>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</si>
  <si>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</si>
  <si>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</si>
  <si>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</si>
  <si>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</si>
  <si>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</si>
  <si>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</si>
  <si>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</si>
  <si>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</si>
  <si>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</si>
  <si>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</si>
  <si>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</si>
  <si>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</si>
  <si>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</si>
  <si>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</si>
  <si>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</si>
  <si>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</si>
  <si>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</si>
  <si>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</si>
  <si>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</si>
  <si>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</si>
  <si>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</si>
  <si>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</si>
  <si>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</si>
  <si>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</si>
  <si>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</si>
  <si>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</si>
  <si>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</si>
  <si>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</si>
  <si>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</si>
  <si>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</si>
  <si>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</si>
  <si>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</si>
  <si>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</si>
  <si>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</si>
  <si>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</si>
  <si>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</si>
  <si>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</si>
  <si>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</si>
  <si>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</si>
  <si>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</si>
  <si>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</si>
  <si>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</si>
  <si>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</si>
  <si>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</si>
  <si>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</si>
  <si>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</si>
  <si>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</si>
  <si>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</si>
  <si>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</si>
  <si>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</si>
  <si>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</si>
  <si>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</si>
  <si>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</si>
  <si>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</si>
  <si>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</si>
  <si>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</si>
  <si>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</si>
  <si>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</si>
  <si>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</si>
  <si>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</si>
  <si>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</si>
  <si>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</si>
  <si>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</si>
  <si>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</si>
  <si>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</si>
  <si>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</si>
  <si>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</si>
  <si>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</si>
  <si>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</si>
  <si>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</si>
  <si>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</si>
  <si>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</si>
  <si>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</si>
  <si>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</si>
  <si>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</si>
  <si>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</si>
  <si>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</si>
  <si>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</si>
  <si>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</si>
  <si>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</si>
  <si>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</si>
  <si>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</si>
  <si>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</si>
  <si>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</si>
  <si>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</si>
  <si>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</si>
  <si>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</si>
  <si>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</si>
  <si>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</si>
  <si>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</si>
  <si>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</si>
  <si>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</si>
  <si>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</si>
  <si>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</si>
  <si>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</si>
  <si>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</si>
  <si>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</si>
  <si>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</si>
  <si>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</si>
  <si>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</si>
  <si>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</si>
  <si>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</si>
  <si>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</si>
  <si>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</si>
  <si>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</si>
  <si>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</si>
  <si>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</si>
  <si>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</si>
  <si>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</si>
  <si>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</si>
  <si>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</si>
  <si>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</si>
  <si>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</si>
  <si>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</si>
  <si>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</si>
  <si>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</si>
  <si>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</si>
  <si>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</si>
  <si>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</si>
  <si>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</si>
  <si>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</si>
  <si>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</si>
  <si>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</si>
  <si>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</si>
  <si>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</si>
  <si>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</si>
  <si>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</si>
  <si>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</si>
  <si>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</si>
  <si>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</si>
  <si>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</si>
  <si>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</si>
  <si>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</si>
  <si>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</si>
  <si>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</si>
  <si>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</si>
  <si>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</si>
  <si>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</si>
  <si>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</si>
  <si>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</si>
  <si>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</si>
  <si>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</si>
  <si>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</si>
  <si>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</si>
  <si>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</si>
  <si>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</si>
  <si>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</si>
  <si>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</si>
  <si>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</si>
  <si>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</si>
  <si>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</si>
  <si>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</si>
  <si>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</si>
  <si>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</si>
  <si>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</si>
  <si>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</si>
  <si>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</si>
  <si>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</si>
  <si>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</si>
  <si>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</si>
  <si>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</si>
  <si>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</si>
  <si>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</si>
  <si>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</si>
  <si>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</si>
  <si>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</si>
  <si>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</si>
  <si>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</si>
  <si>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</si>
  <si>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</si>
  <si>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</si>
  <si>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</si>
  <si>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</si>
  <si>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</si>
  <si>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</si>
  <si>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</si>
  <si>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</si>
  <si>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</si>
  <si>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</si>
  <si>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</si>
  <si>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</si>
  <si>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</si>
  <si>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</si>
  <si>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</si>
  <si>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</si>
  <si>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</si>
  <si>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</si>
  <si>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</si>
  <si>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</si>
  <si>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</si>
  <si>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</si>
  <si>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</si>
  <si>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</si>
  <si>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</si>
  <si>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</si>
  <si>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</si>
  <si>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</si>
  <si>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</si>
  <si>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</si>
  <si>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</si>
  <si>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</si>
  <si>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</si>
  <si>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</si>
  <si>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</si>
  <si>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</si>
  <si>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</si>
  <si>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</si>
  <si>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</si>
  <si>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</si>
  <si>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</si>
  <si>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</si>
  <si>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</si>
  <si>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</si>
  <si>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</si>
  <si>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</si>
  <si>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</si>
  <si>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</si>
  <si>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</si>
  <si>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</si>
  <si>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</si>
  <si>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</si>
  <si>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</si>
  <si>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</si>
  <si>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</si>
  <si>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</si>
  <si>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</si>
  <si>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</si>
  <si>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</si>
  <si>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</si>
  <si>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</si>
  <si>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</si>
  <si>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</si>
  <si>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</si>
  <si>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</si>
  <si>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</si>
  <si>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</si>
  <si>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</si>
  <si>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</si>
  <si>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</si>
  <si>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</si>
  <si>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</si>
  <si>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</si>
  <si>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</si>
  <si>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</si>
  <si>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</si>
  <si>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</si>
  <si>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</si>
  <si>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</si>
  <si>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</si>
  <si>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</si>
  <si>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</si>
  <si>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</si>
  <si>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</si>
  <si>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</si>
  <si>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</si>
  <si>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</si>
  <si>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</si>
  <si>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</si>
  <si>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</si>
  <si>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</si>
  <si>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</si>
  <si>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</si>
  <si>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</si>
  <si>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</si>
  <si>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</si>
  <si>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</si>
  <si>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</si>
  <si>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</si>
  <si>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</si>
  <si>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</si>
  <si>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</si>
  <si>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</si>
  <si>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</si>
  <si>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</si>
  <si>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</si>
  <si>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</si>
  <si>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</si>
  <si>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</si>
  <si>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</si>
  <si>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</si>
  <si>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</si>
  <si>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</si>
  <si>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</si>
  <si>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</si>
  <si>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</si>
  <si>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</si>
  <si>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</si>
  <si>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</si>
  <si>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</si>
  <si>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</si>
  <si>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</si>
  <si>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</si>
  <si>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</si>
  <si>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</si>
  <si>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</si>
  <si>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</si>
  <si>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</si>
  <si>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</si>
  <si>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</si>
  <si>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</si>
  <si>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</si>
  <si>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</si>
  <si>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</si>
  <si>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</si>
  <si>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</si>
  <si>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</si>
  <si>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</si>
  <si>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</si>
  <si>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</si>
  <si>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</si>
  <si>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</si>
  <si>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</si>
  <si>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</si>
  <si>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</si>
  <si>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</si>
  <si>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</si>
  <si>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</si>
  <si>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</si>
  <si>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</si>
  <si>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</si>
  <si>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</si>
  <si>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</si>
  <si>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</si>
  <si>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</si>
  <si>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</si>
  <si>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</si>
  <si>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</si>
  <si>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</si>
  <si>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</si>
  <si>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</si>
  <si>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</si>
  <si>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</si>
  <si>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</si>
  <si>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</si>
  <si>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</si>
  <si>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</si>
  <si>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</si>
  <si>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</si>
  <si>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</si>
  <si>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</si>
  <si>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</si>
  <si>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</si>
  <si>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</si>
  <si>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</si>
  <si>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</si>
  <si>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</si>
  <si>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</si>
  <si>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</si>
  <si>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</si>
  <si>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</si>
  <si>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</si>
  <si>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</si>
  <si>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</si>
  <si>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</si>
  <si>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</si>
  <si>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</si>
  <si>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</si>
  <si>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</si>
  <si>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</si>
  <si>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</si>
  <si>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</si>
  <si>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</si>
  <si>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</si>
  <si>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</si>
  <si>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</si>
  <si>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</si>
  <si>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</si>
  <si>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</si>
  <si>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</si>
  <si>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</si>
  <si>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</si>
  <si>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</si>
  <si>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</si>
  <si>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</si>
  <si>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</si>
  <si>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</si>
  <si>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</si>
  <si>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</si>
  <si>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</si>
  <si>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</si>
  <si>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</si>
  <si>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</si>
  <si>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</si>
  <si>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</si>
  <si>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</si>
  <si>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</si>
  <si>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</si>
  <si>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</si>
  <si>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</si>
  <si>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</si>
  <si>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</si>
  <si>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</si>
  <si>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</si>
  <si>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</si>
  <si>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</si>
  <si>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</si>
  <si>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</si>
  <si>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</si>
  <si>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</si>
  <si>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</si>
  <si>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</si>
  <si>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</si>
  <si>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</si>
  <si>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</si>
  <si>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</si>
  <si>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</si>
  <si>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</si>
  <si>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</si>
  <si>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</si>
  <si>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</si>
  <si>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</si>
  <si>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</si>
  <si>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</si>
  <si>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</si>
  <si>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</si>
  <si>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</si>
  <si>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</si>
  <si>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</si>
  <si>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</si>
  <si>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</si>
  <si>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</si>
  <si>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</si>
  <si>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</si>
  <si>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</si>
  <si>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</si>
  <si>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</si>
  <si>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</si>
  <si>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</si>
  <si>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</si>
  <si>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</si>
  <si>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</si>
  <si>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</si>
  <si>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</si>
  <si>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</si>
  <si>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</si>
  <si>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</si>
  <si>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</si>
  <si>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</si>
  <si>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</si>
  <si>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</si>
  <si>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</si>
  <si>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</si>
  <si>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</si>
  <si>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</si>
  <si>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</si>
  <si>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</si>
  <si>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</si>
  <si>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</si>
  <si>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</si>
  <si>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</si>
  <si>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</si>
  <si>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</si>
  <si>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</si>
  <si>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</si>
  <si>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</si>
  <si>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</si>
  <si>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</si>
  <si>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</si>
  <si>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</si>
  <si>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</si>
  <si>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</si>
  <si>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</si>
  <si>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</si>
  <si>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</si>
  <si>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</si>
  <si>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</si>
  <si>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</si>
  <si>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</si>
  <si>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</si>
  <si>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</si>
  <si>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</si>
  <si>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</si>
  <si>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</si>
  <si>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</si>
  <si>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</si>
  <si>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</si>
  <si>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</si>
  <si>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</si>
  <si>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</si>
  <si>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</si>
  <si>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</si>
  <si>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</si>
  <si>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</si>
  <si>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</si>
  <si>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</si>
  <si>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</si>
  <si>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</si>
  <si>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</si>
  <si>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</si>
  <si>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</si>
  <si>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</si>
  <si>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</si>
  <si>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</si>
  <si>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</si>
  <si>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</si>
  <si>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</si>
  <si>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</si>
  <si>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</si>
  <si>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</si>
  <si>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</si>
  <si>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</si>
  <si>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</si>
  <si>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</si>
  <si>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</si>
  <si>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</si>
  <si>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</si>
  <si>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</si>
  <si>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</si>
  <si>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</si>
  <si>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</si>
  <si>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</si>
  <si>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</si>
  <si>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</si>
  <si>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</si>
  <si>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</si>
  <si>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</si>
  <si>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</si>
  <si>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</si>
  <si>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</si>
  <si>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</si>
  <si>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</si>
  <si>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</si>
  <si>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</si>
  <si>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</si>
  <si>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</si>
  <si>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</si>
  <si>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</si>
  <si>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</si>
  <si>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</si>
  <si>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</si>
  <si>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</si>
  <si>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</si>
  <si>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</si>
  <si>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</si>
  <si>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</si>
  <si>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</si>
  <si>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</si>
  <si>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</si>
  <si>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</si>
  <si>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</si>
  <si>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</si>
  <si>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</si>
  <si>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</si>
  <si>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</si>
  <si>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</si>
  <si>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</si>
  <si>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</si>
  <si>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</si>
  <si>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</si>
  <si>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</si>
  <si>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</si>
  <si>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</si>
  <si>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</si>
  <si>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</si>
  <si>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</si>
  <si>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</si>
  <si>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</si>
  <si>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</si>
  <si>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</si>
  <si>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</si>
  <si>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</si>
  <si>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</si>
  <si>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</si>
  <si>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</si>
  <si>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</si>
  <si>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</si>
  <si>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</si>
  <si>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</si>
  <si>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</si>
  <si>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</si>
  <si>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</si>
  <si>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</si>
  <si>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</si>
  <si>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</si>
  <si>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</si>
  <si>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</si>
  <si>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</si>
  <si>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</si>
  <si>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</si>
  <si>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</si>
  <si>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</si>
  <si>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</si>
  <si>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</si>
  <si>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</si>
  <si>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</si>
  <si>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</si>
  <si>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</si>
  <si>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</si>
  <si>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</si>
  <si>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</si>
  <si>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</si>
  <si>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</si>
  <si>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</si>
  <si>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</si>
  <si>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</si>
  <si>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</si>
  <si>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</si>
  <si>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</si>
  <si>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</si>
  <si>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</si>
  <si>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</si>
  <si>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</si>
  <si>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</si>
  <si>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</si>
  <si>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</si>
  <si>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</si>
  <si>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</si>
  <si>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</si>
  <si>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</si>
  <si>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</si>
  <si>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</si>
  <si>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</si>
  <si>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</si>
  <si>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</si>
  <si>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</si>
  <si>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</si>
  <si>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</si>
  <si>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</si>
  <si>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</si>
  <si>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</si>
  <si>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</si>
  <si>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</si>
  <si>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</si>
  <si>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</si>
  <si>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</si>
  <si>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</si>
  <si>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</si>
  <si>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</si>
  <si>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</si>
  <si>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</si>
  <si>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</si>
  <si>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</si>
  <si>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</si>
  <si>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</si>
  <si>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</si>
  <si>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</si>
  <si>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</si>
  <si>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</si>
  <si>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</si>
  <si>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</si>
  <si>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</si>
  <si>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</si>
  <si>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</si>
  <si>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</si>
  <si>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</si>
  <si>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</si>
  <si>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</si>
  <si>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</si>
  <si>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</si>
  <si>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</si>
  <si>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</si>
  <si>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</si>
  <si>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</si>
  <si>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</si>
  <si>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</si>
  <si>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</si>
  <si>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</si>
  <si>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</si>
  <si>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</si>
  <si>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</si>
  <si>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</si>
  <si>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</si>
  <si>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</si>
  <si>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</si>
  <si>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</si>
  <si>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</si>
  <si>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</si>
  <si>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</si>
  <si>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</si>
  <si>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</si>
  <si>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</si>
  <si>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</si>
  <si>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</si>
  <si>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</si>
  <si>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</si>
  <si>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</si>
  <si>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</si>
  <si>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</si>
  <si>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</si>
  <si>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</si>
  <si>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</si>
  <si>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</si>
  <si>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</si>
  <si>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</si>
  <si>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</si>
  <si>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</si>
  <si>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</si>
  <si>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</si>
  <si>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</si>
  <si>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</si>
  <si>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</si>
  <si>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</si>
  <si>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</si>
  <si>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</si>
  <si>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</si>
  <si>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</si>
  <si>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</si>
  <si>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</si>
  <si>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</si>
  <si>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</si>
  <si>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</si>
  <si>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</si>
  <si>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</si>
  <si>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</si>
  <si>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</si>
  <si>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</si>
  <si>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</si>
  <si>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</si>
  <si>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</si>
  <si>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</si>
  <si>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</si>
  <si>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</si>
  <si>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</si>
  <si>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</si>
  <si>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</si>
  <si>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</si>
  <si>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</si>
  <si>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</si>
  <si>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</si>
  <si>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</si>
  <si>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</si>
  <si>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</si>
  <si>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</si>
  <si>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</si>
  <si>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</si>
  <si>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</si>
  <si>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</si>
  <si>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</si>
  <si>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</si>
  <si>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</si>
  <si>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</si>
  <si>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</si>
  <si>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</si>
  <si>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</si>
  <si>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</si>
  <si>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</si>
  <si>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</si>
  <si>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</si>
  <si>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</si>
  <si>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</si>
  <si>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</si>
  <si>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</si>
  <si>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</si>
  <si>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</si>
  <si>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</si>
  <si>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</si>
  <si>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</si>
  <si>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</si>
  <si>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</si>
  <si>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</si>
  <si>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</si>
  <si>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</si>
  <si>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</si>
  <si>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</si>
  <si>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</si>
  <si>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</si>
  <si>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</si>
  <si>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</si>
  <si>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</si>
  <si>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</si>
  <si>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</si>
  <si>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</si>
  <si>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</si>
  <si>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</si>
  <si>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</si>
  <si>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</si>
  <si>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</si>
  <si>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</si>
  <si>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</si>
  <si>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</si>
  <si>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</si>
  <si>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</si>
  <si>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</si>
  <si>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</si>
  <si>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</si>
  <si>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</si>
  <si>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</si>
  <si>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</si>
  <si>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</si>
  <si>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</si>
  <si>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</si>
  <si>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</si>
  <si>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</si>
  <si>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</si>
  <si>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</si>
  <si>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</si>
  <si>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</si>
  <si>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</si>
  <si>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</si>
  <si>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</si>
  <si>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</si>
  <si>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</si>
  <si>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</si>
  <si>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</si>
  <si>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</si>
  <si>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</si>
  <si>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</si>
  <si>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</si>
  <si>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</si>
  <si>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</si>
  <si>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</si>
  <si>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</si>
  <si>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</si>
  <si>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</si>
  <si>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</si>
  <si>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</si>
  <si>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</si>
  <si>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</si>
  <si>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</si>
  <si>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</si>
  <si>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</si>
  <si>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</si>
  <si>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</si>
  <si>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</si>
  <si>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</si>
  <si>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</si>
  <si>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</si>
  <si>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</si>
  <si>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</si>
  <si>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</si>
  <si>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</si>
  <si>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</si>
  <si>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</si>
  <si>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</si>
  <si>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</si>
  <si>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</si>
  <si>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</si>
  <si>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</si>
  <si>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</si>
  <si>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</si>
  <si>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</si>
  <si>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</si>
  <si>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</si>
  <si>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</si>
  <si>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</si>
  <si>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</si>
  <si>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</si>
  <si>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</si>
  <si>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</si>
  <si>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</si>
  <si>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</si>
  <si>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</si>
  <si>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</si>
  <si>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</si>
  <si>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</si>
  <si>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</si>
  <si>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</si>
  <si>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</si>
  <si>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</si>
  <si>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</si>
  <si>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</si>
  <si>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</si>
  <si>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</si>
  <si>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</si>
  <si>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</si>
  <si>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</si>
  <si>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</si>
  <si>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</si>
  <si>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</si>
  <si>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</si>
  <si>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</si>
  <si>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</si>
  <si>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</si>
  <si>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</si>
  <si>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</si>
  <si>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</si>
  <si>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</si>
  <si>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</si>
  <si>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</si>
  <si>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</si>
  <si>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</si>
  <si>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</si>
  <si>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</si>
  <si>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</si>
  <si>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</si>
  <si>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</si>
  <si>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</si>
  <si>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</si>
  <si>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</si>
  <si>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</si>
  <si>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</si>
  <si>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</si>
  <si>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</si>
  <si>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</si>
  <si>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</si>
  <si>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</si>
  <si>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</si>
  <si>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</si>
  <si>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</si>
  <si>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</si>
  <si>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</si>
  <si>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</si>
  <si>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</si>
  <si>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</si>
  <si>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</si>
  <si>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</si>
  <si>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</si>
  <si>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</si>
  <si>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</si>
  <si>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</si>
  <si>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</si>
  <si>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</si>
  <si>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</si>
  <si>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</si>
  <si>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</si>
  <si>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</si>
  <si>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</si>
  <si>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</si>
  <si>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</si>
  <si>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</si>
  <si>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</si>
  <si>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</si>
  <si>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</si>
  <si>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</si>
  <si>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</si>
  <si>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</si>
  <si>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</si>
  <si>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</si>
  <si>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</si>
  <si>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</si>
  <si>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</si>
  <si>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</si>
  <si>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</si>
  <si>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</si>
  <si>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</si>
  <si>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</si>
  <si>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</si>
  <si>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</si>
  <si>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</si>
  <si>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</si>
  <si>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</si>
  <si>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</si>
  <si>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</si>
  <si>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</si>
  <si>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</si>
  <si>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</si>
  <si>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</si>
  <si>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</si>
  <si>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</si>
  <si>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</si>
  <si>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</si>
  <si>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</si>
  <si>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</si>
  <si>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</si>
  <si>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</si>
  <si>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</si>
  <si>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</si>
  <si>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</si>
  <si>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</si>
  <si>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</si>
  <si>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</si>
  <si>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</si>
  <si>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</si>
  <si>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</si>
  <si>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</si>
  <si>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</si>
  <si>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</si>
  <si>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</si>
  <si>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</si>
  <si>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</si>
  <si>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</si>
  <si>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</si>
  <si>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</si>
  <si>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</si>
  <si>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</si>
  <si>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</si>
  <si>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</si>
  <si>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</si>
  <si>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</si>
  <si>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</si>
  <si>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</si>
  <si>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</si>
  <si>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</si>
  <si>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</si>
  <si>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</si>
  <si>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</si>
  <si>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</si>
  <si>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</si>
  <si>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</si>
  <si>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</si>
  <si>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</si>
  <si>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</si>
  <si>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</si>
  <si>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</si>
  <si>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</si>
  <si>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</si>
  <si>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</si>
  <si>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</si>
  <si>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</si>
  <si>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</si>
  <si>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</si>
  <si>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</si>
  <si>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</si>
  <si>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</si>
  <si>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</si>
  <si>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</si>
  <si>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</si>
  <si>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</si>
  <si>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</si>
  <si>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</si>
  <si>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</si>
  <si>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</si>
  <si>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</si>
  <si>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</si>
  <si>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</si>
  <si>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</si>
  <si>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</si>
  <si>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</si>
  <si>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</si>
  <si>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</si>
  <si>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</si>
  <si>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</si>
  <si>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</si>
  <si>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</si>
  <si>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</si>
  <si>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</si>
  <si>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</si>
  <si>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</si>
  <si>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</si>
  <si>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</si>
  <si>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</si>
  <si>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</si>
  <si>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</si>
  <si>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</si>
  <si>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</si>
  <si>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</si>
  <si>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</si>
  <si>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</si>
  <si>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</si>
  <si>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</si>
  <si>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</si>
  <si>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</si>
  <si>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</si>
  <si>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</si>
  <si>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</si>
  <si>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</si>
  <si>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</si>
  <si>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</si>
  <si>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</si>
  <si>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</si>
  <si>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</si>
  <si>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</si>
  <si>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</si>
  <si>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</si>
  <si>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</si>
  <si>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</si>
  <si>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</si>
  <si>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</si>
  <si>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</si>
  <si>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</si>
  <si>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</si>
  <si>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</si>
  <si>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</si>
  <si>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</si>
  <si>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</si>
  <si>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</si>
  <si>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</si>
  <si>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</si>
  <si>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</si>
  <si>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</si>
  <si>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</si>
  <si>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</si>
  <si>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</si>
  <si>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</si>
  <si>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</si>
  <si>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</si>
  <si>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</si>
  <si>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</si>
  <si>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</si>
  <si>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</si>
  <si>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</si>
  <si>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</si>
  <si>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</si>
  <si>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</si>
  <si>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</si>
  <si>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</si>
  <si>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</si>
  <si>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</si>
  <si>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</si>
  <si>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</si>
  <si>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</si>
  <si>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</si>
  <si>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</si>
  <si>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</si>
  <si>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</si>
  <si>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</si>
  <si>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</si>
  <si>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</si>
  <si>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</si>
  <si>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</si>
  <si>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</si>
  <si>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</si>
  <si>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</si>
  <si>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</si>
  <si>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</si>
  <si>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</si>
  <si>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</si>
  <si>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</si>
  <si>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</si>
  <si>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</si>
  <si>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</si>
  <si>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</si>
  <si>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</si>
  <si>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</si>
  <si>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</si>
  <si>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</si>
  <si>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</si>
  <si>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</si>
  <si>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</si>
  <si>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</si>
  <si>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</si>
  <si>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</si>
  <si>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</si>
  <si>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</si>
  <si>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</si>
  <si>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</si>
  <si>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</si>
  <si>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</si>
  <si>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</si>
  <si>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</si>
  <si>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</si>
  <si>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</si>
  <si>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</si>
  <si>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</si>
  <si>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</si>
  <si>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</si>
  <si>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</si>
  <si>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</si>
  <si>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</si>
  <si>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</si>
  <si>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</si>
  <si>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</si>
  <si>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</si>
  <si>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</si>
  <si>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</si>
  <si>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</si>
  <si>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</si>
  <si>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</si>
  <si>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</si>
  <si>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</si>
  <si>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</si>
  <si>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</si>
  <si>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</si>
  <si>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</si>
  <si>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</si>
  <si>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</si>
  <si>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</si>
  <si>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</si>
  <si>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</si>
  <si>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</si>
  <si>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</si>
  <si>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</si>
  <si>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</si>
  <si>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</si>
  <si>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</si>
  <si>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</si>
  <si>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</si>
  <si>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</si>
  <si>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</si>
  <si>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</si>
  <si>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</si>
  <si>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</si>
  <si>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</si>
  <si>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</si>
  <si>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</si>
  <si>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</si>
  <si>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</si>
  <si>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</si>
  <si>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</si>
  <si>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</si>
  <si>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</si>
  <si>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</si>
  <si>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</si>
  <si>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</si>
  <si>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</si>
  <si>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</si>
  <si>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</si>
  <si>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</si>
  <si>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</si>
  <si>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</si>
  <si>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</si>
  <si>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</si>
  <si>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</si>
  <si>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</si>
  <si>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</si>
  <si>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</si>
  <si>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</si>
  <si>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</si>
  <si>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</si>
  <si>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</si>
  <si>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</si>
  <si>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</si>
  <si>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</si>
  <si>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</si>
  <si>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</si>
  <si>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</si>
  <si>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</si>
  <si>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</si>
  <si>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</si>
  <si>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</si>
  <si>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</si>
  <si>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</si>
  <si>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</si>
  <si>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</si>
  <si>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</si>
  <si>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</si>
  <si>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</si>
  <si>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</si>
  <si>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</si>
  <si>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</si>
  <si>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</si>
  <si>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</si>
  <si>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</si>
  <si>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</si>
  <si>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</si>
  <si>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</si>
  <si>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</si>
  <si>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</si>
  <si>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</si>
  <si>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</si>
  <si>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</si>
  <si>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</si>
  <si>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</si>
  <si>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</si>
  <si>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</si>
  <si>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</si>
  <si>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</si>
  <si>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</si>
  <si>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</si>
  <si>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</si>
  <si>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</si>
  <si>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</si>
  <si>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</si>
  <si>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</si>
  <si>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</si>
  <si>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</si>
  <si>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</si>
  <si>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</si>
  <si>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</si>
  <si>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</si>
  <si>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</si>
  <si>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</si>
  <si>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</si>
  <si>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</si>
  <si>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</si>
  <si>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</si>
  <si>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</si>
  <si>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</si>
  <si>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</si>
  <si>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</si>
  <si>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</si>
  <si>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</si>
  <si>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</si>
  <si>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</si>
  <si>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</si>
  <si>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</si>
  <si>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</si>
  <si>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</si>
  <si>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</si>
  <si>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</si>
  <si>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</si>
  <si>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</si>
  <si>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</si>
  <si>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</si>
  <si>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</si>
  <si>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</si>
  <si>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</si>
  <si>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</si>
  <si>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</si>
  <si>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</si>
  <si>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</si>
  <si>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</si>
  <si>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</si>
  <si>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</si>
  <si>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</si>
  <si>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</si>
  <si>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</si>
  <si>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</si>
  <si>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</si>
  <si>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</si>
  <si>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</si>
  <si>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</si>
  <si>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</si>
  <si>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</si>
  <si>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</si>
  <si>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</si>
  <si>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</si>
  <si>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</si>
  <si>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</si>
  <si>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</si>
  <si>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</si>
  <si>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</si>
  <si>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</si>
  <si>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</si>
  <si>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</si>
  <si>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</si>
  <si>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</si>
  <si>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</si>
  <si>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</si>
  <si>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</si>
  <si>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</si>
  <si>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</si>
  <si>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</si>
  <si>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</si>
  <si>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</si>
  <si>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</si>
  <si>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</si>
  <si>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</si>
  <si>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</si>
  <si>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</si>
  <si>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</si>
  <si>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</si>
  <si>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</si>
  <si>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</si>
  <si>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</si>
  <si>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</si>
  <si>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</si>
  <si>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</si>
  <si>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</si>
  <si>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</si>
  <si>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</si>
  <si>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</si>
  <si>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</si>
  <si>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</si>
  <si>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</si>
  <si>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</si>
  <si>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</si>
  <si>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</si>
  <si>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</si>
  <si>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</si>
  <si>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</si>
  <si>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</si>
  <si>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</si>
  <si>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</si>
  <si>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</si>
  <si>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</si>
  <si>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</si>
  <si>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</si>
  <si>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</si>
  <si>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</si>
  <si>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</si>
  <si>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</si>
  <si>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</si>
  <si>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</si>
  <si>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</si>
  <si>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</si>
  <si>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</si>
  <si>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</si>
  <si>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</si>
  <si>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</si>
  <si>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</si>
  <si>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</si>
  <si>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</si>
  <si>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</si>
  <si>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</si>
  <si>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</si>
  <si>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</si>
  <si>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</si>
  <si>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</si>
  <si>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</si>
  <si>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</si>
  <si>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</si>
  <si>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</si>
  <si>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</si>
  <si>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</si>
  <si>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</si>
  <si>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</si>
  <si>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</si>
  <si>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</si>
  <si>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</si>
  <si>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</si>
  <si>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</si>
  <si>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</si>
  <si>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</si>
  <si>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</si>
  <si>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</si>
  <si>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</si>
  <si>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</si>
  <si>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</si>
  <si>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</si>
  <si>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</si>
  <si>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</si>
  <si>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</si>
  <si>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</si>
  <si>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</si>
  <si>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</si>
  <si>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</si>
  <si>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</si>
  <si>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</si>
  <si>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</si>
  <si>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</si>
  <si>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</si>
  <si>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</si>
  <si>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</si>
  <si>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</si>
  <si>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</si>
  <si>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</si>
  <si>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</si>
  <si>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</si>
  <si>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</si>
  <si>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</si>
  <si>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</si>
  <si>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</si>
  <si>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</si>
  <si>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</si>
  <si>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</si>
  <si>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</si>
  <si>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</si>
  <si>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</si>
  <si>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</si>
  <si>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</si>
  <si>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</si>
  <si>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</si>
  <si>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</si>
  <si>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</si>
  <si>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</si>
  <si>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</si>
  <si>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</si>
  <si>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</si>
  <si>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</si>
  <si>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</si>
  <si>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</si>
  <si>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</si>
  <si>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</si>
  <si>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</si>
  <si>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</si>
  <si>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</si>
  <si>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</si>
  <si>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</si>
  <si>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</si>
  <si>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</si>
  <si>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</si>
  <si>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</si>
  <si>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</si>
  <si>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</si>
  <si>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</si>
  <si>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</si>
  <si>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</si>
  <si>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</si>
  <si>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</si>
  <si>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</si>
  <si>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</si>
  <si>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</si>
  <si>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</si>
  <si>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</si>
  <si>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</si>
  <si>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</si>
  <si>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</si>
  <si>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</si>
  <si>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</si>
  <si>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</si>
  <si>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</si>
  <si>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</si>
  <si>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</si>
  <si>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</si>
  <si>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</si>
  <si>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</si>
  <si>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</si>
  <si>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</si>
  <si>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</si>
  <si>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</si>
  <si>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</si>
  <si>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</si>
  <si>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</si>
  <si>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</si>
  <si>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</si>
  <si>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</si>
  <si>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</si>
  <si>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</si>
  <si>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</si>
  <si>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</si>
  <si>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</si>
  <si>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</si>
  <si>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</si>
  <si>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</si>
  <si>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</si>
  <si>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</si>
  <si>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</si>
  <si>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</si>
  <si>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</si>
  <si>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</si>
  <si>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</si>
  <si>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</si>
  <si>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</si>
  <si>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</si>
  <si>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</si>
  <si>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</si>
  <si>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</si>
  <si>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</si>
  <si>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</si>
  <si>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</si>
  <si>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</si>
  <si>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</si>
  <si>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</si>
  <si>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</si>
  <si>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</si>
  <si>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</si>
  <si>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</si>
  <si>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</si>
  <si>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</si>
  <si>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</si>
  <si>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</si>
  <si>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</si>
  <si>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</si>
  <si>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</si>
  <si>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</si>
  <si>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</si>
  <si>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</si>
  <si>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</si>
  <si>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</si>
  <si>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</si>
  <si>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</si>
  <si>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</si>
  <si>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</si>
  <si>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</si>
  <si>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</si>
  <si>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</si>
  <si>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</si>
  <si>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</si>
  <si>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</si>
  <si>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</si>
  <si>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</si>
  <si>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</si>
  <si>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</si>
  <si>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</si>
  <si>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</si>
  <si>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</si>
  <si>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</si>
  <si>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</si>
  <si>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</si>
  <si>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</si>
  <si>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</si>
  <si>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</si>
  <si>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</si>
  <si>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</si>
  <si>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</si>
  <si>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</si>
  <si>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</si>
  <si>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</si>
  <si>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</si>
  <si>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</si>
  <si>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</si>
  <si>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</si>
  <si>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</si>
  <si>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</si>
  <si>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</si>
  <si>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</si>
  <si>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</si>
  <si>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</si>
  <si>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</si>
  <si>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</si>
  <si>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</si>
  <si>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</si>
  <si>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</si>
  <si>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</si>
  <si>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</si>
  <si>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</si>
  <si>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</si>
  <si>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</si>
  <si>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</si>
  <si>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</si>
  <si>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</si>
  <si>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</si>
  <si>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</si>
  <si>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</si>
  <si>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</si>
  <si>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</si>
  <si>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</si>
  <si>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</si>
  <si>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</si>
  <si>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</si>
  <si>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</si>
  <si>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</si>
  <si>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</si>
  <si>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</si>
  <si>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</si>
  <si>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</si>
  <si>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</si>
  <si>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</si>
  <si>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</si>
  <si>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</si>
  <si>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</si>
  <si>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</si>
  <si>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</si>
  <si>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</si>
  <si>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</si>
  <si>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</si>
  <si>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</si>
  <si>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</si>
  <si>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</si>
  <si>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</si>
  <si>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</si>
  <si>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</si>
  <si>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</si>
  <si>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</si>
  <si>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</si>
  <si>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</si>
  <si>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</si>
  <si>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</si>
  <si>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</si>
  <si>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</si>
  <si>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</si>
  <si>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</si>
  <si>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</si>
  <si>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</si>
  <si>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</si>
  <si>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</si>
  <si>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</si>
  <si>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</si>
  <si>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</si>
  <si>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</si>
  <si>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</si>
  <si>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</si>
  <si>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</si>
  <si>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</si>
  <si>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</si>
  <si>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</si>
  <si>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</si>
  <si>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</si>
  <si>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</si>
  <si>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</si>
  <si>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</si>
  <si>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</si>
  <si>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</si>
  <si>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</si>
  <si>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</si>
  <si>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</si>
  <si>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</si>
  <si>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</si>
  <si>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</si>
  <si>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</si>
  <si>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</si>
  <si>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</si>
  <si>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</si>
  <si>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</si>
  <si>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</si>
  <si>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</si>
  <si>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</si>
  <si>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</si>
  <si>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</si>
  <si>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</si>
  <si>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</si>
  <si>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</si>
  <si>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</si>
  <si>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</si>
  <si>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</si>
  <si>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</si>
  <si>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</si>
  <si>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</si>
  <si>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</si>
  <si>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</si>
  <si>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</si>
  <si>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</si>
  <si>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</si>
  <si>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</si>
  <si>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</si>
  <si>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</si>
  <si>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</si>
  <si>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</si>
  <si>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</si>
  <si>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</si>
  <si>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</si>
  <si>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</si>
  <si>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</si>
  <si>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</si>
  <si>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</si>
  <si>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</si>
  <si>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</si>
  <si>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</si>
  <si>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</si>
  <si>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</si>
  <si>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</si>
  <si>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</si>
  <si>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</si>
  <si>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</si>
  <si>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</si>
  <si>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</si>
  <si>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</si>
  <si>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</si>
  <si>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</si>
  <si>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</si>
  <si>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</si>
  <si>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</si>
  <si>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</si>
  <si>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</si>
  <si>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</si>
  <si>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</si>
  <si>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</si>
  <si>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</si>
  <si>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</si>
  <si>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</si>
  <si>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</si>
  <si>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</si>
  <si>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</si>
  <si>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</si>
  <si>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</si>
  <si>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</si>
  <si>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</si>
  <si>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</si>
  <si>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</si>
  <si>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</si>
  <si>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</si>
  <si>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</si>
  <si>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</si>
  <si>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</si>
  <si>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</si>
  <si>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</si>
  <si>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</si>
  <si>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</si>
  <si>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</si>
  <si>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</si>
  <si>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</si>
  <si>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</si>
  <si>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</si>
  <si>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</si>
  <si>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</si>
  <si>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</si>
  <si>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</si>
  <si>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</si>
  <si>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</si>
  <si>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</si>
  <si>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</si>
  <si>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</si>
  <si>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</si>
  <si>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</si>
  <si>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</si>
  <si>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</si>
  <si>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</si>
  <si>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</si>
  <si>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</si>
  <si>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</si>
  <si>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</si>
  <si>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</si>
  <si>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</si>
  <si>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</si>
  <si>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</si>
  <si>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</si>
  <si>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</si>
  <si>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</si>
  <si>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</si>
  <si>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</si>
  <si>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</si>
  <si>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</si>
  <si>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</si>
  <si>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</si>
  <si>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</si>
  <si>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</si>
  <si>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</si>
  <si>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</si>
  <si>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</si>
  <si>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</si>
  <si>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</si>
  <si>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</si>
  <si>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</si>
  <si>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</si>
  <si>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</si>
  <si>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</si>
  <si>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</si>
  <si>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</si>
  <si>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</si>
  <si>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</si>
  <si>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</si>
  <si>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</si>
  <si>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</si>
  <si>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</si>
  <si>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</si>
  <si>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</si>
  <si>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</si>
  <si>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</si>
  <si>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</si>
  <si>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</si>
  <si>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</si>
  <si>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</si>
  <si>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</si>
  <si>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</si>
  <si>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</si>
  <si>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</si>
  <si>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</si>
  <si>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</si>
  <si>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</si>
  <si>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</si>
  <si>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</si>
  <si>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</si>
  <si>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</si>
  <si>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</si>
  <si>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</si>
  <si>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</si>
  <si>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</si>
  <si>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</si>
  <si>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</si>
  <si>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</si>
  <si>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</si>
  <si>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</si>
  <si>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</si>
  <si>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</si>
  <si>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</si>
  <si>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</si>
  <si>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</si>
  <si>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</si>
  <si>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</si>
  <si>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</si>
  <si>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</si>
  <si>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</si>
  <si>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</si>
  <si>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</si>
  <si>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</si>
  <si>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</si>
  <si>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</si>
  <si>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</si>
  <si>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</si>
  <si>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</si>
  <si>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</si>
  <si>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</si>
  <si>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</si>
  <si>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</si>
  <si>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</si>
  <si>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</si>
  <si>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</si>
  <si>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</si>
  <si>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</si>
  <si>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</si>
  <si>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</si>
  <si>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</si>
  <si>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</si>
  <si>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</si>
  <si>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</si>
  <si>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</si>
  <si>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</si>
  <si>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</si>
  <si>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</si>
  <si>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</si>
  <si>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</si>
  <si>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</si>
  <si>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</si>
  <si>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</si>
  <si>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</si>
  <si>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</si>
  <si>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</si>
  <si>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</si>
  <si>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</si>
  <si>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</si>
  <si>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</si>
  <si>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</si>
  <si>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</si>
  <si>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</si>
  <si>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</si>
  <si>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</si>
  <si>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</si>
  <si>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</si>
  <si>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</si>
  <si>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</si>
  <si>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</si>
  <si>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</si>
  <si>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</si>
  <si>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</si>
  <si>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</si>
  <si>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</si>
  <si>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</si>
  <si>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</si>
  <si>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</si>
  <si>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</si>
  <si>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</si>
  <si>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</si>
  <si>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</si>
  <si>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</si>
  <si>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</si>
  <si>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</si>
  <si>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</si>
  <si>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</si>
  <si>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</si>
  <si>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</si>
  <si>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</si>
  <si>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</si>
  <si>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</si>
  <si>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</si>
  <si>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</si>
  <si>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</si>
  <si>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</si>
  <si>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</si>
  <si>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</si>
  <si>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</si>
  <si>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</si>
  <si>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</si>
  <si>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</si>
  <si>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</si>
  <si>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</si>
  <si>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</si>
  <si>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</si>
  <si>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</si>
  <si>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</si>
  <si>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</si>
  <si>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</si>
  <si>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</si>
  <si>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</si>
  <si>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</si>
  <si>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</si>
  <si>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</si>
  <si>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</si>
  <si>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</si>
  <si>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</si>
  <si>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</si>
  <si>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</si>
  <si>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</si>
  <si>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</si>
  <si>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</si>
  <si>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</si>
  <si>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</si>
  <si>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</si>
  <si>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</si>
  <si>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</si>
  <si>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</si>
  <si>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</si>
  <si>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</si>
  <si>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</si>
  <si>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</si>
  <si>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</si>
  <si>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</si>
  <si>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</si>
  <si>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</si>
  <si>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</si>
  <si>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</si>
  <si>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</si>
  <si>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</si>
  <si>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</si>
  <si>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</si>
  <si>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</si>
  <si>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</si>
  <si>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</si>
  <si>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</si>
  <si>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</si>
  <si>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</si>
  <si>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</si>
  <si>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</si>
  <si>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</si>
  <si>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</si>
  <si>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</si>
  <si>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</si>
  <si>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</si>
  <si>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</si>
  <si>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</si>
  <si>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</si>
  <si>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</si>
  <si>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</si>
  <si>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</si>
  <si>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</si>
  <si>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</si>
  <si>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</si>
  <si>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</si>
  <si>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</si>
  <si>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</si>
  <si>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</si>
  <si>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</si>
  <si>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</si>
  <si>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</si>
  <si>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</si>
  <si>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</si>
  <si>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</si>
  <si>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</si>
  <si>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</si>
  <si>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</si>
  <si>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</si>
  <si>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</si>
  <si>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</si>
  <si>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</si>
  <si>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</si>
  <si>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</si>
  <si>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</si>
  <si>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</si>
  <si>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</si>
  <si>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</si>
  <si>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</si>
  <si>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</si>
  <si>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</si>
  <si>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</si>
  <si>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</si>
  <si>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</si>
  <si>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</si>
  <si>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</si>
  <si>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</si>
  <si>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</si>
  <si>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</si>
  <si>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</si>
  <si>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</si>
  <si>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</si>
  <si>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</si>
  <si>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</si>
  <si>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</si>
  <si>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</si>
  <si>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</si>
  <si>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</si>
  <si>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</si>
  <si>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</si>
  <si>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</si>
  <si>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</si>
  <si>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</si>
  <si>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</si>
  <si>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</si>
  <si>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</si>
  <si>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</si>
  <si>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</si>
  <si>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</si>
  <si>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</si>
  <si>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</si>
  <si>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</si>
  <si>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</si>
  <si>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</si>
  <si>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</si>
  <si>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</si>
  <si>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</si>
  <si>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</si>
  <si>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</si>
  <si>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</si>
  <si>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</si>
  <si>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</si>
  <si>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</si>
  <si>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</si>
  <si>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</si>
  <si>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</si>
  <si>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</si>
  <si>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</si>
  <si>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</si>
  <si>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</si>
  <si>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</si>
  <si>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</si>
  <si>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</si>
  <si>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</si>
  <si>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</si>
  <si>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</si>
  <si>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</si>
  <si>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</si>
  <si>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</si>
  <si>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</si>
  <si>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</si>
  <si>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</si>
  <si>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</si>
  <si>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</si>
  <si>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</si>
  <si>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</si>
  <si>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</si>
  <si>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</si>
  <si>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Marion</t>
  </si>
  <si>
    <t>1200 N. Broadway</t>
  </si>
  <si>
    <t xml:space="preserve">Salem </t>
  </si>
  <si>
    <t>Brad Detering</t>
  </si>
  <si>
    <t>618-548-0727</t>
  </si>
  <si>
    <t>618-548-8021</t>
  </si>
  <si>
    <t>2001 Issue</t>
  </si>
  <si>
    <t>2018 Bond Issue</t>
  </si>
  <si>
    <t>Buses (6 Total)</t>
  </si>
  <si>
    <t>Bus lease loan</t>
  </si>
  <si>
    <t>Kaskaskia Special Education District</t>
  </si>
  <si>
    <t>Marion Clinton Washington Counties CTES</t>
  </si>
  <si>
    <t>10-1719:  Other District Admissions ($652)</t>
  </si>
  <si>
    <t>10-1790:  PE locks &amp; uniforms ($1,326), Transcripts ($116)</t>
  </si>
  <si>
    <t>10-1999:  ICARE ($6,224), Rebates ($245), Reimbursements ($126), Tech equipment sold ($1,626), Advertisement ($4,000)</t>
  </si>
  <si>
    <t>10-3999:  Library Grant ($750)</t>
  </si>
  <si>
    <t>20-1999:  Room Rental ($2,000), Illinois Public Risk Fund Safety ($3,313), Advertisement ($3,000), Various other revenue ($418)</t>
  </si>
  <si>
    <t>40-1999:  Reimbursement for bus mileage ($439), Reimbursement for bus seat damage ($10)</t>
  </si>
  <si>
    <t>10-2190 (100):  Other Support Services - Salaries ($37,573)</t>
  </si>
  <si>
    <t>10-2190 (200):  Other Support Services - Benefits ($650)</t>
  </si>
  <si>
    <t>10-2190 (400):  Other Support Services - Supplies ($3,577)</t>
  </si>
  <si>
    <t>10-2190 (600):  Other Support Services - Other Objects ($1,216)</t>
  </si>
  <si>
    <t>30-5400 (600):  Fees ($750)</t>
  </si>
  <si>
    <t>50-2190 (200):  Other Support Services - Benefits ($954)</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</si>
  <si>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</si>
  <si>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</si>
  <si>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</si>
  <si>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</si>
  <si>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</si>
  <si>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</si>
  <si>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</si>
  <si>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ERROR on Long-Term Debt Schedule is due to the bus lease payments made from the Transportation Fund ($80,243)</t>
  </si>
  <si>
    <t>N/A</t>
  </si>
  <si>
    <t xml:space="preserve">  Salem CHSD 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</si>
</sst>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7" fontId="58" fillId="0" borderId="0" xfId="0" applyNumberFormat="1" applyFont="1"/>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180109</xdr:colOff>
          <xdr:row>1</xdr:row>
          <xdr:rowOff>2598</xdr:rowOff>
        </xdr:from>
        <xdr:to>
          <xdr:col>3</xdr:col>
          <xdr:colOff>500495</xdr:colOff>
          <xdr:row>5</xdr:row>
          <xdr:rowOff>155864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598343</xdr:colOff>
          <xdr:row>1</xdr:row>
          <xdr:rowOff>2598</xdr:rowOff>
        </xdr:from>
        <xdr:to>
          <xdr:col>6</xdr:col>
          <xdr:colOff>309130</xdr:colOff>
          <xdr:row>5</xdr:row>
          <xdr:rowOff>155864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591416</xdr:colOff>
          <xdr:row>1</xdr:row>
          <xdr:rowOff>2598</xdr:rowOff>
        </xdr:from>
        <xdr:to>
          <xdr:col>8</xdr:col>
          <xdr:colOff>302202</xdr:colOff>
          <xdr:row>5</xdr:row>
          <xdr:rowOff>155864</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7"/>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13058600016</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2061</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2094</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2062</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62881</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2063</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t="s">
        <v>2058</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c r="B23" s="2104"/>
      <c r="C23" s="2104"/>
      <c r="D23" s="2104"/>
      <c r="E23" s="2104"/>
      <c r="F23" s="2104"/>
      <c r="G23" s="2104"/>
      <c r="H23" s="2105"/>
      <c r="T23" s="2043" t="s">
        <v>2059</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62881</v>
      </c>
      <c r="B25" s="2081"/>
      <c r="C25" s="2081"/>
      <c r="D25" s="2081"/>
      <c r="E25" s="2081"/>
      <c r="F25" s="2081"/>
      <c r="G25" s="2081"/>
      <c r="H25" s="2082"/>
      <c r="I25" s="110"/>
      <c r="J25" s="2147"/>
      <c r="K25" s="2147"/>
      <c r="L25" s="2147"/>
      <c r="M25" s="2147"/>
      <c r="N25" s="2147"/>
      <c r="O25" s="2147"/>
      <c r="P25" s="2147"/>
      <c r="Q25" s="2147"/>
      <c r="R25" s="2147"/>
      <c r="S25" s="2148"/>
      <c r="T25" s="2040" t="s">
        <v>2060</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2064</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2065</v>
      </c>
      <c r="B42" s="2130"/>
      <c r="C42" s="2131"/>
      <c r="D42" s="2144" t="s">
        <v>2066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55000000000000004" right="0.2" top="0.75" bottom="0.68" header="0.19" footer="0.28999999999999998"/>
  <pageSetup scale="72" firstPageNumber="65"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2336766</v>
      </c>
      <c r="C4" s="1722"/>
      <c r="D4" s="1723">
        <f>B4-C4</f>
        <v>2336766</v>
      </c>
      <c r="E4" s="1722">
        <v>2362248</v>
      </c>
      <c r="F4" s="1723">
        <f>E4-C4</f>
        <v>2362248</v>
      </c>
    </row>
    <row r="5" spans="1:8" ht="13.7" customHeight="1" x14ac:dyDescent="0.2">
      <c r="A5" s="579" t="s">
        <v>865</v>
      </c>
      <c r="B5" s="1724">
        <f>'Revenues 9-14'!D5</f>
        <v>380361</v>
      </c>
      <c r="C5" s="1664"/>
      <c r="D5" s="1725">
        <f t="shared" ref="D5:D18" si="0">B5-C5</f>
        <v>380361</v>
      </c>
      <c r="E5" s="1664">
        <v>442328</v>
      </c>
      <c r="F5" s="1725">
        <f>E5-C5</f>
        <v>442328</v>
      </c>
    </row>
    <row r="6" spans="1:8" ht="13.7" customHeight="1" x14ac:dyDescent="0.2">
      <c r="A6" s="579" t="s">
        <v>408</v>
      </c>
      <c r="B6" s="1724">
        <f>'Revenues 9-14'!E5</f>
        <v>563392</v>
      </c>
      <c r="C6" s="1664"/>
      <c r="D6" s="1725">
        <f t="shared" si="0"/>
        <v>563392</v>
      </c>
      <c r="E6" s="1664">
        <v>562636</v>
      </c>
      <c r="F6" s="1725">
        <f t="shared" ref="F6:F18" si="1">E6-C6</f>
        <v>562636</v>
      </c>
    </row>
    <row r="7" spans="1:8" ht="13.7" customHeight="1" x14ac:dyDescent="0.2">
      <c r="A7" s="579" t="s">
        <v>154</v>
      </c>
      <c r="B7" s="1724">
        <f>'Revenues 9-14'!F5</f>
        <v>246988</v>
      </c>
      <c r="C7" s="1664"/>
      <c r="D7" s="1725">
        <f t="shared" si="0"/>
        <v>246988</v>
      </c>
      <c r="E7" s="1664">
        <v>245748</v>
      </c>
      <c r="F7" s="1725">
        <f t="shared" si="1"/>
        <v>245748</v>
      </c>
    </row>
    <row r="8" spans="1:8" ht="13.7" customHeight="1" x14ac:dyDescent="0.2">
      <c r="A8" s="579" t="s">
        <v>1169</v>
      </c>
      <c r="B8" s="1724">
        <f>'Revenues 9-14'!G5</f>
        <v>98823</v>
      </c>
      <c r="C8" s="1664"/>
      <c r="D8" s="1725">
        <f t="shared" si="0"/>
        <v>98823</v>
      </c>
      <c r="E8" s="1664">
        <v>98299</v>
      </c>
      <c r="F8" s="1725">
        <f t="shared" si="1"/>
        <v>98299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84006</v>
      </c>
      <c r="C10" s="1664"/>
      <c r="D10" s="1725">
        <f t="shared" si="0"/>
        <v>84006</v>
      </c>
      <c r="E10" s="1664">
        <v>88466</v>
      </c>
      <c r="F10" s="1725">
        <f t="shared" si="1"/>
        <v>88466</v>
      </c>
    </row>
    <row r="11" spans="1:8" x14ac:dyDescent="0.2">
      <c r="A11" s="579" t="s">
        <v>406</v>
      </c>
      <c r="B11" s="1724">
        <f>'Revenues 9-14'!J5</f>
        <v>148206</v>
      </c>
      <c r="C11" s="1664"/>
      <c r="D11" s="1725">
        <f t="shared" si="0"/>
        <v>148206</v>
      </c>
      <c r="E11" s="1664">
        <v>157283</v>
      </c>
      <c r="F11" s="1725">
        <f t="shared" si="1"/>
        <v>157283</v>
      </c>
    </row>
    <row r="12" spans="1:8" ht="13.7" customHeight="1" x14ac:dyDescent="0.2">
      <c r="A12" s="579" t="s">
        <v>156</v>
      </c>
      <c r="B12" s="1724">
        <f>'Revenues 9-14'!K5</f>
        <v>49419</v>
      </c>
      <c r="C12" s="1664"/>
      <c r="D12" s="1725">
        <f t="shared" si="0"/>
        <v>49419</v>
      </c>
      <c r="E12" s="1664">
        <v>58984</v>
      </c>
      <c r="F12" s="1725">
        <f t="shared" si="1"/>
        <v>58984</v>
      </c>
    </row>
    <row r="13" spans="1:8" ht="13.7" customHeight="1" x14ac:dyDescent="0.2">
      <c r="A13" s="579" t="s">
        <v>930</v>
      </c>
      <c r="B13" s="1724">
        <f>SUM('Revenues 9-14'!C6:D6)</f>
        <v>19770</v>
      </c>
      <c r="C13" s="1664"/>
      <c r="D13" s="1725">
        <f t="shared" si="0"/>
        <v>19770</v>
      </c>
      <c r="E13" s="1664">
        <v>19668</v>
      </c>
      <c r="F13" s="1725">
        <f t="shared" si="1"/>
        <v>19668</v>
      </c>
    </row>
    <row r="14" spans="1:8" ht="13.7" customHeight="1" x14ac:dyDescent="0.2">
      <c r="A14" s="579" t="s">
        <v>407</v>
      </c>
      <c r="B14" s="1724">
        <f>SUM('Revenues 9-14'!C7:D7,'Revenues 9-14'!F7:H7)</f>
        <v>29666</v>
      </c>
      <c r="C14" s="1664"/>
      <c r="D14" s="1725">
        <f t="shared" si="0"/>
        <v>29666</v>
      </c>
      <c r="E14" s="1664">
        <v>29502</v>
      </c>
      <c r="F14" s="1725">
        <f t="shared" si="1"/>
        <v>29502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123494</v>
      </c>
      <c r="C16" s="1664"/>
      <c r="D16" s="1725">
        <f t="shared" si="0"/>
        <v>123494</v>
      </c>
      <c r="E16" s="1664">
        <v>122884</v>
      </c>
      <c r="F16" s="1725">
        <f t="shared" si="1"/>
        <v>122884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4080891</v>
      </c>
      <c r="C19" s="1726">
        <f>SUM(C4:C18)</f>
        <v>0</v>
      </c>
      <c r="D19" s="1726">
        <f>SUM(D4:D18)</f>
        <v>4080891</v>
      </c>
      <c r="E19" s="1726">
        <f>SUM(E4:E18)</f>
        <v>4188046</v>
      </c>
      <c r="F19" s="1726">
        <f>SUM(F4:F18)</f>
        <v>4188046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46" right="0.15" top="1.47" bottom="0.65" header="0.76" footer="0.28999999999999998"/>
  <pageSetup firstPageNumber="47" orientation="landscape" useFirstPageNumber="1" r:id="rId1"/>
  <headerFooter alignWithMargins="0">
    <oddHeader xml:space="preserve">&amp;CSalem Community High School District 600 </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L40" sqref="L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c r="C31" s="1734">
        <v>2576131</v>
      </c>
      <c r="D31" s="1735">
        <v>4</v>
      </c>
      <c r="E31" s="1734">
        <v>267492</v>
      </c>
      <c r="F31" s="1734"/>
      <c r="G31" s="1734"/>
      <c r="H31" s="1734">
        <v>138216</v>
      </c>
      <c r="I31" s="1736">
        <f>((E31+F31)-H31)+G31</f>
        <v>129276</v>
      </c>
      <c r="J31" s="1734">
        <v>100000</v>
      </c>
      <c r="K31" s="596"/>
    </row>
    <row r="32" spans="1:11" ht="12" customHeight="1" x14ac:dyDescent="0.2">
      <c r="A32" s="594" t="s">
        <v>2069</v>
      </c>
      <c r="B32" s="595">
        <v>42585</v>
      </c>
      <c r="C32" s="1734">
        <v>399972</v>
      </c>
      <c r="D32" s="1735">
        <v>7</v>
      </c>
      <c r="E32" s="1734">
        <v>162251</v>
      </c>
      <c r="F32" s="1734"/>
      <c r="G32" s="1734"/>
      <c r="H32" s="1734">
        <v>80243</v>
      </c>
      <c r="I32" s="1736">
        <f>((E32+F32)-H32)+G32</f>
        <v>82008</v>
      </c>
      <c r="J32" s="1734">
        <v>82008</v>
      </c>
      <c r="K32" s="596"/>
    </row>
    <row r="33" spans="1:11" ht="12" customHeight="1" x14ac:dyDescent="0.2">
      <c r="A33" s="594" t="s">
        <v>2068</v>
      </c>
      <c r="B33" s="595">
        <v>43263</v>
      </c>
      <c r="C33" s="1734">
        <v>1726200</v>
      </c>
      <c r="D33" s="1735">
        <v>1</v>
      </c>
      <c r="E33" s="1734">
        <v>1726200</v>
      </c>
      <c r="F33" s="1734"/>
      <c r="G33" s="1734"/>
      <c r="H33" s="1734">
        <v>10800</v>
      </c>
      <c r="I33" s="1736">
        <f t="shared" ref="I33:I48" si="1">((E33+F33)-H33)+G33</f>
        <v>1715400</v>
      </c>
      <c r="J33" s="1734">
        <v>1624427</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4702303</v>
      </c>
      <c r="D49" s="1742"/>
      <c r="E49" s="1736">
        <f t="shared" ref="E49:J49" si="2">SUM(E31:E48)</f>
        <v>2155943</v>
      </c>
      <c r="F49" s="1736">
        <f t="shared" si="2"/>
        <v>0</v>
      </c>
      <c r="G49" s="1736">
        <f t="shared" si="2"/>
        <v>0</v>
      </c>
      <c r="H49" s="1736">
        <f t="shared" si="2"/>
        <v>229259</v>
      </c>
      <c r="I49" s="1736">
        <f t="shared" si="2"/>
        <v>1926684</v>
      </c>
      <c r="J49" s="1736">
        <f t="shared" si="2"/>
        <v>1806435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2070</v>
      </c>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5" footer="0.2"/>
  <pageSetup scale="73" firstPageNumber="48" fitToHeight="0" orientation="landscape" useFirstPageNumber="1" r:id="rId1"/>
  <headerFooter alignWithMargins="0">
    <oddHeader xml:space="preserve">&amp;CSalem Community High School District 600 </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366</v>
      </c>
      <c r="B4" s="2328"/>
      <c r="C4" s="2328"/>
      <c r="D4" s="2328"/>
      <c r="E4" s="2309"/>
      <c r="F4" s="620"/>
      <c r="G4" s="1746"/>
      <c r="H4" s="1747"/>
      <c r="I4" s="1746"/>
      <c r="J4" s="1748"/>
      <c r="K4" s="1748"/>
    </row>
    <row r="5" spans="1:11" x14ac:dyDescent="0.2">
      <c r="A5" s="2347" t="s">
        <v>1060</v>
      </c>
      <c r="B5" s="2318"/>
      <c r="C5" s="2318"/>
      <c r="D5" s="2318"/>
      <c r="E5" s="2348"/>
      <c r="F5" s="622" t="s">
        <v>843</v>
      </c>
      <c r="G5" s="1749"/>
      <c r="H5" s="1744">
        <v>29666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6100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19880</v>
      </c>
    </row>
    <row r="10" spans="1:11" x14ac:dyDescent="0.2">
      <c r="A10" s="2347" t="s">
        <v>1790</v>
      </c>
      <c r="B10" s="2318"/>
      <c r="C10" s="2318"/>
      <c r="D10" s="2318"/>
      <c r="E10" s="2349"/>
      <c r="F10" s="633" t="s">
        <v>857</v>
      </c>
      <c r="G10" s="1753"/>
      <c r="H10" s="1754"/>
      <c r="I10" s="1744"/>
      <c r="J10" s="1745"/>
      <c r="K10" s="1745"/>
    </row>
    <row r="11" spans="1:11" x14ac:dyDescent="0.2">
      <c r="A11" s="2347" t="s">
        <v>159</v>
      </c>
      <c r="B11" s="2318"/>
      <c r="C11" s="2318"/>
      <c r="D11" s="2318"/>
      <c r="E11" s="2348"/>
      <c r="F11" s="622" t="s">
        <v>847</v>
      </c>
      <c r="G11" s="1749"/>
      <c r="H11" s="1744"/>
      <c r="I11" s="1744"/>
      <c r="J11" s="1745"/>
      <c r="K11" s="1751"/>
    </row>
    <row r="12" spans="1:11" ht="13.5" thickBot="1" x14ac:dyDescent="0.25">
      <c r="A12" s="2335" t="s">
        <v>899</v>
      </c>
      <c r="B12" s="2336"/>
      <c r="C12" s="2336"/>
      <c r="D12" s="2336"/>
      <c r="E12" s="2337"/>
      <c r="F12" s="1433"/>
      <c r="G12" s="1755">
        <f>SUM(G5:G11)</f>
        <v>0</v>
      </c>
      <c r="H12" s="1755">
        <f>SUM(H5:H11)</f>
        <v>29666</v>
      </c>
      <c r="I12" s="1755">
        <f>SUM(I5:I11)</f>
        <v>0</v>
      </c>
      <c r="J12" s="1755">
        <f>SUM(J5:J11)</f>
        <v>0</v>
      </c>
      <c r="K12" s="1755">
        <f>SUM(K5:K11)</f>
        <v>25980</v>
      </c>
    </row>
    <row r="13" spans="1:11" ht="13.5" thickTop="1" x14ac:dyDescent="0.2">
      <c r="A13" s="2329" t="s">
        <v>367</v>
      </c>
      <c r="B13" s="2330"/>
      <c r="C13" s="2330"/>
      <c r="D13" s="2330"/>
      <c r="E13" s="2331"/>
      <c r="F13" s="634"/>
      <c r="G13" s="1756"/>
      <c r="H13" s="1757"/>
      <c r="I13" s="1758"/>
      <c r="J13" s="1758"/>
      <c r="K13" s="1758"/>
    </row>
    <row r="14" spans="1:11" x14ac:dyDescent="0.2">
      <c r="A14" s="2353" t="s">
        <v>453</v>
      </c>
      <c r="B14" s="2353"/>
      <c r="C14" s="2353"/>
      <c r="D14" s="2353"/>
      <c r="E14" s="2354"/>
      <c r="F14" s="635" t="s">
        <v>849</v>
      </c>
      <c r="G14" s="1753"/>
      <c r="H14" s="1744">
        <v>29666</v>
      </c>
      <c r="I14" s="1749"/>
      <c r="J14" s="1751"/>
      <c r="K14" s="1745">
        <v>25980</v>
      </c>
    </row>
    <row r="15" spans="1:11" x14ac:dyDescent="0.2">
      <c r="A15" s="2318" t="s">
        <v>4</v>
      </c>
      <c r="B15" s="2318"/>
      <c r="C15" s="2318"/>
      <c r="D15" s="2318"/>
      <c r="E15" s="2348"/>
      <c r="F15" s="635" t="s">
        <v>850</v>
      </c>
      <c r="G15" s="1749"/>
      <c r="H15" s="1744"/>
      <c r="I15" s="1744"/>
      <c r="J15" s="1745"/>
      <c r="K15" s="1745"/>
    </row>
    <row r="16" spans="1:11" x14ac:dyDescent="0.2">
      <c r="A16" s="2318" t="s">
        <v>295</v>
      </c>
      <c r="B16" s="2318"/>
      <c r="C16" s="2318"/>
      <c r="D16" s="2318"/>
      <c r="E16" s="2348"/>
      <c r="F16" s="635" t="s">
        <v>917</v>
      </c>
      <c r="G16" s="1750"/>
      <c r="H16" s="1746"/>
      <c r="I16" s="1746"/>
      <c r="J16" s="1748"/>
      <c r="K16" s="1748"/>
    </row>
    <row r="17" spans="1:15" x14ac:dyDescent="0.2">
      <c r="A17" s="2342" t="s">
        <v>929</v>
      </c>
      <c r="B17" s="2342"/>
      <c r="C17" s="2342"/>
      <c r="D17" s="2342"/>
      <c r="E17" s="2343"/>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38" t="s">
        <v>633</v>
      </c>
      <c r="B21" s="2338"/>
      <c r="C21" s="2338"/>
      <c r="D21" s="2338"/>
      <c r="E21" s="2338"/>
      <c r="F21" s="1434"/>
      <c r="G21" s="1760"/>
      <c r="H21" s="1764"/>
      <c r="I21" s="1764"/>
      <c r="J21" s="1765">
        <f>SUM(J18:J20)</f>
        <v>0</v>
      </c>
      <c r="K21" s="1761"/>
    </row>
    <row r="22" spans="1:15" ht="13.5" thickTop="1" x14ac:dyDescent="0.2">
      <c r="A22" s="2318" t="s">
        <v>1792</v>
      </c>
      <c r="B22" s="2318"/>
      <c r="C22" s="2318"/>
      <c r="D22" s="2318"/>
      <c r="E22" s="2348"/>
      <c r="F22" s="635" t="s">
        <v>857</v>
      </c>
      <c r="G22" s="1753"/>
      <c r="H22" s="1744"/>
      <c r="I22" s="1744"/>
      <c r="J22" s="1766"/>
      <c r="K22" s="1745"/>
    </row>
    <row r="23" spans="1:15" ht="13.5" thickBot="1" x14ac:dyDescent="0.25">
      <c r="A23" s="2339" t="s">
        <v>900</v>
      </c>
      <c r="B23" s="2338"/>
      <c r="C23" s="2338"/>
      <c r="D23" s="2338"/>
      <c r="E23" s="2338"/>
      <c r="F23" s="1436"/>
      <c r="G23" s="1755">
        <f>SUM(G14:G16,G21,G22)</f>
        <v>0</v>
      </c>
      <c r="H23" s="1755">
        <f>SUM(H14:H16,H21,H22)</f>
        <v>29666</v>
      </c>
      <c r="I23" s="1755">
        <f>SUM(I14:I16,I21,I22)</f>
        <v>0</v>
      </c>
      <c r="J23" s="1755">
        <f>SUM(J14:J16,J21,J22)</f>
        <v>0</v>
      </c>
      <c r="K23" s="1755">
        <f>SUM(K14:K16,K21,K22)</f>
        <v>25980</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ageMargins left="0.48" right="0.17" top="0.81" bottom="0.4" header="0.28999999999999998" footer="0.2"/>
  <pageSetup scale="82" firstPageNumber="49" orientation="landscape" useFirstPageNumber="1" r:id="rId1"/>
  <headerFooter>
    <oddHeader xml:space="preserve">&amp;C&amp;"Arial,Bold"Salem Community High School District 600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103413</v>
      </c>
      <c r="D5" s="1770"/>
      <c r="E5" s="1770"/>
      <c r="F5" s="1765">
        <f>(C5+D5)-E5</f>
        <v>103413</v>
      </c>
      <c r="G5" s="676"/>
      <c r="H5" s="680"/>
      <c r="I5" s="680"/>
      <c r="J5" s="680"/>
      <c r="K5" s="637"/>
      <c r="L5" s="1442">
        <f>F5-K5</f>
        <v>103413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13115390</v>
      </c>
      <c r="D8" s="1771">
        <v>622353</v>
      </c>
      <c r="E8" s="1771"/>
      <c r="F8" s="1765">
        <f>(C8+D8)-E8</f>
        <v>13737743</v>
      </c>
      <c r="G8" s="681">
        <v>50</v>
      </c>
      <c r="H8" s="619">
        <v>6107550</v>
      </c>
      <c r="I8" s="619">
        <v>240440</v>
      </c>
      <c r="J8" s="619"/>
      <c r="K8" s="1442">
        <f>(H8+I8)-J8</f>
        <v>6347990</v>
      </c>
      <c r="L8" s="1442">
        <f>F8-K8</f>
        <v>7389753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1146257</v>
      </c>
      <c r="D10" s="1772">
        <v>66059</v>
      </c>
      <c r="E10" s="1772"/>
      <c r="F10" s="1773">
        <f>(C10+D10)-E10</f>
        <v>1212316</v>
      </c>
      <c r="G10" s="681">
        <v>20</v>
      </c>
      <c r="H10" s="683">
        <v>884797</v>
      </c>
      <c r="I10" s="683">
        <v>21247</v>
      </c>
      <c r="J10" s="683"/>
      <c r="K10" s="1442">
        <f>(H10+I10)-J10</f>
        <v>906044</v>
      </c>
      <c r="L10" s="1442">
        <f>F10-K10</f>
        <v>306272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979526</v>
      </c>
      <c r="D12" s="1771">
        <v>135608</v>
      </c>
      <c r="E12" s="1771">
        <v>208890</v>
      </c>
      <c r="F12" s="1765">
        <f>(C12+D12)-E12</f>
        <v>906244</v>
      </c>
      <c r="G12" s="681">
        <v>10</v>
      </c>
      <c r="H12" s="619">
        <v>689920</v>
      </c>
      <c r="I12" s="619">
        <v>84157</v>
      </c>
      <c r="J12" s="619">
        <v>208890</v>
      </c>
      <c r="K12" s="1442">
        <f>(H12+I12)-J12</f>
        <v>565187</v>
      </c>
      <c r="L12" s="1442">
        <f>F12-K12</f>
        <v>341057</v>
      </c>
    </row>
    <row r="13" spans="1:14" ht="14.25" thickTop="1" thickBot="1" x14ac:dyDescent="0.25">
      <c r="A13" s="684" t="s">
        <v>1112</v>
      </c>
      <c r="B13" s="679">
        <v>252</v>
      </c>
      <c r="C13" s="1771">
        <v>845247</v>
      </c>
      <c r="D13" s="1771"/>
      <c r="E13" s="1771"/>
      <c r="F13" s="1765">
        <f>(C13+D13)-E13</f>
        <v>845247</v>
      </c>
      <c r="G13" s="681">
        <v>5</v>
      </c>
      <c r="H13" s="619">
        <v>576894</v>
      </c>
      <c r="I13" s="619">
        <v>98149</v>
      </c>
      <c r="J13" s="619"/>
      <c r="K13" s="1442">
        <f>(H13+I13)-J13</f>
        <v>675043</v>
      </c>
      <c r="L13" s="1442">
        <f>F13-K13</f>
        <v>170204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16189833</v>
      </c>
      <c r="D16" s="1765">
        <f>SUM(D3,D5:D6,D8:D10,D12:D15)</f>
        <v>824020</v>
      </c>
      <c r="E16" s="1765">
        <f>SUM(E3,E5:E6,E8:E10,E12:E15)</f>
        <v>208890</v>
      </c>
      <c r="F16" s="1765">
        <f>SUM(F3,F5:F6,F8:F10,F12:F15)</f>
        <v>16804963</v>
      </c>
      <c r="G16" s="681"/>
      <c r="H16" s="1435">
        <f>SUM(H3,H6,H8:H10,H12:H14,)</f>
        <v>8259161</v>
      </c>
      <c r="I16" s="1435">
        <f>SUM(I3,I6,I8:I10,I12:I14,)</f>
        <v>443993</v>
      </c>
      <c r="J16" s="1435">
        <f>SUM(J3,J6,J8:J10,J12:J14,)</f>
        <v>208890</v>
      </c>
      <c r="K16" s="1435">
        <f>(H16+I16)-J16</f>
        <v>8494264</v>
      </c>
      <c r="L16" s="1435">
        <f>F16-K16</f>
        <v>8310699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443993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37" right="0.17" top="1.1000000000000001" bottom="0.66" header="0.56999999999999995" footer="0.33"/>
  <pageSetup scale="80" firstPageNumber="50" orientation="landscape" useFirstPageNumber="1" r:id="rId1"/>
  <headerFooter alignWithMargins="0">
    <oddHeader xml:space="preserve">&amp;C Salem Community High School District 600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J188" sqref="J18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6268300</v>
      </c>
      <c r="G8" s="701"/>
    </row>
    <row r="9" spans="1:9" x14ac:dyDescent="0.2">
      <c r="A9" s="705" t="s">
        <v>457</v>
      </c>
      <c r="B9" s="706" t="s">
        <v>1848</v>
      </c>
      <c r="C9" s="707"/>
      <c r="D9" s="705" t="s">
        <v>498</v>
      </c>
      <c r="E9" s="704"/>
      <c r="F9" s="1775">
        <f>'Expenditures 15-22'!K151</f>
        <v>1103376</v>
      </c>
      <c r="G9" s="708"/>
    </row>
    <row r="10" spans="1:9" x14ac:dyDescent="0.2">
      <c r="A10" s="705" t="s">
        <v>496</v>
      </c>
      <c r="B10" s="706" t="s">
        <v>1849</v>
      </c>
      <c r="C10" s="707"/>
      <c r="D10" s="705" t="s">
        <v>498</v>
      </c>
      <c r="E10" s="704"/>
      <c r="F10" s="1775">
        <f>'Expenditures 15-22'!K174</f>
        <v>558331</v>
      </c>
      <c r="G10" s="708"/>
    </row>
    <row r="11" spans="1:9" x14ac:dyDescent="0.2">
      <c r="A11" s="705" t="s">
        <v>458</v>
      </c>
      <c r="B11" s="706" t="s">
        <v>1850</v>
      </c>
      <c r="C11" s="707"/>
      <c r="D11" s="705" t="s">
        <v>498</v>
      </c>
      <c r="E11" s="704"/>
      <c r="F11" s="1775">
        <f>'Expenditures 15-22'!K210</f>
        <v>313229</v>
      </c>
      <c r="G11" s="708"/>
    </row>
    <row r="12" spans="1:9" x14ac:dyDescent="0.2">
      <c r="A12" s="705" t="s">
        <v>459</v>
      </c>
      <c r="B12" s="706" t="s">
        <v>1851</v>
      </c>
      <c r="C12" s="707"/>
      <c r="D12" s="705" t="s">
        <v>498</v>
      </c>
      <c r="E12" s="704"/>
      <c r="F12" s="1775">
        <f>'Expenditures 15-22'!K295</f>
        <v>255719</v>
      </c>
      <c r="G12" s="708"/>
    </row>
    <row r="13" spans="1:9" x14ac:dyDescent="0.2">
      <c r="A13" s="705" t="s">
        <v>106</v>
      </c>
      <c r="B13" s="706" t="s">
        <v>1852</v>
      </c>
      <c r="C13" s="707"/>
      <c r="D13" s="705" t="s">
        <v>498</v>
      </c>
      <c r="E13" s="704"/>
      <c r="F13" s="1775">
        <f>'Expenditures 15-22'!K342</f>
        <v>148675</v>
      </c>
      <c r="G13" s="709"/>
    </row>
    <row r="14" spans="1:9" ht="12" customHeight="1" thickBot="1" x14ac:dyDescent="0.25">
      <c r="A14" s="1443"/>
      <c r="B14" s="1444"/>
      <c r="C14" s="1445"/>
      <c r="D14" s="1446" t="s">
        <v>498</v>
      </c>
      <c r="E14" s="1447" t="s">
        <v>952</v>
      </c>
      <c r="F14" s="1776">
        <f>SUM(F8:F13)</f>
        <v>8647630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434966</v>
      </c>
      <c r="G53" s="701"/>
    </row>
    <row r="54" spans="1:7" x14ac:dyDescent="0.2">
      <c r="A54" s="705" t="s">
        <v>456</v>
      </c>
      <c r="B54" s="705" t="s">
        <v>1459</v>
      </c>
      <c r="C54" s="724" t="s">
        <v>975</v>
      </c>
      <c r="D54" s="720" t="s">
        <v>1086</v>
      </c>
      <c r="E54" s="704"/>
      <c r="F54" s="1782">
        <f>'Expenditures 15-22'!G114</f>
        <v>59189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762769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149016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80243</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1486183</v>
      </c>
      <c r="G77" s="701"/>
    </row>
    <row r="78" spans="1:9" s="728" customFormat="1" ht="12" customHeight="1" thickTop="1" thickBot="1" x14ac:dyDescent="0.25">
      <c r="A78" s="1450"/>
      <c r="B78" s="1448"/>
      <c r="C78" s="1445"/>
      <c r="D78" s="1449" t="s">
        <v>2012</v>
      </c>
      <c r="E78" s="1447"/>
      <c r="F78" s="1788">
        <f>(F14-F77)</f>
        <v>7161447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615.70000000000005</v>
      </c>
      <c r="G79" s="733"/>
      <c r="H79" s="705"/>
      <c r="I79" s="705"/>
    </row>
    <row r="80" spans="1:9" s="728" customFormat="1" ht="12" customHeight="1" thickBot="1" x14ac:dyDescent="0.25">
      <c r="A80" s="1452"/>
      <c r="B80" s="1448"/>
      <c r="C80" s="1445"/>
      <c r="D80" s="1449" t="s">
        <v>2013</v>
      </c>
      <c r="E80" s="1447" t="s">
        <v>952</v>
      </c>
      <c r="F80" s="1790">
        <f>IF(F79&gt;0,F78/F79," Complete Line 79")</f>
        <v>11631.390287477667</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155903</v>
      </c>
      <c r="G95" s="745"/>
    </row>
    <row r="96" spans="1:7" x14ac:dyDescent="0.2">
      <c r="A96" s="741" t="s">
        <v>139</v>
      </c>
      <c r="B96" s="741" t="s">
        <v>174</v>
      </c>
      <c r="C96" s="743">
        <v>1700</v>
      </c>
      <c r="D96" s="751" t="str">
        <f>'Revenues 9-14'!A82</f>
        <v>Total District/School Activity Income</v>
      </c>
      <c r="E96" s="739"/>
      <c r="F96" s="1793">
        <f>SUM('Revenues 9-14'!C82,'Revenues 9-14'!D82)</f>
        <v>71884</v>
      </c>
      <c r="G96" s="745"/>
    </row>
    <row r="97" spans="1:7" x14ac:dyDescent="0.2">
      <c r="A97" s="741" t="s">
        <v>456</v>
      </c>
      <c r="B97" s="741" t="s">
        <v>175</v>
      </c>
      <c r="C97" s="743">
        <f>'Revenues 9-14'!B84</f>
        <v>1811</v>
      </c>
      <c r="D97" s="744" t="str">
        <f>'Revenues 9-14'!A84</f>
        <v>Rentals - Regular Textbooks</v>
      </c>
      <c r="E97" s="739"/>
      <c r="F97" s="1793">
        <f>'Revenues 9-14'!C84</f>
        <v>39296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300819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3727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1609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19880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104505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136007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189594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31269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31362</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26743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9193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32296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253099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1457936</v>
      </c>
    </row>
    <row r="176" spans="1:7" ht="12" customHeight="1" x14ac:dyDescent="0.2">
      <c r="A176" s="1443"/>
      <c r="B176" s="1453"/>
      <c r="C176" s="1454"/>
      <c r="D176" s="1455" t="s">
        <v>2014</v>
      </c>
      <c r="E176" s="1456"/>
      <c r="F176" s="1793">
        <f>'PCTC-OEPP 27-28'!F78-F175</f>
        <v>5703511</v>
      </c>
    </row>
    <row r="177" spans="1:9" ht="12" customHeight="1" x14ac:dyDescent="0.2">
      <c r="A177" s="1443"/>
      <c r="B177" s="1453"/>
      <c r="C177" s="1454"/>
      <c r="D177" s="1455" t="s">
        <v>1794</v>
      </c>
      <c r="E177" s="1456"/>
      <c r="F177" s="1793">
        <f>'Cap Outlay Deprec 26'!I18</f>
        <v>443993</v>
      </c>
    </row>
    <row r="178" spans="1:9" ht="12" customHeight="1" x14ac:dyDescent="0.2">
      <c r="A178" s="1443"/>
      <c r="B178" s="1453"/>
      <c r="C178" s="1454"/>
      <c r="D178" s="1455" t="s">
        <v>2015</v>
      </c>
      <c r="E178" s="1456"/>
      <c r="F178" s="1793">
        <f>F176+F177</f>
        <v>6147504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615.70000000000005</v>
      </c>
      <c r="G179" s="763"/>
      <c r="I179" s="701"/>
    </row>
    <row r="180" spans="1:9" ht="12" customHeight="1" thickBot="1" x14ac:dyDescent="0.25">
      <c r="A180" s="1443"/>
      <c r="B180" s="1457"/>
      <c r="C180" s="1454"/>
      <c r="D180" s="1455" t="s">
        <v>2017</v>
      </c>
      <c r="E180" s="1456" t="s">
        <v>1528</v>
      </c>
      <c r="F180" s="1798">
        <f>F178/F179</f>
        <v>9984.5769043365272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49" right="0.2" top="0.84" bottom="0.63" header="0.54" footer="0.31"/>
  <pageSetup scale="72" firstPageNumber="70" orientation="portrait" useFirstPageNumber="1" r:id="rId2"/>
  <headerFooter differentOddEven="1" alignWithMargins="0">
    <oddHeader xml:space="preserve">&amp;CSalem Community High School District 600  </oddHeader>
    <oddFooter>&amp;C&amp;14- &amp;P -</oddFooter>
    <evenHeader xml:space="preserve">&amp;CSalem Community High School District 600 </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A19" sqref="A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5" t="s">
        <v>2093</v>
      </c>
      <c r="B18" s="1907"/>
      <c r="C18" s="2034" t="s">
        <v>2093</v>
      </c>
      <c r="D18" s="1885"/>
      <c r="E18" s="1905">
        <f t="shared" ref="E18:E33" si="0">IF(D18&lt;25000,D18,"25,000")</f>
        <v>0</v>
      </c>
      <c r="F18" s="1905" t="str">
        <f t="shared" ref="F18:F3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0</v>
      </c>
      <c r="E35" s="1892">
        <f>SUM(E18:E34)</f>
        <v>0</v>
      </c>
      <c r="F35" s="1893">
        <f>SUM(F18:F34)</f>
        <v>0</v>
      </c>
    </row>
  </sheetData>
  <sheetProtection selectLockedCells="1"/>
  <mergeCells count="6">
    <mergeCell ref="A15:F15"/>
    <mergeCell ref="A4:F5"/>
    <mergeCell ref="A7:F7"/>
    <mergeCell ref="A10:F10"/>
    <mergeCell ref="A11:F11"/>
    <mergeCell ref="A13:F13"/>
  </mergeCells>
  <pageMargins left="0.4" right="0.2" top="0.61" bottom="0.25" header="0.37" footer="0.3"/>
  <pageSetup scale="80" firstPageNumber="72" fitToHeight="0" orientation="landscape" useFirstPageNumber="1" r:id="rId1"/>
  <headerFooter>
    <oddHeader xml:space="preserve">&amp;CSalem Community High School District 600 </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148291</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29636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4081517</v>
      </c>
      <c r="F19" s="1802"/>
      <c r="G19" s="1804">
        <f>'Expenditures 15-22'!K33-SUM('Expenditures 15-22'!G33,'Expenditures 15-22'!I33)+'Expenditures 15-22'!D229</f>
        <v>4081517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356052</v>
      </c>
      <c r="F21" s="1805"/>
      <c r="G21" s="1808">
        <f>'Expenditures 15-22'!K42-SUM('Expenditures 15-22'!G42,'Expenditures 15-22'!I42)+'Expenditures 15-22'!K120-SUM('Expenditures 15-22'!G120,'Expenditures 15-22'!I120)+'Expenditures 15-22'!K180-SUM('Expenditures 15-22'!G180,'Expenditures 15-22'!I180)+'Expenditures 15-22'!D238</f>
        <v>356052</v>
      </c>
      <c r="H21" s="817"/>
      <c r="I21" s="157"/>
    </row>
    <row r="22" spans="1:9" s="542" customFormat="1" ht="12" customHeight="1" x14ac:dyDescent="0.2">
      <c r="A22" s="824" t="s">
        <v>560</v>
      </c>
      <c r="B22" s="825"/>
      <c r="C22" s="823">
        <v>2200</v>
      </c>
      <c r="D22" s="1805"/>
      <c r="E22" s="1807">
        <f>'Expenditures 15-22'!K47-SUM('Expenditures 15-22'!G47,'Expenditures 15-22'!I47)+'Expenditures 15-22'!D243</f>
        <v>107072</v>
      </c>
      <c r="F22" s="1805"/>
      <c r="G22" s="1808">
        <f>'Expenditures 15-22'!K47-SUM('Expenditures 15-22'!G47,'Expenditures 15-22'!I47)+'Expenditures 15-22'!D243</f>
        <v>107072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378908</v>
      </c>
      <c r="F23" s="1805"/>
      <c r="G23" s="1807">
        <f>'Expenditures 15-22'!K53-SUM('Expenditures 15-22'!G53,'Expenditures 15-22'!I53)+'Expenditures 15-22'!D257+'Expenditures 15-22'!K330-SUM('Expenditures 15-22'!G330,'Expenditures 15-22'!I330)</f>
        <v>378908</v>
      </c>
      <c r="H23" s="817"/>
      <c r="I23" s="157"/>
    </row>
    <row r="24" spans="1:9" s="542" customFormat="1" ht="12" customHeight="1" x14ac:dyDescent="0.2">
      <c r="A24" s="824" t="s">
        <v>562</v>
      </c>
      <c r="B24" s="825"/>
      <c r="C24" s="823">
        <v>2400</v>
      </c>
      <c r="D24" s="1805"/>
      <c r="E24" s="1807">
        <f>'Expenditures 15-22'!K57-SUM('Expenditures 15-22'!G57,'Expenditures 15-22'!I57)+'Expenditures 15-22'!D261</f>
        <v>287433</v>
      </c>
      <c r="F24" s="1805"/>
      <c r="G24" s="1808">
        <f>'Expenditures 15-22'!K57-SUM('Expenditures 15-22'!G57,'Expenditures 15-22'!I57)+'Expenditures 15-22'!D261</f>
        <v>287433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66054</v>
      </c>
      <c r="E27" s="1807">
        <f>E8</f>
        <v>0</v>
      </c>
      <c r="F27" s="1807">
        <f>'Expenditures 15-22'!K60-SUM('Expenditures 15-22'!G60,'Expenditures 15-22'!I60)+'Expenditures 15-22'!D264-E8</f>
        <v>66054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875025</v>
      </c>
      <c r="F28" s="1809">
        <f>'Expenditures 15-22'!K61-SUM('Expenditures 15-22'!G61,'Expenditures 15-22'!I61)+'Expenditures 15-22'!K124-SUM('Expenditures 15-22'!G124,'Expenditures 15-22'!I124)+'Expenditures 15-22'!D266-E9</f>
        <v>875025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249907</v>
      </c>
      <c r="F29" s="1805"/>
      <c r="G29" s="1808">
        <f>'Expenditures 15-22'!K62-SUM('Expenditures 15-22'!G62,'Expenditures 15-22'!I62)+'Expenditures 15-22'!K125-SUM('Expenditures 15-22'!G125,'Expenditures 15-22'!I125)+'Expenditures 15-22'!K182-SUM('Expenditures 15-22'!G182,'Expenditures 15-22'!I182)+'Expenditures 15-22'!D267</f>
        <v>249907</v>
      </c>
      <c r="H29" s="815"/>
    </row>
    <row r="30" spans="1:9" ht="12" customHeight="1" x14ac:dyDescent="0.2">
      <c r="A30" s="824" t="s">
        <v>100</v>
      </c>
      <c r="B30" s="827"/>
      <c r="C30" s="823">
        <v>2560</v>
      </c>
      <c r="D30" s="1805"/>
      <c r="E30" s="1807">
        <f>'Expenditures 15-22'!K63-SUM('Expenditures 15-22'!G63,'Expenditures 15-22'!I63)+'Expenditures 15-22'!D268-E10</f>
        <v>198304</v>
      </c>
      <c r="F30" s="1805"/>
      <c r="G30" s="1807">
        <f>'Expenditures 15-22'!K63-SUM('Expenditures 15-22'!G63,'Expenditures 15-22'!I63)+'Expenditures 15-22'!D268-E10</f>
        <v>198304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29'!F35</f>
        <v>0</v>
      </c>
      <c r="F40" s="1805"/>
      <c r="G40" s="1809">
        <f>-'Contracts Paid in CY 29'!F35</f>
        <v>0</v>
      </c>
    </row>
    <row r="41" spans="1:7" ht="12" customHeight="1" x14ac:dyDescent="0.2">
      <c r="A41" s="828" t="s">
        <v>155</v>
      </c>
      <c r="B41" s="829"/>
      <c r="C41" s="830"/>
      <c r="D41" s="1809">
        <f>SUM(D19:D39)</f>
        <v>66054</v>
      </c>
      <c r="E41" s="1809">
        <f>SUM(E19:E40)</f>
        <v>6534218</v>
      </c>
      <c r="F41" s="1809">
        <f>SUM(F19:F39)</f>
        <v>941079</v>
      </c>
      <c r="G41" s="1809">
        <f>SUM(G19:G40)</f>
        <v>5659193</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66054</v>
      </c>
      <c r="F43" s="1458" t="s">
        <v>470</v>
      </c>
      <c r="G43" s="1810">
        <f>F41</f>
        <v>941079</v>
      </c>
    </row>
    <row r="44" spans="1:7" ht="12" customHeight="1" x14ac:dyDescent="0.2">
      <c r="A44" s="817"/>
      <c r="B44" s="157"/>
      <c r="C44" s="831"/>
      <c r="D44" s="1458" t="s">
        <v>471</v>
      </c>
      <c r="E44" s="1810">
        <f>E41</f>
        <v>6534218</v>
      </c>
      <c r="F44" s="1458" t="s">
        <v>471</v>
      </c>
      <c r="G44" s="1810">
        <f>G41</f>
        <v>5659193</v>
      </c>
    </row>
    <row r="45" spans="1:7" ht="12" customHeight="1" x14ac:dyDescent="0.2">
      <c r="A45" s="817"/>
      <c r="B45" s="157"/>
      <c r="C45" s="157"/>
      <c r="D45" s="1459" t="s">
        <v>999</v>
      </c>
      <c r="E45" s="1811">
        <f>(E43/E44)</f>
        <v>1.0108937289818001E-2</v>
      </c>
      <c r="F45" s="1459" t="s">
        <v>999</v>
      </c>
      <c r="G45" s="1811">
        <f>(G43/G44)</f>
        <v>0.1662920844014332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73" orientation="landscape" useFirstPageNumber="1" r:id="rId1"/>
  <headerFooter alignWithMargins="0">
    <oddHeader xml:space="preserve">&amp;C&amp;"Arial,Bold"Salem Community High School District 600 
 </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5"/>
      <c r="N5" s="1855"/>
      <c r="O5" s="1855"/>
    </row>
    <row r="6" spans="1:15" ht="12" customHeight="1" x14ac:dyDescent="0.25">
      <c r="A6" s="1480"/>
      <c r="B6" s="1481"/>
      <c r="C6" s="2403" t="str">
        <f>COVER!A17</f>
        <v xml:space="preserve">  Salem CHSD 600</v>
      </c>
      <c r="D6" s="2403"/>
      <c r="E6" s="2403"/>
      <c r="F6" s="1482"/>
      <c r="G6" s="1507"/>
      <c r="L6" s="1507"/>
      <c r="M6" s="1855"/>
      <c r="N6" s="1855"/>
      <c r="O6" s="1855"/>
    </row>
    <row r="7" spans="1:15" ht="11.25" customHeight="1" thickBot="1" x14ac:dyDescent="0.3">
      <c r="A7" s="1480"/>
      <c r="B7" s="1481"/>
      <c r="C7" s="2404">
        <f>COVER!A13</f>
        <v>13058600016</v>
      </c>
      <c r="D7" s="2404"/>
      <c r="E7" s="240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2072</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9" right="0.2" top="0.68" bottom="0.61" header="0.38" footer="0.31"/>
  <pageSetup scale="83" firstPageNumber="74" orientation="landscape" useFirstPageNumber="1" r:id="rId1"/>
  <headerFooter>
    <oddHeader xml:space="preserve">&amp;CSalem Community High School District 600 </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R57" sqref="R57"/>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19" t="str">
        <f>COVER!A17</f>
        <v xml:space="preserve">  Salem CHSD 600</v>
      </c>
      <c r="K6" s="2419"/>
      <c r="L6" s="2420"/>
      <c r="M6" s="838"/>
      <c r="N6" s="1996"/>
    </row>
    <row r="7" spans="1:14" x14ac:dyDescent="0.2">
      <c r="A7" s="2421" t="s">
        <v>864</v>
      </c>
      <c r="B7" s="2422"/>
      <c r="C7" s="2422"/>
      <c r="D7" s="2422"/>
      <c r="E7" s="2423"/>
      <c r="F7" s="839"/>
      <c r="G7" s="838"/>
      <c r="H7" s="838"/>
      <c r="I7" s="1922" t="s">
        <v>369</v>
      </c>
      <c r="J7" s="2424">
        <f>COVER!A13</f>
        <v>13058600016</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181755</v>
      </c>
      <c r="F12" s="1940"/>
      <c r="G12" s="1966">
        <f>G68</f>
        <v>0</v>
      </c>
      <c r="H12" s="1942">
        <f t="shared" ref="H12:H18" si="0">SUM(E12:G12)</f>
        <v>181755</v>
      </c>
      <c r="I12" s="1941">
        <v>195500</v>
      </c>
      <c r="J12" s="1940"/>
      <c r="K12" s="1941"/>
      <c r="L12" s="1942">
        <f t="shared" ref="L12:L18" si="1">SUM(I12:K12)</f>
        <v>195500</v>
      </c>
      <c r="M12" s="838"/>
      <c r="N12" s="1996"/>
    </row>
    <row r="13" spans="1:14" x14ac:dyDescent="0.2">
      <c r="A13" s="2001">
        <v>2</v>
      </c>
      <c r="B13" s="1938" t="s">
        <v>42</v>
      </c>
      <c r="C13" s="842"/>
      <c r="D13" s="1939">
        <v>2330</v>
      </c>
      <c r="E13" s="1942">
        <f>'Expenditures 15-22'!K51</f>
        <v>368</v>
      </c>
      <c r="F13" s="1940"/>
      <c r="G13" s="1966">
        <f>H68</f>
        <v>0</v>
      </c>
      <c r="H13" s="1942">
        <f t="shared" si="0"/>
        <v>368</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182123</v>
      </c>
      <c r="F19" s="1948">
        <f t="shared" si="2"/>
        <v>0</v>
      </c>
      <c r="G19" s="1948">
        <f t="shared" ref="G19" si="3">SUM(G12:G17)-G18</f>
        <v>0</v>
      </c>
      <c r="H19" s="1948">
        <f t="shared" si="2"/>
        <v>182123</v>
      </c>
      <c r="I19" s="1948">
        <f t="shared" si="2"/>
        <v>195500</v>
      </c>
      <c r="J19" s="1948">
        <f t="shared" si="2"/>
        <v>0</v>
      </c>
      <c r="K19" s="1948">
        <f t="shared" si="2"/>
        <v>0</v>
      </c>
      <c r="L19" s="1948">
        <f t="shared" si="2"/>
        <v>195500</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7.3450360470670925E-2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 xml:space="preserve">  Salem CHSD 600</v>
      </c>
      <c r="M52" s="2419"/>
      <c r="N52" s="2449"/>
    </row>
    <row r="53" spans="1:14" x14ac:dyDescent="0.2">
      <c r="A53" s="1980"/>
      <c r="B53" s="1981"/>
      <c r="C53" s="1981"/>
      <c r="D53" s="1981"/>
      <c r="E53" s="1981"/>
      <c r="F53" s="1981"/>
      <c r="G53" s="1981"/>
      <c r="H53" s="1981"/>
      <c r="I53" s="1981"/>
      <c r="J53" s="1981"/>
      <c r="K53" s="1922" t="s">
        <v>369</v>
      </c>
      <c r="L53" s="2424">
        <f>J7</f>
        <v>13058600016</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60" t="s">
        <v>297</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116670</v>
      </c>
      <c r="F60" s="1970"/>
      <c r="G60" s="2029"/>
      <c r="H60" s="2030"/>
      <c r="I60" s="2030"/>
      <c r="J60" s="2030"/>
      <c r="K60" s="2030"/>
      <c r="L60" s="2030"/>
      <c r="M60" s="2030">
        <v>116670</v>
      </c>
      <c r="N60" s="1973">
        <f t="shared" ref="N60:N67" si="4">IF((SUM(G60:M60))=E60,SUM(G60:M60),"Column N does not agree with Column E")</f>
        <v>116670</v>
      </c>
    </row>
    <row r="61" spans="1:14" ht="24.75" customHeight="1" x14ac:dyDescent="0.2">
      <c r="A61" s="2460" t="s">
        <v>697</v>
      </c>
      <c r="B61" s="2461"/>
      <c r="C61" s="2461"/>
      <c r="D61" s="1965">
        <v>2365</v>
      </c>
      <c r="E61" s="1975">
        <f>'Expenditures 15-22'!K323</f>
        <v>31208</v>
      </c>
      <c r="F61" s="1970"/>
      <c r="G61" s="2029"/>
      <c r="H61" s="2030"/>
      <c r="I61" s="2030"/>
      <c r="J61" s="2030"/>
      <c r="K61" s="2030"/>
      <c r="L61" s="2030"/>
      <c r="M61" s="2030">
        <v>31208</v>
      </c>
      <c r="N61" s="1973">
        <f t="shared" si="4"/>
        <v>31208</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0</v>
      </c>
      <c r="F63" s="1970"/>
      <c r="G63" s="2029"/>
      <c r="H63" s="2030"/>
      <c r="I63" s="2030"/>
      <c r="J63" s="2030"/>
      <c r="K63" s="2030"/>
      <c r="L63" s="2030"/>
      <c r="M63" s="2030"/>
      <c r="N63" s="1973">
        <f t="shared" si="4"/>
        <v>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797</v>
      </c>
      <c r="F65" s="1970"/>
      <c r="G65" s="2029"/>
      <c r="H65" s="2030"/>
      <c r="I65" s="2030"/>
      <c r="J65" s="2030"/>
      <c r="K65" s="2030"/>
      <c r="L65" s="2030"/>
      <c r="M65" s="2030">
        <v>797</v>
      </c>
      <c r="N65" s="1973">
        <f t="shared" si="4"/>
        <v>797</v>
      </c>
    </row>
    <row r="66" spans="1:14" ht="24" customHeight="1" x14ac:dyDescent="0.2">
      <c r="A66" s="2460" t="s">
        <v>469</v>
      </c>
      <c r="B66" s="2461"/>
      <c r="C66" s="2461"/>
      <c r="D66" s="1965">
        <v>2371</v>
      </c>
      <c r="E66" s="1975">
        <f>'Expenditures 15-22'!K328</f>
        <v>0</v>
      </c>
      <c r="F66" s="1970"/>
      <c r="G66" s="2029"/>
      <c r="H66" s="2030"/>
      <c r="I66" s="2030"/>
      <c r="J66" s="2030"/>
      <c r="K66" s="2030"/>
      <c r="L66" s="2030"/>
      <c r="M66" s="2030"/>
      <c r="N66" s="1973">
        <f t="shared" si="4"/>
        <v>0</v>
      </c>
    </row>
    <row r="67" spans="1:14" ht="24.75" customHeight="1" x14ac:dyDescent="0.2">
      <c r="A67" s="2462" t="s">
        <v>2042</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1151</v>
      </c>
      <c r="B68" s="2465"/>
      <c r="C68" s="2465"/>
      <c r="D68" s="1968"/>
      <c r="E68" s="1972">
        <f>SUM(E57:E67)</f>
        <v>148675</v>
      </c>
      <c r="F68" s="1971"/>
      <c r="G68" s="1972">
        <f t="shared" ref="G68:N68" si="5">SUM(G57:G67)</f>
        <v>0</v>
      </c>
      <c r="H68" s="1972">
        <f t="shared" si="5"/>
        <v>0</v>
      </c>
      <c r="I68" s="1972">
        <f t="shared" si="5"/>
        <v>0</v>
      </c>
      <c r="J68" s="1972">
        <f t="shared" si="5"/>
        <v>0</v>
      </c>
      <c r="K68" s="1972">
        <f t="shared" si="5"/>
        <v>0</v>
      </c>
      <c r="L68" s="1972">
        <f t="shared" si="5"/>
        <v>0</v>
      </c>
      <c r="M68" s="1972">
        <f t="shared" si="5"/>
        <v>148675</v>
      </c>
      <c r="N68" s="1986">
        <f t="shared" si="5"/>
        <v>148675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B27" sqref="B2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c r="B6" s="307" t="s">
        <v>2074</v>
      </c>
    </row>
    <row r="7" spans="1:2" x14ac:dyDescent="0.2">
      <c r="A7" s="847">
        <v>3</v>
      </c>
      <c r="B7" s="2033" t="s">
        <v>2075</v>
      </c>
    </row>
    <row r="8" spans="1:2" x14ac:dyDescent="0.2">
      <c r="A8" s="847">
        <v>4</v>
      </c>
      <c r="B8" s="307" t="s">
        <v>2076</v>
      </c>
    </row>
    <row r="9" spans="1:2" x14ac:dyDescent="0.2">
      <c r="A9" s="848">
        <v>5</v>
      </c>
      <c r="B9" s="307" t="s">
        <v>2077</v>
      </c>
    </row>
    <row r="10" spans="1:2" x14ac:dyDescent="0.2">
      <c r="A10" s="848">
        <v>6</v>
      </c>
      <c r="B10" s="307" t="s">
        <v>2078</v>
      </c>
    </row>
    <row r="11" spans="1:2" x14ac:dyDescent="0.2">
      <c r="A11" s="848">
        <v>7</v>
      </c>
      <c r="B11" s="307" t="s">
        <v>2079</v>
      </c>
    </row>
    <row r="12" spans="1:2" x14ac:dyDescent="0.2">
      <c r="A12" s="848">
        <v>8</v>
      </c>
      <c r="B12" s="307" t="s">
        <v>2080</v>
      </c>
    </row>
    <row r="13" spans="1:2" x14ac:dyDescent="0.2">
      <c r="A13" s="848">
        <v>9</v>
      </c>
      <c r="B13" s="307" t="s">
        <v>2081</v>
      </c>
    </row>
    <row r="14" spans="1:2" x14ac:dyDescent="0.2">
      <c r="A14" s="848">
        <v>10</v>
      </c>
      <c r="B14" s="307" t="s">
        <v>2082</v>
      </c>
    </row>
    <row r="15" spans="1:2" x14ac:dyDescent="0.2">
      <c r="A15" s="848">
        <v>11</v>
      </c>
      <c r="B15" s="307" t="s">
        <v>2083</v>
      </c>
    </row>
    <row r="16" spans="1:2" x14ac:dyDescent="0.2">
      <c r="A16" s="848">
        <v>12</v>
      </c>
      <c r="B16" s="307" t="s">
        <v>2084</v>
      </c>
    </row>
    <row r="17" spans="1:2" x14ac:dyDescent="0.2">
      <c r="A17" s="848">
        <v>13</v>
      </c>
      <c r="B17" s="307" t="s">
        <v>2092</v>
      </c>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row>
    <row r="64" spans="1:2" x14ac:dyDescent="0.2">
      <c r="B64" s="849"/>
    </row>
  </sheetData>
  <phoneticPr fontId="16" type="noConversion"/>
  <pageMargins left="0.69" right="0.2" top="1.31" bottom="0.9" header="0.72" footer="0.43"/>
  <pageSetup scale="80" firstPageNumber="51" orientation="portrait" useFirstPageNumber="1" r:id="rId1"/>
  <headerFooter alignWithMargins="0">
    <oddHeader xml:space="preserve">&amp;C Salem Community High School District 600 </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9"/>
  <sheetViews>
    <sheetView showGridLines="0" zoomScale="110" zoomScaleNormal="110" workbookViewId="0">
      <selection activeCell="D8" sqref="D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2" spans="1:6" x14ac:dyDescent="0.2">
      <c r="B12" s="850"/>
      <c r="C12" s="850"/>
      <c r="D12" s="850"/>
      <c r="E12" s="850"/>
      <c r="F12" s="850"/>
    </row>
    <row r="14" spans="1:6" x14ac:dyDescent="0.2">
      <c r="A14" s="851" t="s">
        <v>1476</v>
      </c>
    </row>
    <row r="16" spans="1:6" x14ac:dyDescent="0.2">
      <c r="A16" s="366" t="s">
        <v>852</v>
      </c>
    </row>
    <row r="17" spans="1:2" s="850" customFormat="1" ht="45" customHeight="1" x14ac:dyDescent="0.2">
      <c r="A17" s="852"/>
      <c r="B17" s="852" t="s">
        <v>1973</v>
      </c>
    </row>
    <row r="18" spans="1:2" ht="6" customHeight="1" x14ac:dyDescent="0.2"/>
    <row r="19" spans="1:2" ht="24.75" customHeight="1" x14ac:dyDescent="0.2">
      <c r="A19" s="2466" t="s">
        <v>1665</v>
      </c>
      <c r="B19" s="2466"/>
    </row>
  </sheetData>
  <sheetProtection selectLockedCells="1"/>
  <mergeCells count="1">
    <mergeCell ref="A19:B19"/>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180975</xdr:colOff>
                <xdr:row>1</xdr:row>
                <xdr:rowOff>0</xdr:rowOff>
              </from>
              <to>
                <xdr:col>3</xdr:col>
                <xdr:colOff>504825</xdr:colOff>
                <xdr:row>5</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5</xdr:col>
                <xdr:colOff>0</xdr:colOff>
                <xdr:row>1</xdr:row>
                <xdr:rowOff>0</xdr:rowOff>
              </from>
              <to>
                <xdr:col>6</xdr:col>
                <xdr:colOff>323850</xdr:colOff>
                <xdr:row>5</xdr:row>
                <xdr:rowOff>142875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7</xdr:col>
                <xdr:colOff>0</xdr:colOff>
                <xdr:row>1</xdr:row>
                <xdr:rowOff>0</xdr:rowOff>
              </from>
              <to>
                <xdr:col>8</xdr:col>
                <xdr:colOff>323850</xdr:colOff>
                <xdr:row>5</xdr:row>
                <xdr:rowOff>142875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6515555</v>
      </c>
      <c r="C8" s="1813">
        <f>'Acct Summary 7-8'!D8</f>
        <v>1268931</v>
      </c>
      <c r="D8" s="1813">
        <f>'Acct Summary 7-8'!F8</f>
        <v>399916</v>
      </c>
      <c r="E8" s="1813">
        <f>'Acct Summary 7-8'!I8</f>
        <v>112543</v>
      </c>
      <c r="F8" s="1813">
        <f>SUM(B8:E8)</f>
        <v>8296945</v>
      </c>
    </row>
    <row r="9" spans="1:8" s="858" customFormat="1" ht="14.25" customHeight="1" thickBot="1" x14ac:dyDescent="0.25">
      <c r="A9" s="857" t="s">
        <v>1353</v>
      </c>
      <c r="B9" s="1814">
        <f>'Acct Summary 7-8'!C17</f>
        <v>6268300</v>
      </c>
      <c r="C9" s="1814">
        <f>'Acct Summary 7-8'!D17</f>
        <v>1103376</v>
      </c>
      <c r="D9" s="1814">
        <f>'Acct Summary 7-8'!F17</f>
        <v>313229</v>
      </c>
      <c r="E9" s="1813"/>
      <c r="F9" s="1813">
        <f>SUM(B9:E9)</f>
        <v>7684905</v>
      </c>
    </row>
    <row r="10" spans="1:8" s="858" customFormat="1" ht="14.25" thickTop="1" thickBot="1" x14ac:dyDescent="0.25">
      <c r="A10" s="859" t="s">
        <v>1354</v>
      </c>
      <c r="B10" s="1815">
        <f>(B8-B9)</f>
        <v>247255</v>
      </c>
      <c r="C10" s="1815">
        <f>(C8-C9)</f>
        <v>165555</v>
      </c>
      <c r="D10" s="1815">
        <f>(D8-D9)</f>
        <v>86687</v>
      </c>
      <c r="E10" s="1814">
        <f>(E8-E9)</f>
        <v>112543</v>
      </c>
      <c r="F10" s="1816">
        <f>SUM(F8-F9)</f>
        <v>612040</v>
      </c>
    </row>
    <row r="11" spans="1:8" s="858" customFormat="1" ht="14.25" thickTop="1" thickBot="1" x14ac:dyDescent="0.25">
      <c r="A11" s="860" t="s">
        <v>1903</v>
      </c>
      <c r="B11" s="1817">
        <f>'Acct Summary 7-8'!C81</f>
        <v>4510755</v>
      </c>
      <c r="C11" s="1817">
        <f>'Acct Summary 7-8'!D81</f>
        <v>826126</v>
      </c>
      <c r="D11" s="1817">
        <f>'Acct Summary 7-8'!F81</f>
        <v>332324</v>
      </c>
      <c r="E11" s="1817">
        <f>'Acct Summary 7-8'!I81</f>
        <v>1593576</v>
      </c>
      <c r="F11" s="1818">
        <f>SUM(B11:E11)</f>
        <v>7262781</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13058600016</v>
      </c>
      <c r="E2" s="1542">
        <v>2020</v>
      </c>
      <c r="F2" s="1542">
        <v>1</v>
      </c>
      <c r="G2" s="1898">
        <v>101000300</v>
      </c>
    </row>
    <row r="3" spans="1:7" ht="15" x14ac:dyDescent="0.25">
      <c r="A3" t="s">
        <v>950</v>
      </c>
      <c r="B3" s="135" t="str">
        <f>COVER!A15</f>
        <v>Marion</v>
      </c>
      <c r="E3" s="1830" t="s">
        <v>1971</v>
      </c>
      <c r="F3" s="1830" t="s">
        <v>1970</v>
      </c>
      <c r="G3" s="1898">
        <v>101000400</v>
      </c>
    </row>
    <row r="4" spans="1:7" ht="15" x14ac:dyDescent="0.25">
      <c r="A4" t="s">
        <v>1000</v>
      </c>
      <c r="B4" s="135" t="str">
        <f>COVER!A17</f>
        <v xml:space="preserve">  Salem CHSD 600</v>
      </c>
      <c r="E4" s="1828">
        <v>44119</v>
      </c>
      <c r="F4" s="1829">
        <v>44151</v>
      </c>
      <c r="G4" s="1898">
        <v>101000600</v>
      </c>
    </row>
    <row r="5" spans="1:7" ht="15" x14ac:dyDescent="0.25">
      <c r="A5" t="s">
        <v>699</v>
      </c>
      <c r="B5" s="135" t="str">
        <f>COVER!A38</f>
        <v>Brad Detering</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f>IF(COVER!J31="x","Yes",IF(COVER!L31="x","No",0))</f>
        <v>0</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36161</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1715400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4510755</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4490867</v>
      </c>
      <c r="D92" s="2" t="str">
        <f t="shared" si="0"/>
        <v>Error?</v>
      </c>
      <c r="G92" s="1898">
        <v>102640600</v>
      </c>
    </row>
    <row r="93" spans="1:7" ht="15" x14ac:dyDescent="0.25">
      <c r="A93" s="5">
        <v>32</v>
      </c>
      <c r="B93" s="1832">
        <f>'Assets-Liab 5-6'!C41</f>
        <v>4510755</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826126</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826126</v>
      </c>
      <c r="D123" s="2" t="str">
        <f t="shared" si="0"/>
        <v>Error?</v>
      </c>
      <c r="G123" s="1898">
        <v>203000400</v>
      </c>
    </row>
    <row r="124" spans="1:7" ht="15" x14ac:dyDescent="0.25">
      <c r="A124" s="5">
        <v>63</v>
      </c>
      <c r="B124" s="1832">
        <f>'Assets-Liab 5-6'!D41</f>
        <v>826126</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120249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120249</v>
      </c>
      <c r="D140" s="2" t="str">
        <f t="shared" si="1"/>
        <v>Error?</v>
      </c>
    </row>
    <row r="141" spans="1:7" x14ac:dyDescent="0.2">
      <c r="A141" s="5">
        <v>80</v>
      </c>
      <c r="B141" s="1832">
        <f>'Assets-Liab 5-6'!E41</f>
        <v>120249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332324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332324</v>
      </c>
      <c r="D170" s="2" t="str">
        <f t="shared" si="1"/>
        <v>Error?</v>
      </c>
    </row>
    <row r="171" spans="1:4" x14ac:dyDescent="0.2">
      <c r="A171" s="5">
        <v>110</v>
      </c>
      <c r="B171" s="1832">
        <f>'Assets-Liab 5-6'!F41</f>
        <v>332324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168710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162897</v>
      </c>
      <c r="D189" s="2" t="str">
        <f t="shared" si="1"/>
        <v>Error?</v>
      </c>
    </row>
    <row r="190" spans="1:4" x14ac:dyDescent="0.2">
      <c r="A190" s="5">
        <v>129</v>
      </c>
      <c r="B190" s="1832">
        <f>'Assets-Liab 5-6'!G41</f>
        <v>168710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103413</v>
      </c>
      <c r="D273" s="2" t="str">
        <f t="shared" si="3"/>
        <v>Error?</v>
      </c>
    </row>
    <row r="274" spans="1:4" x14ac:dyDescent="0.2">
      <c r="A274" s="5">
        <v>213</v>
      </c>
      <c r="B274" s="1832">
        <f>'Assets-Liab 5-6'!M17</f>
        <v>13737743</v>
      </c>
      <c r="D274" s="2" t="str">
        <f t="shared" si="3"/>
        <v>Error?</v>
      </c>
    </row>
    <row r="275" spans="1:4" x14ac:dyDescent="0.2">
      <c r="A275" s="5">
        <v>214</v>
      </c>
      <c r="B275" s="1832">
        <f>'Assets-Liab 5-6'!M18</f>
        <v>1212316</v>
      </c>
      <c r="D275" s="2" t="str">
        <f t="shared" si="3"/>
        <v>Error?</v>
      </c>
    </row>
    <row r="276" spans="1:4" x14ac:dyDescent="0.2">
      <c r="A276" s="5">
        <v>215</v>
      </c>
      <c r="B276" s="1832">
        <f>'Assets-Liab 5-6'!M19</f>
        <v>1751491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16804963</v>
      </c>
      <c r="C279" s="2" t="s">
        <v>569</v>
      </c>
      <c r="D279" s="2" t="str">
        <f t="shared" si="3"/>
        <v>Error?</v>
      </c>
    </row>
    <row r="280" spans="1:4" x14ac:dyDescent="0.2">
      <c r="A280" s="5">
        <v>219</v>
      </c>
      <c r="B280" s="1832">
        <f>'Assets-Liab 5-6'!M40</f>
        <v>16804963</v>
      </c>
      <c r="D280" s="2" t="str">
        <f t="shared" si="3"/>
        <v>Error?</v>
      </c>
    </row>
    <row r="281" spans="1:4" x14ac:dyDescent="0.2">
      <c r="A281" s="5">
        <v>220</v>
      </c>
      <c r="B281" s="1832">
        <f>'Assets-Liab 5-6'!M41</f>
        <v>16804963</v>
      </c>
      <c r="C281" s="2" t="s">
        <v>569</v>
      </c>
      <c r="D281" s="2" t="str">
        <f t="shared" si="3"/>
        <v>Error?</v>
      </c>
    </row>
    <row r="282" spans="1:4" x14ac:dyDescent="0.2">
      <c r="A282" s="5">
        <v>221</v>
      </c>
      <c r="B282" s="1832">
        <f>'Assets-Liab 5-6'!N21</f>
        <v>120249</v>
      </c>
      <c r="D282" s="2" t="str">
        <f t="shared" si="3"/>
        <v>Error?</v>
      </c>
    </row>
    <row r="283" spans="1:4" x14ac:dyDescent="0.2">
      <c r="A283" s="5">
        <v>222</v>
      </c>
      <c r="B283" s="1832">
        <f>'Assets-Liab 5-6'!N22</f>
        <v>1806435</v>
      </c>
      <c r="D283" s="2" t="str">
        <f t="shared" si="3"/>
        <v>Error?</v>
      </c>
    </row>
    <row r="284" spans="1:4" x14ac:dyDescent="0.2">
      <c r="A284" s="5">
        <v>223</v>
      </c>
      <c r="B284" s="1832">
        <f>'Assets-Liab 5-6'!N23</f>
        <v>1926684</v>
      </c>
      <c r="C284" s="2" t="s">
        <v>569</v>
      </c>
      <c r="D284" s="2" t="str">
        <f t="shared" si="3"/>
        <v>Error?</v>
      </c>
    </row>
    <row r="285" spans="1:4" x14ac:dyDescent="0.2">
      <c r="A285" s="5">
        <v>224</v>
      </c>
      <c r="B285" s="1832">
        <f>'Assets-Liab 5-6'!N36</f>
        <v>1926684</v>
      </c>
      <c r="D285" s="2" t="str">
        <f t="shared" si="3"/>
        <v>Error?</v>
      </c>
    </row>
    <row r="286" spans="1:4" x14ac:dyDescent="0.2">
      <c r="A286" s="10">
        <v>225</v>
      </c>
      <c r="B286" s="1832"/>
      <c r="D286" s="2" t="str">
        <f t="shared" si="3"/>
        <v>OK</v>
      </c>
    </row>
    <row r="287" spans="1:4" x14ac:dyDescent="0.2">
      <c r="A287" s="5">
        <v>226</v>
      </c>
      <c r="B287" s="1832">
        <f>'Assets-Liab 5-6'!N37</f>
        <v>1926684</v>
      </c>
      <c r="C287" s="2" t="s">
        <v>569</v>
      </c>
      <c r="D287" s="2" t="str">
        <f t="shared" si="3"/>
        <v>Error?</v>
      </c>
    </row>
    <row r="288" spans="1:4" x14ac:dyDescent="0.2">
      <c r="A288" s="5">
        <v>227</v>
      </c>
      <c r="B288" s="1832">
        <f>'Assets-Liab 5-6'!N41</f>
        <v>1926684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1822149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486916</v>
      </c>
      <c r="D717" s="2" t="str">
        <f t="shared" si="10"/>
        <v>Error?</v>
      </c>
    </row>
    <row r="718" spans="1:4" x14ac:dyDescent="0.2">
      <c r="A718" s="5">
        <v>657</v>
      </c>
      <c r="B718" s="1832">
        <f>'Expenditures 15-22'!C14</f>
        <v>163139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3084922</v>
      </c>
      <c r="C720" s="2" t="s">
        <v>569</v>
      </c>
      <c r="D720" s="2" t="str">
        <f t="shared" si="10"/>
        <v>Error?</v>
      </c>
    </row>
    <row r="721" spans="1:4" x14ac:dyDescent="0.2">
      <c r="A721" s="5">
        <v>660</v>
      </c>
      <c r="B721" s="1832">
        <f>'Expenditures 15-22'!C36</f>
        <v>22824</v>
      </c>
      <c r="D721" s="2" t="str">
        <f t="shared" si="10"/>
        <v>Error?</v>
      </c>
    </row>
    <row r="722" spans="1:4" x14ac:dyDescent="0.2">
      <c r="A722" s="5">
        <v>661</v>
      </c>
      <c r="B722" s="1832">
        <f>'Expenditures 15-22'!C37</f>
        <v>210202</v>
      </c>
      <c r="D722" s="2" t="str">
        <f t="shared" si="10"/>
        <v>Error?</v>
      </c>
    </row>
    <row r="723" spans="1:4" x14ac:dyDescent="0.2">
      <c r="A723" s="5">
        <v>662</v>
      </c>
      <c r="B723" s="1832">
        <f>'Expenditures 15-22'!C38</f>
        <v>20346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37573</v>
      </c>
      <c r="D726" s="2" t="str">
        <f t="shared" si="10"/>
        <v>Error?</v>
      </c>
    </row>
    <row r="727" spans="1:4" x14ac:dyDescent="0.2">
      <c r="A727" s="5">
        <v>666</v>
      </c>
      <c r="B727" s="1832">
        <f>'Expenditures 15-22'!C42</f>
        <v>290945</v>
      </c>
      <c r="C727" s="2" t="s">
        <v>569</v>
      </c>
      <c r="D727" s="2" t="str">
        <f t="shared" si="10"/>
        <v>Error?</v>
      </c>
    </row>
    <row r="728" spans="1:4" x14ac:dyDescent="0.2">
      <c r="A728" s="5">
        <v>667</v>
      </c>
      <c r="B728" s="1832">
        <f>'Expenditures 15-22'!C44</f>
        <v>6132</v>
      </c>
      <c r="D728" s="2" t="str">
        <f t="shared" si="10"/>
        <v>Error?</v>
      </c>
    </row>
    <row r="729" spans="1:4" x14ac:dyDescent="0.2">
      <c r="A729" s="5">
        <v>668</v>
      </c>
      <c r="B729" s="1832">
        <f>'Expenditures 15-22'!C45</f>
        <v>64981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71113</v>
      </c>
      <c r="C731" s="2" t="s">
        <v>569</v>
      </c>
      <c r="D731" s="2" t="str">
        <f t="shared" si="10"/>
        <v>Error?</v>
      </c>
    </row>
    <row r="732" spans="1:4" x14ac:dyDescent="0.2">
      <c r="A732" s="5">
        <v>671</v>
      </c>
      <c r="B732" s="1832">
        <f>'Expenditures 15-22'!C49</f>
        <v>9186</v>
      </c>
      <c r="D732" s="2" t="str">
        <f t="shared" si="10"/>
        <v>Error?</v>
      </c>
    </row>
    <row r="733" spans="1:4" x14ac:dyDescent="0.2">
      <c r="A733" s="5">
        <v>672</v>
      </c>
      <c r="B733" s="1832">
        <f>'Expenditures 15-22'!C50</f>
        <v>140451</v>
      </c>
      <c r="D733" s="2" t="str">
        <f t="shared" si="10"/>
        <v>Error?</v>
      </c>
    </row>
    <row r="734" spans="1:4" x14ac:dyDescent="0.2">
      <c r="A734" s="5">
        <v>673</v>
      </c>
      <c r="B734" s="1832">
        <f>'Expenditures 15-22'!C53</f>
        <v>149637</v>
      </c>
      <c r="C734" s="2" t="s">
        <v>569</v>
      </c>
      <c r="D734" s="2" t="str">
        <f t="shared" si="10"/>
        <v>Error?</v>
      </c>
    </row>
    <row r="735" spans="1:4" x14ac:dyDescent="0.2">
      <c r="A735" s="5">
        <v>674</v>
      </c>
      <c r="B735" s="1832">
        <f>'Expenditures 15-22'!C55</f>
        <v>214864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214864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39799</v>
      </c>
      <c r="D739" s="2" t="str">
        <f t="shared" si="10"/>
        <v>Error?</v>
      </c>
    </row>
    <row r="740" spans="1:4" x14ac:dyDescent="0.2">
      <c r="A740" s="5">
        <v>679</v>
      </c>
      <c r="B740" s="1832">
        <f>'Expenditures 15-22'!C61</f>
        <v>397173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153919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590891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1317450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4402372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384765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107190</v>
      </c>
      <c r="D775" s="2" t="str">
        <f t="shared" si="11"/>
        <v>Error?</v>
      </c>
    </row>
    <row r="776" spans="1:4" x14ac:dyDescent="0.2">
      <c r="A776" s="5">
        <v>715</v>
      </c>
      <c r="B776" s="1832">
        <f>'Expenditures 15-22'!D14</f>
        <v>1239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574929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30487</v>
      </c>
      <c r="D780" s="2" t="str">
        <f t="shared" si="11"/>
        <v>Error?</v>
      </c>
    </row>
    <row r="781" spans="1:4" x14ac:dyDescent="0.2">
      <c r="A781" s="5">
        <v>720</v>
      </c>
      <c r="B781" s="1832">
        <f>'Expenditures 15-22'!D38</f>
        <v>13723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650</v>
      </c>
      <c r="D784" s="2" t="str">
        <f t="shared" si="11"/>
        <v>Error?</v>
      </c>
    </row>
    <row r="785" spans="1:4" x14ac:dyDescent="0.2">
      <c r="A785" s="5">
        <v>724</v>
      </c>
      <c r="B785" s="1832">
        <f>'Expenditures 15-22'!D42</f>
        <v>44860</v>
      </c>
      <c r="C785" s="2" t="s">
        <v>569</v>
      </c>
      <c r="D785" s="2" t="str">
        <f t="shared" si="11"/>
        <v>Error?</v>
      </c>
    </row>
    <row r="786" spans="1:4" x14ac:dyDescent="0.2">
      <c r="A786" s="5">
        <v>725</v>
      </c>
      <c r="B786" s="1832">
        <f>'Expenditures 15-22'!D44</f>
        <v>533</v>
      </c>
      <c r="D786" s="2" t="str">
        <f t="shared" si="11"/>
        <v>Error?</v>
      </c>
    </row>
    <row r="787" spans="1:4" x14ac:dyDescent="0.2">
      <c r="A787" s="5">
        <v>726</v>
      </c>
      <c r="B787" s="1832">
        <f>'Expenditures 15-22'!D45</f>
        <v>11976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12509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39567</v>
      </c>
      <c r="D791" s="2" t="str">
        <f t="shared" si="11"/>
        <v>Error?</v>
      </c>
    </row>
    <row r="792" spans="1:4" x14ac:dyDescent="0.2">
      <c r="A792" s="5">
        <v>731</v>
      </c>
      <c r="B792" s="1832">
        <f>'Expenditures 15-22'!D53</f>
        <v>39567</v>
      </c>
      <c r="C792" s="2" t="s">
        <v>569</v>
      </c>
      <c r="D792" s="2" t="str">
        <f t="shared" si="11"/>
        <v>Error?</v>
      </c>
    </row>
    <row r="793" spans="1:4" x14ac:dyDescent="0.2">
      <c r="A793" s="5">
        <v>732</v>
      </c>
      <c r="B793" s="1832">
        <f>'Expenditures 15-22'!D55</f>
        <v>62778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62778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19270</v>
      </c>
      <c r="D797" s="2" t="str">
        <f t="shared" si="11"/>
        <v>Error?</v>
      </c>
    </row>
    <row r="798" spans="1:4" x14ac:dyDescent="0.2">
      <c r="A798" s="5">
        <v>737</v>
      </c>
      <c r="B798" s="1832">
        <f>'Expenditures 15-22'!D61</f>
        <v>60506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6010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85786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245500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820429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86433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26337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132616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11127</v>
      </c>
      <c r="D844" s="2" t="str">
        <f t="shared" si="12"/>
        <v>Error?</v>
      </c>
    </row>
    <row r="845" spans="1:4" x14ac:dyDescent="0.2">
      <c r="A845" s="5">
        <v>784</v>
      </c>
      <c r="B845" s="1832">
        <f>'Expenditures 15-22'!E45</f>
        <v>2296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13423</v>
      </c>
      <c r="C847" s="2" t="s">
        <v>569</v>
      </c>
      <c r="D847" s="2" t="str">
        <f t="shared" si="12"/>
        <v>Error?</v>
      </c>
    </row>
    <row r="848" spans="1:4" x14ac:dyDescent="0.2">
      <c r="A848" s="5">
        <v>787</v>
      </c>
      <c r="B848" s="1832">
        <f>'Expenditures 15-22'!E49</f>
        <v>23024</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23392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3153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3153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39968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172584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70081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9283</v>
      </c>
      <c r="D891" s="2" t="str">
        <f t="shared" si="12"/>
        <v>Error?</v>
      </c>
    </row>
    <row r="892" spans="1:4" x14ac:dyDescent="0.2">
      <c r="A892" s="5">
        <v>831</v>
      </c>
      <c r="B892" s="1832">
        <f>'Expenditures 15-22'!F14</f>
        <v>21303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168477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2095</v>
      </c>
      <c r="D896" s="2" t="str">
        <f t="shared" si="13"/>
        <v>Error?</v>
      </c>
    </row>
    <row r="897" spans="1:4" x14ac:dyDescent="0.2">
      <c r="A897" s="5">
        <v>836</v>
      </c>
      <c r="B897" s="1832">
        <f>'Expenditures 15-22'!F38</f>
        <v>338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3577</v>
      </c>
      <c r="D900" s="2" t="str">
        <f t="shared" si="13"/>
        <v>Error?</v>
      </c>
    </row>
    <row r="901" spans="1:4" x14ac:dyDescent="0.2">
      <c r="A901" s="5">
        <v>840</v>
      </c>
      <c r="B901" s="1832">
        <f>'Expenditures 15-22'!F42</f>
        <v>6010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7252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7252</v>
      </c>
      <c r="C905" s="2" t="s">
        <v>569</v>
      </c>
      <c r="D905" s="2" t="str">
        <f t="shared" si="13"/>
        <v>Error?</v>
      </c>
    </row>
    <row r="906" spans="1:4" x14ac:dyDescent="0.2">
      <c r="A906" s="5">
        <v>845</v>
      </c>
      <c r="B906" s="1832">
        <f>'Expenditures 15-22'!F49</f>
        <v>835</v>
      </c>
      <c r="D906" s="2" t="str">
        <f t="shared" si="13"/>
        <v>Error?</v>
      </c>
    </row>
    <row r="907" spans="1:4" x14ac:dyDescent="0.2">
      <c r="A907" s="5">
        <v>846</v>
      </c>
      <c r="B907" s="1832">
        <f>'Expenditures 15-22'!F50</f>
        <v>57</v>
      </c>
      <c r="D907" s="2" t="str">
        <f t="shared" si="13"/>
        <v>Error?</v>
      </c>
    </row>
    <row r="908" spans="1:4" x14ac:dyDescent="0.2">
      <c r="A908" s="5">
        <v>847</v>
      </c>
      <c r="B908" s="1832">
        <f>'Expenditures 15-22'!F53</f>
        <v>892</v>
      </c>
      <c r="C908" s="2" t="s">
        <v>569</v>
      </c>
      <c r="D908" s="2" t="str">
        <f t="shared" si="13"/>
        <v>Error?</v>
      </c>
    </row>
    <row r="909" spans="1:4" x14ac:dyDescent="0.2">
      <c r="A909" s="5">
        <v>848</v>
      </c>
      <c r="B909" s="1832">
        <f>'Expenditures 15-22'!F55</f>
        <v>973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973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163027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163119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178246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346723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27491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8998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53437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1439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1439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1353</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1353</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2960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2960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5752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59189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630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175</v>
      </c>
      <c r="D1007" s="2" t="str">
        <f t="shared" si="14"/>
        <v>Error?</v>
      </c>
    </row>
    <row r="1008" spans="1:4" x14ac:dyDescent="0.2">
      <c r="A1008" s="5">
        <v>947</v>
      </c>
      <c r="B1008" s="1832">
        <f>'Expenditures 15-22'!H14</f>
        <v>22718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23523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70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1216</v>
      </c>
      <c r="D1016" s="2" t="str">
        <f t="shared" si="14"/>
        <v>Error?</v>
      </c>
    </row>
    <row r="1017" spans="1:4" x14ac:dyDescent="0.2">
      <c r="A1017" s="5">
        <v>956</v>
      </c>
      <c r="B1017" s="1832">
        <f>'Expenditures 15-22'!H42</f>
        <v>1286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4948</v>
      </c>
      <c r="D1022" s="2" t="str">
        <f t="shared" si="14"/>
        <v>Error?</v>
      </c>
    </row>
    <row r="1023" spans="1:4" x14ac:dyDescent="0.2">
      <c r="A1023" s="5">
        <v>962</v>
      </c>
      <c r="B1023" s="1832">
        <f>'Expenditures 15-22'!H50</f>
        <v>1680</v>
      </c>
      <c r="D1023" s="2" t="str">
        <f t="shared" ref="D1023:D1086" si="15">IF(ISBLANK(B1023),"OK",IF(A1023-B1023=0,"OK","Error?"))</f>
        <v>Error?</v>
      </c>
    </row>
    <row r="1024" spans="1:4" x14ac:dyDescent="0.2">
      <c r="A1024" s="5">
        <v>963</v>
      </c>
      <c r="B1024" s="1832">
        <f>'Expenditures 15-22'!H53</f>
        <v>6628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600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600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8514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434966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467003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2391549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603564</v>
      </c>
      <c r="C1105" s="2" t="s">
        <v>569</v>
      </c>
      <c r="D1105" s="2" t="str">
        <f t="shared" si="16"/>
        <v>Error?</v>
      </c>
    </row>
    <row r="1106" spans="1:4" x14ac:dyDescent="0.2">
      <c r="A1106" s="5">
        <v>1045</v>
      </c>
      <c r="B1106" s="1832">
        <f>'Expenditures 15-22'!K14</f>
        <v>243734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4037904</v>
      </c>
      <c r="C1108" s="2" t="s">
        <v>569</v>
      </c>
      <c r="D1108" s="2" t="str">
        <f t="shared" si="16"/>
        <v>Error?</v>
      </c>
    </row>
    <row r="1109" spans="1:4" x14ac:dyDescent="0.2">
      <c r="A1109" s="5">
        <v>1048</v>
      </c>
      <c r="B1109" s="1832">
        <f>'Expenditures 15-22'!K36</f>
        <v>22824</v>
      </c>
      <c r="C1109" s="2" t="s">
        <v>569</v>
      </c>
      <c r="D1109" s="2" t="str">
        <f t="shared" si="16"/>
        <v>Error?</v>
      </c>
    </row>
    <row r="1110" spans="1:4" x14ac:dyDescent="0.2">
      <c r="A1110" s="5">
        <v>1049</v>
      </c>
      <c r="B1110" s="1832">
        <f>'Expenditures 15-22'!K37</f>
        <v>242784</v>
      </c>
      <c r="C1110" s="2" t="s">
        <v>569</v>
      </c>
      <c r="D1110" s="2" t="str">
        <f t="shared" si="16"/>
        <v>Error?</v>
      </c>
    </row>
    <row r="1111" spans="1:4" x14ac:dyDescent="0.2">
      <c r="A1111" s="5">
        <v>1050</v>
      </c>
      <c r="B1111" s="1832">
        <f>'Expenditures 15-22'!K38</f>
        <v>34477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43016</v>
      </c>
      <c r="C1114" s="2" t="s">
        <v>569</v>
      </c>
      <c r="D1114" s="2" t="str">
        <f t="shared" si="16"/>
        <v>Error?</v>
      </c>
    </row>
    <row r="1115" spans="1:4" x14ac:dyDescent="0.2">
      <c r="A1115" s="5">
        <v>1054</v>
      </c>
      <c r="B1115" s="1832">
        <f>'Expenditures 15-22'!K42</f>
        <v>343101</v>
      </c>
      <c r="C1115" s="2" t="s">
        <v>569</v>
      </c>
      <c r="D1115" s="2" t="str">
        <f t="shared" si="16"/>
        <v>Error?</v>
      </c>
    </row>
    <row r="1116" spans="1:4" x14ac:dyDescent="0.2">
      <c r="A1116" s="5">
        <v>1055</v>
      </c>
      <c r="B1116" s="1832">
        <f>'Expenditures 15-22'!K44</f>
        <v>17792</v>
      </c>
      <c r="C1116" s="2" t="s">
        <v>569</v>
      </c>
      <c r="D1116" s="2" t="str">
        <f t="shared" si="16"/>
        <v>Error?</v>
      </c>
    </row>
    <row r="1117" spans="1:4" x14ac:dyDescent="0.2">
      <c r="A1117" s="5">
        <v>1056</v>
      </c>
      <c r="B1117" s="1832">
        <f>'Expenditures 15-22'!K45</f>
        <v>87944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105736</v>
      </c>
      <c r="C1119" s="2" t="s">
        <v>569</v>
      </c>
      <c r="D1119" s="2" t="str">
        <f t="shared" si="16"/>
        <v>Error?</v>
      </c>
    </row>
    <row r="1120" spans="1:4" x14ac:dyDescent="0.2">
      <c r="A1120" s="5">
        <v>1059</v>
      </c>
      <c r="B1120" s="1832">
        <f>'Expenditures 15-22'!K49</f>
        <v>37993</v>
      </c>
      <c r="C1120" s="2" t="s">
        <v>569</v>
      </c>
      <c r="D1120" s="2" t="str">
        <f t="shared" si="16"/>
        <v>Error?</v>
      </c>
    </row>
    <row r="1121" spans="1:4" x14ac:dyDescent="0.2">
      <c r="A1121" s="5">
        <v>1060</v>
      </c>
      <c r="B1121" s="1832">
        <f>'Expenditures 15-22'!K50</f>
        <v>181755</v>
      </c>
      <c r="C1121" s="2" t="s">
        <v>569</v>
      </c>
      <c r="D1121" s="2" t="str">
        <f t="shared" si="16"/>
        <v>Error?</v>
      </c>
    </row>
    <row r="1122" spans="1:4" x14ac:dyDescent="0.2">
      <c r="A1122" s="5">
        <v>1061</v>
      </c>
      <c r="B1122" s="1832">
        <f>'Expenditures 15-22'!K53</f>
        <v>220116</v>
      </c>
      <c r="C1122" s="2" t="s">
        <v>569</v>
      </c>
      <c r="D1122" s="2" t="str">
        <f t="shared" si="16"/>
        <v>Error?</v>
      </c>
    </row>
    <row r="1123" spans="1:4" x14ac:dyDescent="0.2">
      <c r="A1123" s="5">
        <v>1062</v>
      </c>
      <c r="B1123" s="1832">
        <f>'Expenditures 15-22'!K55</f>
        <v>279968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279968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59161</v>
      </c>
      <c r="C1127" s="2" t="s">
        <v>569</v>
      </c>
      <c r="D1127" s="2" t="str">
        <f t="shared" si="16"/>
        <v>Error?</v>
      </c>
    </row>
    <row r="1128" spans="1:4" x14ac:dyDescent="0.2">
      <c r="A1128" s="5">
        <v>1067</v>
      </c>
      <c r="B1128" s="1832">
        <f>'Expenditures 15-22'!K61</f>
        <v>457679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329669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846509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1795430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434966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6268300</v>
      </c>
      <c r="C1152" s="2" t="s">
        <v>569</v>
      </c>
      <c r="D1152" s="2" t="str">
        <f t="shared" si="17"/>
        <v>Error?</v>
      </c>
    </row>
    <row r="1153" spans="1:4" x14ac:dyDescent="0.2">
      <c r="A1153" s="5">
        <v>1092</v>
      </c>
      <c r="B1153" s="1832">
        <f>'Expenditures 15-22'!K115</f>
        <v>247255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49252</v>
      </c>
      <c r="D1221" s="2" t="str">
        <f t="shared" si="18"/>
        <v>Error?</v>
      </c>
    </row>
    <row r="1222" spans="1:4" x14ac:dyDescent="0.2">
      <c r="A1222" s="10">
        <v>1161</v>
      </c>
      <c r="B1222" s="1832"/>
      <c r="D1222" s="2" t="str">
        <f t="shared" si="18"/>
        <v>OK</v>
      </c>
    </row>
    <row r="1223" spans="1:4" x14ac:dyDescent="0.2">
      <c r="A1223" s="5">
        <v>1162</v>
      </c>
      <c r="B1223" s="1832">
        <f>'Expenditures 15-22'!C127</f>
        <v>49252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49252</v>
      </c>
      <c r="C1225" s="2" t="s">
        <v>569</v>
      </c>
      <c r="D1225" s="2" t="str">
        <f t="shared" si="18"/>
        <v>Error?</v>
      </c>
    </row>
    <row r="1226" spans="1:4" x14ac:dyDescent="0.2">
      <c r="A1226" s="5">
        <v>1165</v>
      </c>
      <c r="B1226" s="1832">
        <f>'Expenditures 15-22'!C151</f>
        <v>49252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5999</v>
      </c>
      <c r="D1229" s="2" t="str">
        <f t="shared" si="18"/>
        <v>Error?</v>
      </c>
    </row>
    <row r="1230" spans="1:4" x14ac:dyDescent="0.2">
      <c r="A1230" s="10">
        <v>1169</v>
      </c>
      <c r="B1230" s="1832"/>
      <c r="D1230" s="2" t="str">
        <f t="shared" si="18"/>
        <v>OK</v>
      </c>
    </row>
    <row r="1231" spans="1:4" x14ac:dyDescent="0.2">
      <c r="A1231" s="5">
        <v>1170</v>
      </c>
      <c r="B1231" s="1832">
        <f>'Expenditures 15-22'!D127</f>
        <v>5999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5999</v>
      </c>
      <c r="C1233" s="2" t="s">
        <v>569</v>
      </c>
      <c r="D1233" s="2" t="str">
        <f t="shared" si="18"/>
        <v>Error?</v>
      </c>
    </row>
    <row r="1234" spans="1:4" x14ac:dyDescent="0.2">
      <c r="A1234" s="5">
        <v>1173</v>
      </c>
      <c r="B1234" s="1832">
        <f>'Expenditures 15-22'!D151</f>
        <v>5999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152629</v>
      </c>
      <c r="D1237" s="2" t="str">
        <f t="shared" si="18"/>
        <v>Error?</v>
      </c>
    </row>
    <row r="1238" spans="1:4" x14ac:dyDescent="0.2">
      <c r="A1238" s="10">
        <v>1177</v>
      </c>
      <c r="B1238" s="1832"/>
      <c r="D1238" s="2" t="str">
        <f t="shared" si="18"/>
        <v>OK</v>
      </c>
    </row>
    <row r="1239" spans="1:4" x14ac:dyDescent="0.2">
      <c r="A1239" s="5">
        <v>1178</v>
      </c>
      <c r="B1239" s="1832">
        <f>'Expenditures 15-22'!E127</f>
        <v>152629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152629</v>
      </c>
      <c r="C1241" s="2" t="s">
        <v>569</v>
      </c>
      <c r="D1241" s="2" t="str">
        <f t="shared" si="18"/>
        <v>Error?</v>
      </c>
    </row>
    <row r="1242" spans="1:4" x14ac:dyDescent="0.2">
      <c r="A1242" s="5">
        <v>1181</v>
      </c>
      <c r="B1242" s="1832">
        <f>'Expenditures 15-22'!E151</f>
        <v>152629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132348</v>
      </c>
      <c r="D1245" s="2" t="str">
        <f t="shared" si="18"/>
        <v>Error?</v>
      </c>
    </row>
    <row r="1246" spans="1:4" x14ac:dyDescent="0.2">
      <c r="A1246" s="10">
        <v>1185</v>
      </c>
      <c r="B1246" s="1832"/>
      <c r="D1246" s="2" t="str">
        <f t="shared" si="18"/>
        <v>OK</v>
      </c>
    </row>
    <row r="1247" spans="1:4" x14ac:dyDescent="0.2">
      <c r="A1247" s="5">
        <v>1186</v>
      </c>
      <c r="B1247" s="1832">
        <f>'Expenditures 15-22'!F127</f>
        <v>132348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132348</v>
      </c>
      <c r="C1249" s="2" t="s">
        <v>569</v>
      </c>
      <c r="D1249" s="2" t="str">
        <f t="shared" si="18"/>
        <v>Error?</v>
      </c>
    </row>
    <row r="1250" spans="1:4" x14ac:dyDescent="0.2">
      <c r="A1250" s="5">
        <v>1189</v>
      </c>
      <c r="B1250" s="1832">
        <f>'Expenditures 15-22'!F151</f>
        <v>132348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762769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762769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762769</v>
      </c>
      <c r="C1258" s="2" t="s">
        <v>569</v>
      </c>
      <c r="D1258" s="2" t="str">
        <f t="shared" si="18"/>
        <v>Error?</v>
      </c>
    </row>
    <row r="1259" spans="1:4" x14ac:dyDescent="0.2">
      <c r="A1259" s="5">
        <v>1198</v>
      </c>
      <c r="B1259" s="1832">
        <f>'Expenditures 15-22'!G151</f>
        <v>762769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379</v>
      </c>
      <c r="D1262" s="2" t="str">
        <f t="shared" si="18"/>
        <v>Error?</v>
      </c>
    </row>
    <row r="1263" spans="1:4" x14ac:dyDescent="0.2">
      <c r="A1263" s="10">
        <v>1202</v>
      </c>
      <c r="B1263" s="1832"/>
      <c r="D1263" s="2" t="str">
        <f t="shared" si="18"/>
        <v>OK</v>
      </c>
    </row>
    <row r="1264" spans="1:4" x14ac:dyDescent="0.2">
      <c r="A1264" s="5">
        <v>1203</v>
      </c>
      <c r="B1264" s="1832">
        <f>'Expenditures 15-22'!H127</f>
        <v>379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379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379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1103376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1103376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1103376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1103376</v>
      </c>
      <c r="C1288" s="2" t="s">
        <v>569</v>
      </c>
      <c r="D1288" s="2" t="str">
        <f t="shared" si="19"/>
        <v>Error?</v>
      </c>
    </row>
    <row r="1289" spans="1:4" x14ac:dyDescent="0.2">
      <c r="A1289" s="5">
        <v>1228</v>
      </c>
      <c r="B1289" s="1832">
        <f>'Expenditures 15-22'!K152</f>
        <v>165555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408565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149016</v>
      </c>
      <c r="D1315" s="2" t="str">
        <f t="shared" si="19"/>
        <v>Error?</v>
      </c>
    </row>
    <row r="1316" spans="1:4" x14ac:dyDescent="0.2">
      <c r="A1316" s="5">
        <v>1255</v>
      </c>
      <c r="B1316" s="1832">
        <f>'Expenditures 15-22'!H171</f>
        <v>750</v>
      </c>
      <c r="D1316" s="2" t="str">
        <f t="shared" si="19"/>
        <v>Error?</v>
      </c>
    </row>
    <row r="1317" spans="1:4" x14ac:dyDescent="0.2">
      <c r="A1317" s="5">
        <v>1256</v>
      </c>
      <c r="B1317" s="1832">
        <f>'Expenditures 15-22'!H172</f>
        <v>558331</v>
      </c>
      <c r="C1317" s="2" t="s">
        <v>569</v>
      </c>
      <c r="D1317" s="2" t="str">
        <f t="shared" si="19"/>
        <v>Error?</v>
      </c>
    </row>
    <row r="1318" spans="1:4" x14ac:dyDescent="0.2">
      <c r="A1318" s="5">
        <v>1257</v>
      </c>
      <c r="B1318" s="1832">
        <f>'Expenditures 15-22'!H174</f>
        <v>558331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408565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149016</v>
      </c>
      <c r="C1329" s="2" t="s">
        <v>569</v>
      </c>
      <c r="D1329" s="2" t="str">
        <f t="shared" si="19"/>
        <v>Error?</v>
      </c>
    </row>
    <row r="1330" spans="1:4" x14ac:dyDescent="0.2">
      <c r="A1330" s="5">
        <v>1269</v>
      </c>
      <c r="B1330" s="1832">
        <f>'Expenditures 15-22'!K171</f>
        <v>750</v>
      </c>
      <c r="C1330" s="2" t="s">
        <v>569</v>
      </c>
      <c r="D1330" s="2" t="str">
        <f t="shared" si="19"/>
        <v>Error?</v>
      </c>
    </row>
    <row r="1331" spans="1:4" x14ac:dyDescent="0.2">
      <c r="A1331" s="5">
        <v>1270</v>
      </c>
      <c r="B1331" s="1832">
        <f>'Expenditures 15-22'!K172</f>
        <v>558331</v>
      </c>
      <c r="C1331" s="2" t="s">
        <v>569</v>
      </c>
      <c r="D1331" s="2" t="str">
        <f t="shared" si="19"/>
        <v>Error?</v>
      </c>
    </row>
    <row r="1332" spans="1:4" x14ac:dyDescent="0.2">
      <c r="A1332" s="5">
        <v>1271</v>
      </c>
      <c r="B1332" s="1832">
        <f>'Expenditures 15-22'!K174</f>
        <v>558331</v>
      </c>
      <c r="C1332" s="2" t="s">
        <v>569</v>
      </c>
      <c r="D1332" s="2" t="str">
        <f t="shared" si="19"/>
        <v>Error?</v>
      </c>
    </row>
    <row r="1333" spans="1:4" x14ac:dyDescent="0.2">
      <c r="A1333" s="5">
        <v>1272</v>
      </c>
      <c r="B1333" s="1832">
        <f>'Expenditures 15-22'!K175</f>
        <v>7271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144954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144954</v>
      </c>
      <c r="C1339" s="2" t="s">
        <v>569</v>
      </c>
      <c r="D1339" s="2" t="str">
        <f t="shared" si="19"/>
        <v>Error?</v>
      </c>
    </row>
    <row r="1340" spans="1:4" x14ac:dyDescent="0.2">
      <c r="A1340" s="5">
        <v>1279</v>
      </c>
      <c r="B1340" s="1832">
        <f>'Expenditures 15-22'!C210</f>
        <v>144954</v>
      </c>
      <c r="C1340" s="2" t="s">
        <v>569</v>
      </c>
      <c r="D1340" s="2" t="str">
        <f t="shared" si="19"/>
        <v>Error?</v>
      </c>
    </row>
    <row r="1341" spans="1:4" x14ac:dyDescent="0.2">
      <c r="A1341" s="5">
        <v>1280</v>
      </c>
      <c r="B1341" s="1832">
        <f>'Expenditures 15-22'!D182</f>
        <v>1132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1132</v>
      </c>
      <c r="C1345" s="2" t="s">
        <v>569</v>
      </c>
      <c r="D1345" s="2" t="str">
        <f t="shared" si="20"/>
        <v>Error?</v>
      </c>
    </row>
    <row r="1346" spans="1:4" x14ac:dyDescent="0.2">
      <c r="A1346" s="5">
        <v>1285</v>
      </c>
      <c r="B1346" s="1832">
        <f>'Expenditures 15-22'!D210</f>
        <v>1132</v>
      </c>
      <c r="C1346" s="2" t="s">
        <v>569</v>
      </c>
      <c r="D1346" s="2" t="str">
        <f t="shared" si="20"/>
        <v>Error?</v>
      </c>
    </row>
    <row r="1347" spans="1:4" x14ac:dyDescent="0.2">
      <c r="A1347" s="5">
        <v>1286</v>
      </c>
      <c r="B1347" s="1832">
        <f>'Expenditures 15-22'!E182</f>
        <v>51909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51909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51909</v>
      </c>
      <c r="C1353" s="2" t="s">
        <v>569</v>
      </c>
      <c r="D1353" s="2" t="str">
        <f t="shared" si="20"/>
        <v>Error?</v>
      </c>
    </row>
    <row r="1354" spans="1:4" x14ac:dyDescent="0.2">
      <c r="A1354" s="5">
        <v>1293</v>
      </c>
      <c r="B1354" s="1832">
        <f>'Expenditures 15-22'!F182</f>
        <v>31381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31381</v>
      </c>
      <c r="C1358" s="2" t="s">
        <v>569</v>
      </c>
      <c r="D1358" s="2" t="str">
        <f t="shared" si="20"/>
        <v>Error?</v>
      </c>
    </row>
    <row r="1359" spans="1:4" x14ac:dyDescent="0.2">
      <c r="A1359" s="5">
        <v>1298</v>
      </c>
      <c r="B1359" s="1832">
        <f>'Expenditures 15-22'!F210</f>
        <v>31381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41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83812</v>
      </c>
      <c r="C1375" s="2" t="s">
        <v>569</v>
      </c>
      <c r="D1375" s="2" t="str">
        <f t="shared" si="20"/>
        <v>Error?</v>
      </c>
    </row>
    <row r="1376" spans="1:4" x14ac:dyDescent="0.2">
      <c r="A1376" s="5">
        <v>1315</v>
      </c>
      <c r="B1376" s="1832">
        <f>'Expenditures 15-22'!H210</f>
        <v>83853</v>
      </c>
      <c r="C1376" s="2" t="s">
        <v>569</v>
      </c>
      <c r="D1376" s="2" t="str">
        <f t="shared" si="20"/>
        <v>Error?</v>
      </c>
    </row>
    <row r="1377" spans="1:4" x14ac:dyDescent="0.2">
      <c r="A1377" s="5">
        <v>1316</v>
      </c>
      <c r="B1377" s="1832">
        <f>'Expenditures 15-22'!K182</f>
        <v>229417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229417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83812</v>
      </c>
      <c r="C1387" s="2" t="s">
        <v>569</v>
      </c>
      <c r="D1387" s="2" t="str">
        <f t="shared" si="20"/>
        <v>Error?</v>
      </c>
    </row>
    <row r="1388" spans="1:4" x14ac:dyDescent="0.2">
      <c r="A1388" s="5">
        <v>1327</v>
      </c>
      <c r="B1388" s="1832">
        <f>'Expenditures 15-22'!K210</f>
        <v>313229</v>
      </c>
      <c r="C1388" s="2" t="s">
        <v>569</v>
      </c>
      <c r="D1388" s="2" t="str">
        <f t="shared" si="20"/>
        <v>Error?</v>
      </c>
    </row>
    <row r="1389" spans="1:4" x14ac:dyDescent="0.2">
      <c r="A1389" s="5">
        <v>1328</v>
      </c>
      <c r="B1389" s="1832">
        <f>'Expenditures 15-22'!K211</f>
        <v>86687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6859</v>
      </c>
      <c r="D1407" s="2" t="str">
        <f t="shared" ref="D1407:D1470" si="21">IF(ISBLANK(B1407),"OK",IF(A1407-B1407=0,"OK","Error?"))</f>
        <v>Error?</v>
      </c>
    </row>
    <row r="1408" spans="1:4" x14ac:dyDescent="0.2">
      <c r="A1408" s="5">
        <v>1347</v>
      </c>
      <c r="B1408" s="1832">
        <f>'Expenditures 15-22'!D223</f>
        <v>10986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97050</v>
      </c>
      <c r="C1410" s="2" t="s">
        <v>569</v>
      </c>
      <c r="D1410" s="2" t="str">
        <f t="shared" si="21"/>
        <v>Error?</v>
      </c>
    </row>
    <row r="1411" spans="1:4" x14ac:dyDescent="0.2">
      <c r="A1411" s="5">
        <v>1350</v>
      </c>
      <c r="B1411" s="1832">
        <f>'Expenditures 15-22'!D232</f>
        <v>3907</v>
      </c>
      <c r="D1411" s="2" t="str">
        <f t="shared" si="21"/>
        <v>Error?</v>
      </c>
    </row>
    <row r="1412" spans="1:4" x14ac:dyDescent="0.2">
      <c r="A1412" s="5">
        <v>1351</v>
      </c>
      <c r="B1412" s="1832">
        <f>'Expenditures 15-22'!D233</f>
        <v>7656</v>
      </c>
      <c r="D1412" s="2" t="str">
        <f t="shared" si="21"/>
        <v>Error?</v>
      </c>
    </row>
    <row r="1413" spans="1:4" x14ac:dyDescent="0.2">
      <c r="A1413" s="5">
        <v>1352</v>
      </c>
      <c r="B1413" s="1832">
        <f>'Expenditures 15-22'!D234</f>
        <v>434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954</v>
      </c>
      <c r="D1416" s="2" t="str">
        <f t="shared" si="21"/>
        <v>Error?</v>
      </c>
    </row>
    <row r="1417" spans="1:4" x14ac:dyDescent="0.2">
      <c r="A1417" s="5">
        <v>1356</v>
      </c>
      <c r="B1417" s="1832">
        <f>'Expenditures 15-22'!D238</f>
        <v>12951</v>
      </c>
      <c r="C1417" s="2" t="s">
        <v>569</v>
      </c>
      <c r="D1417" s="2" t="str">
        <f t="shared" si="21"/>
        <v>Error?</v>
      </c>
    </row>
    <row r="1418" spans="1:4" x14ac:dyDescent="0.2">
      <c r="A1418" s="5">
        <v>1357</v>
      </c>
      <c r="B1418" s="1832">
        <f>'Expenditures 15-22'!D240</f>
        <v>74</v>
      </c>
      <c r="D1418" s="2" t="str">
        <f t="shared" si="21"/>
        <v>Error?</v>
      </c>
    </row>
    <row r="1419" spans="1:4" x14ac:dyDescent="0.2">
      <c r="A1419" s="5">
        <v>1358</v>
      </c>
      <c r="B1419" s="1832">
        <f>'Expenditures 15-22'!D241</f>
        <v>2701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2775</v>
      </c>
      <c r="C1421" s="2" t="s">
        <v>569</v>
      </c>
      <c r="D1421" s="2" t="str">
        <f t="shared" si="21"/>
        <v>Error?</v>
      </c>
    </row>
    <row r="1422" spans="1:4" x14ac:dyDescent="0.2">
      <c r="A1422" s="5">
        <v>1361</v>
      </c>
      <c r="B1422" s="1832">
        <f>'Expenditures 15-22'!D245</f>
        <v>1551</v>
      </c>
      <c r="D1422" s="2" t="str">
        <f t="shared" si="21"/>
        <v>Error?</v>
      </c>
    </row>
    <row r="1423" spans="1:4" x14ac:dyDescent="0.2">
      <c r="A1423" s="5">
        <v>1362</v>
      </c>
      <c r="B1423" s="1832">
        <f>'Expenditures 15-22'!D246</f>
        <v>8566</v>
      </c>
      <c r="D1423" s="2" t="str">
        <f t="shared" si="21"/>
        <v>Error?</v>
      </c>
    </row>
    <row r="1424" spans="1:4" x14ac:dyDescent="0.2">
      <c r="A1424" s="5">
        <v>1363</v>
      </c>
      <c r="B1424" s="1832">
        <f>'Expenditures 15-22'!D257</f>
        <v>10117</v>
      </c>
      <c r="C1424" s="2" t="s">
        <v>569</v>
      </c>
      <c r="D1424" s="2" t="str">
        <f t="shared" si="21"/>
        <v>Error?</v>
      </c>
    </row>
    <row r="1425" spans="1:4" x14ac:dyDescent="0.2">
      <c r="A1425" s="5">
        <v>1364</v>
      </c>
      <c r="B1425" s="1832">
        <f>'Expenditures 15-22'!D259</f>
        <v>8818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8818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6893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76739</v>
      </c>
      <c r="D1431" s="2" t="str">
        <f t="shared" si="21"/>
        <v>Error?</v>
      </c>
    </row>
    <row r="1432" spans="1:4" x14ac:dyDescent="0.2">
      <c r="A1432" s="5">
        <v>1371</v>
      </c>
      <c r="B1432" s="1832">
        <f>'Expenditures 15-22'!D267</f>
        <v>20490</v>
      </c>
      <c r="D1432" s="2" t="str">
        <f t="shared" si="21"/>
        <v>Error?</v>
      </c>
    </row>
    <row r="1433" spans="1:4" x14ac:dyDescent="0.2">
      <c r="A1433" s="5">
        <v>1372</v>
      </c>
      <c r="B1433" s="1832">
        <f>'Expenditures 15-22'!D268</f>
        <v>19886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124008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158669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255719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6859</v>
      </c>
      <c r="C1471" s="2" t="s">
        <v>569</v>
      </c>
      <c r="D1471" s="2" t="str">
        <f t="shared" ref="D1471:D1534" si="22">IF(ISBLANK(B1471),"OK",IF(A1471-B1471=0,"OK","Error?"))</f>
        <v>Error?</v>
      </c>
    </row>
    <row r="1472" spans="1:4" x14ac:dyDescent="0.2">
      <c r="A1472" s="5">
        <v>1411</v>
      </c>
      <c r="B1472" s="1832">
        <f>'Expenditures 15-22'!K223</f>
        <v>10986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97050</v>
      </c>
      <c r="C1474" s="2" t="s">
        <v>569</v>
      </c>
      <c r="D1474" s="2" t="str">
        <f t="shared" si="22"/>
        <v>Error?</v>
      </c>
    </row>
    <row r="1475" spans="1:4" x14ac:dyDescent="0.2">
      <c r="A1475" s="5">
        <v>1414</v>
      </c>
      <c r="B1475" s="1832">
        <f>'Expenditures 15-22'!K232</f>
        <v>3907</v>
      </c>
      <c r="C1475" s="2" t="s">
        <v>569</v>
      </c>
      <c r="D1475" s="2" t="str">
        <f t="shared" si="22"/>
        <v>Error?</v>
      </c>
    </row>
    <row r="1476" spans="1:4" x14ac:dyDescent="0.2">
      <c r="A1476" s="5">
        <v>1415</v>
      </c>
      <c r="B1476" s="1832">
        <f>'Expenditures 15-22'!K233</f>
        <v>7656</v>
      </c>
      <c r="C1476" s="2" t="s">
        <v>569</v>
      </c>
      <c r="D1476" s="2" t="str">
        <f t="shared" si="22"/>
        <v>Error?</v>
      </c>
    </row>
    <row r="1477" spans="1:4" x14ac:dyDescent="0.2">
      <c r="A1477" s="5">
        <v>1416</v>
      </c>
      <c r="B1477" s="1832">
        <f>'Expenditures 15-22'!K234</f>
        <v>434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954</v>
      </c>
      <c r="C1480" s="2" t="s">
        <v>569</v>
      </c>
      <c r="D1480" s="2" t="str">
        <f t="shared" si="22"/>
        <v>Error?</v>
      </c>
    </row>
    <row r="1481" spans="1:4" x14ac:dyDescent="0.2">
      <c r="A1481" s="5">
        <v>1420</v>
      </c>
      <c r="B1481" s="1832">
        <f>'Expenditures 15-22'!K238</f>
        <v>12951</v>
      </c>
      <c r="C1481" s="2" t="s">
        <v>569</v>
      </c>
      <c r="D1481" s="2" t="str">
        <f t="shared" si="22"/>
        <v>Error?</v>
      </c>
    </row>
    <row r="1482" spans="1:4" x14ac:dyDescent="0.2">
      <c r="A1482" s="5">
        <v>1421</v>
      </c>
      <c r="B1482" s="1832">
        <f>'Expenditures 15-22'!K240</f>
        <v>74</v>
      </c>
      <c r="C1482" s="2" t="s">
        <v>569</v>
      </c>
      <c r="D1482" s="2" t="str">
        <f t="shared" si="22"/>
        <v>Error?</v>
      </c>
    </row>
    <row r="1483" spans="1:4" x14ac:dyDescent="0.2">
      <c r="A1483" s="5">
        <v>1422</v>
      </c>
      <c r="B1483" s="1832">
        <f>'Expenditures 15-22'!K241</f>
        <v>2701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2775</v>
      </c>
      <c r="C1485" s="2" t="s">
        <v>569</v>
      </c>
      <c r="D1485" s="2" t="str">
        <f t="shared" si="22"/>
        <v>Error?</v>
      </c>
    </row>
    <row r="1486" spans="1:4" x14ac:dyDescent="0.2">
      <c r="A1486" s="5">
        <v>1425</v>
      </c>
      <c r="B1486" s="1832">
        <f>'Expenditures 15-22'!K245</f>
        <v>1551</v>
      </c>
      <c r="C1486" s="2" t="s">
        <v>569</v>
      </c>
      <c r="D1486" s="2" t="str">
        <f t="shared" si="22"/>
        <v>Error?</v>
      </c>
    </row>
    <row r="1487" spans="1:4" x14ac:dyDescent="0.2">
      <c r="A1487" s="5">
        <v>1426</v>
      </c>
      <c r="B1487" s="1832">
        <f>'Expenditures 15-22'!K246</f>
        <v>8566</v>
      </c>
      <c r="C1487" s="2" t="s">
        <v>569</v>
      </c>
      <c r="D1487" s="2" t="str">
        <f t="shared" si="22"/>
        <v>Error?</v>
      </c>
    </row>
    <row r="1488" spans="1:4" x14ac:dyDescent="0.2">
      <c r="A1488" s="5">
        <v>1427</v>
      </c>
      <c r="B1488" s="1832">
        <f>'Expenditures 15-22'!K257</f>
        <v>10117</v>
      </c>
      <c r="C1488" s="2" t="s">
        <v>569</v>
      </c>
      <c r="D1488" s="2" t="str">
        <f t="shared" si="22"/>
        <v>Error?</v>
      </c>
    </row>
    <row r="1489" spans="1:4" x14ac:dyDescent="0.2">
      <c r="A1489" s="5">
        <v>1428</v>
      </c>
      <c r="B1489" s="1832">
        <f>'Expenditures 15-22'!K259</f>
        <v>8818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8818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6893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76739</v>
      </c>
      <c r="C1495" s="2" t="s">
        <v>569</v>
      </c>
      <c r="D1495" s="2" t="str">
        <f t="shared" si="22"/>
        <v>Error?</v>
      </c>
    </row>
    <row r="1496" spans="1:4" x14ac:dyDescent="0.2">
      <c r="A1496" s="5">
        <v>1435</v>
      </c>
      <c r="B1496" s="1832">
        <f>'Expenditures 15-22'!K267</f>
        <v>20490</v>
      </c>
      <c r="C1496" s="2" t="s">
        <v>569</v>
      </c>
      <c r="D1496" s="2" t="str">
        <f t="shared" si="22"/>
        <v>Error?</v>
      </c>
    </row>
    <row r="1497" spans="1:4" x14ac:dyDescent="0.2">
      <c r="A1497" s="5">
        <v>1436</v>
      </c>
      <c r="B1497" s="1832">
        <f>'Expenditures 15-22'!K268</f>
        <v>19886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124008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158669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255719</v>
      </c>
      <c r="C1517" s="2" t="s">
        <v>569</v>
      </c>
      <c r="D1517" s="2" t="str">
        <f t="shared" si="22"/>
        <v>Error?</v>
      </c>
    </row>
    <row r="1518" spans="1:4" x14ac:dyDescent="0.2">
      <c r="A1518" s="5">
        <v>1457</v>
      </c>
      <c r="B1518" s="1832">
        <f>'Expenditures 15-22'!K296</f>
        <v>-1054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4263500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4510755</v>
      </c>
      <c r="C1630" s="2" t="s">
        <v>569</v>
      </c>
      <c r="D1630" s="2" t="str">
        <f t="shared" si="24"/>
        <v>Error?</v>
      </c>
    </row>
    <row r="1631" spans="1:4" x14ac:dyDescent="0.2">
      <c r="A1631" s="5">
        <v>1570</v>
      </c>
      <c r="B1631" s="1832">
        <f>'Acct Summary 7-8'!D79</f>
        <v>660571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826126</v>
      </c>
      <c r="C1644" s="2" t="s">
        <v>569</v>
      </c>
      <c r="D1644" s="2" t="str">
        <f t="shared" si="24"/>
        <v>Error?</v>
      </c>
    </row>
    <row r="1645" spans="1:4" x14ac:dyDescent="0.2">
      <c r="A1645" s="5">
        <v>1584</v>
      </c>
      <c r="B1645" s="1832">
        <f>'Acct Summary 7-8'!E79</f>
        <v>112978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120249</v>
      </c>
      <c r="C1658" s="2" t="s">
        <v>569</v>
      </c>
      <c r="D1658" s="2" t="str">
        <f t="shared" si="24"/>
        <v>Error?</v>
      </c>
    </row>
    <row r="1659" spans="1:4" x14ac:dyDescent="0.2">
      <c r="A1659" s="5">
        <v>1598</v>
      </c>
      <c r="B1659" s="1832">
        <f>'Acct Summary 7-8'!F79</f>
        <v>245637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332324</v>
      </c>
      <c r="C1672" s="2" t="s">
        <v>569</v>
      </c>
      <c r="D1672" s="2" t="str">
        <f t="shared" si="25"/>
        <v>Error?</v>
      </c>
    </row>
    <row r="1673" spans="1:4" x14ac:dyDescent="0.2">
      <c r="A1673" s="5">
        <v>1612</v>
      </c>
      <c r="B1673" s="1832">
        <f>'Acct Summary 7-8'!G79</f>
        <v>169764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168710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2336766</v>
      </c>
      <c r="C1744" s="2" t="s">
        <v>569</v>
      </c>
      <c r="D1744" s="2" t="str">
        <f t="shared" si="26"/>
        <v>Error?</v>
      </c>
    </row>
    <row r="1745" spans="1:5" x14ac:dyDescent="0.2">
      <c r="A1745" s="5">
        <v>1684</v>
      </c>
      <c r="B1745" s="1832">
        <f>'Tax Sched 23'!B5</f>
        <v>380361</v>
      </c>
      <c r="C1745" s="2" t="s">
        <v>569</v>
      </c>
      <c r="D1745" s="2" t="str">
        <f t="shared" si="26"/>
        <v>Error?</v>
      </c>
    </row>
    <row r="1746" spans="1:5" x14ac:dyDescent="0.2">
      <c r="A1746" s="5">
        <v>1685</v>
      </c>
      <c r="B1746" s="1832">
        <f>'Tax Sched 23'!B6</f>
        <v>563392</v>
      </c>
      <c r="C1746" s="2" t="s">
        <v>569</v>
      </c>
      <c r="D1746" s="2" t="str">
        <f t="shared" si="26"/>
        <v>Error?</v>
      </c>
    </row>
    <row r="1747" spans="1:5" x14ac:dyDescent="0.2">
      <c r="A1747" s="5">
        <v>1686</v>
      </c>
      <c r="B1747" s="1832">
        <f>'Tax Sched 23'!B7</f>
        <v>246988</v>
      </c>
      <c r="C1747" s="2" t="s">
        <v>569</v>
      </c>
      <c r="D1747" s="2" t="str">
        <f t="shared" si="26"/>
        <v>Error?</v>
      </c>
    </row>
    <row r="1748" spans="1:5" x14ac:dyDescent="0.2">
      <c r="A1748" s="5">
        <v>1687</v>
      </c>
      <c r="B1748" s="1832">
        <f>'Tax Sched 23'!B8</f>
        <v>98823</v>
      </c>
      <c r="C1748" s="2" t="s">
        <v>569</v>
      </c>
      <c r="D1748" s="2" t="str">
        <f t="shared" si="26"/>
        <v>Error?</v>
      </c>
    </row>
    <row r="1749" spans="1:5" x14ac:dyDescent="0.2">
      <c r="A1749" s="5">
        <v>1688</v>
      </c>
      <c r="B1749" s="1832">
        <f>'Tax Sched 23'!B10</f>
        <v>84006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148206</v>
      </c>
      <c r="C1752" s="2" t="s">
        <v>569</v>
      </c>
      <c r="D1752" s="2" t="str">
        <f t="shared" si="26"/>
        <v>Error?</v>
      </c>
    </row>
    <row r="1753" spans="1:5" x14ac:dyDescent="0.2">
      <c r="A1753" s="5">
        <v>1692</v>
      </c>
      <c r="B1753" s="1832">
        <f>'Tax Sched 23'!B12</f>
        <v>49419</v>
      </c>
      <c r="C1753" s="2" t="s">
        <v>569</v>
      </c>
      <c r="D1753" s="2" t="str">
        <f t="shared" si="26"/>
        <v>Error?</v>
      </c>
    </row>
    <row r="1754" spans="1:5" x14ac:dyDescent="0.2">
      <c r="A1754" s="5">
        <v>1693</v>
      </c>
      <c r="B1754" s="1832">
        <f>'Tax Sched 23'!B14</f>
        <v>29666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4080891</v>
      </c>
      <c r="C1759" s="2" t="s">
        <v>569</v>
      </c>
      <c r="D1759" s="2" t="str">
        <f t="shared" si="26"/>
        <v>Error?</v>
      </c>
    </row>
    <row r="1760" spans="1:5" x14ac:dyDescent="0.2">
      <c r="A1760" s="5">
        <v>1699</v>
      </c>
      <c r="B1760" s="1832">
        <f>'Tax Sched 23'!D4</f>
        <v>2336766</v>
      </c>
      <c r="C1760" s="2" t="s">
        <v>569</v>
      </c>
      <c r="D1760" s="2" t="str">
        <f t="shared" si="26"/>
        <v>Error?</v>
      </c>
    </row>
    <row r="1761" spans="1:7" x14ac:dyDescent="0.2">
      <c r="A1761" s="5">
        <v>1700</v>
      </c>
      <c r="B1761" s="1832">
        <f>'Tax Sched 23'!D5</f>
        <v>380361</v>
      </c>
      <c r="C1761" s="2" t="s">
        <v>569</v>
      </c>
      <c r="D1761" s="2" t="str">
        <f t="shared" si="26"/>
        <v>Error?</v>
      </c>
    </row>
    <row r="1762" spans="1:7" s="8" customFormat="1" x14ac:dyDescent="0.2">
      <c r="A1762" s="5">
        <v>1701</v>
      </c>
      <c r="B1762" s="1832">
        <f>'Tax Sched 23'!D6</f>
        <v>563392</v>
      </c>
      <c r="C1762" s="2" t="s">
        <v>569</v>
      </c>
      <c r="D1762" s="2" t="str">
        <f t="shared" si="26"/>
        <v>Error?</v>
      </c>
      <c r="E1762" s="9"/>
      <c r="G1762"/>
    </row>
    <row r="1763" spans="1:7" x14ac:dyDescent="0.2">
      <c r="A1763" s="5">
        <v>1702</v>
      </c>
      <c r="B1763" s="1832">
        <f>'Tax Sched 23'!D7</f>
        <v>246988</v>
      </c>
      <c r="C1763" s="2" t="s">
        <v>569</v>
      </c>
      <c r="D1763" s="2" t="str">
        <f t="shared" si="26"/>
        <v>Error?</v>
      </c>
    </row>
    <row r="1764" spans="1:7" x14ac:dyDescent="0.2">
      <c r="A1764" s="5">
        <v>1703</v>
      </c>
      <c r="B1764" s="1832">
        <f>'Tax Sched 23'!D8</f>
        <v>98823</v>
      </c>
      <c r="C1764" s="2" t="s">
        <v>569</v>
      </c>
      <c r="D1764" s="2" t="str">
        <f t="shared" si="26"/>
        <v>Error?</v>
      </c>
    </row>
    <row r="1765" spans="1:7" x14ac:dyDescent="0.2">
      <c r="A1765" s="5">
        <v>1704</v>
      </c>
      <c r="B1765" s="1832">
        <f>'Tax Sched 23'!D10</f>
        <v>84006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148206</v>
      </c>
      <c r="C1768" s="2" t="s">
        <v>569</v>
      </c>
      <c r="D1768" s="2" t="str">
        <f t="shared" si="26"/>
        <v>Error?</v>
      </c>
    </row>
    <row r="1769" spans="1:7" x14ac:dyDescent="0.2">
      <c r="A1769" s="5">
        <v>1708</v>
      </c>
      <c r="B1769" s="1832">
        <f>'Tax Sched 23'!D12</f>
        <v>49419</v>
      </c>
      <c r="C1769" s="2" t="s">
        <v>569</v>
      </c>
      <c r="D1769" s="2" t="str">
        <f t="shared" si="26"/>
        <v>Error?</v>
      </c>
    </row>
    <row r="1770" spans="1:7" x14ac:dyDescent="0.2">
      <c r="A1770" s="5">
        <v>1709</v>
      </c>
      <c r="B1770" s="1832">
        <f>'Tax Sched 23'!D14</f>
        <v>29666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4080891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2362248</v>
      </c>
      <c r="C1792" s="2" t="s">
        <v>569</v>
      </c>
      <c r="D1792" s="2" t="str">
        <f t="shared" si="27"/>
        <v>Error?</v>
      </c>
    </row>
    <row r="1793" spans="1:4" x14ac:dyDescent="0.2">
      <c r="A1793" s="5">
        <v>1732</v>
      </c>
      <c r="B1793" s="1832">
        <f>'Tax Sched 23'!F5</f>
        <v>442328</v>
      </c>
      <c r="C1793" s="2" t="s">
        <v>569</v>
      </c>
      <c r="D1793" s="2" t="str">
        <f t="shared" si="27"/>
        <v>Error?</v>
      </c>
    </row>
    <row r="1794" spans="1:4" x14ac:dyDescent="0.2">
      <c r="A1794" s="5">
        <v>1733</v>
      </c>
      <c r="B1794" s="1832">
        <f>'Tax Sched 23'!F6</f>
        <v>562636</v>
      </c>
      <c r="C1794" s="2" t="s">
        <v>569</v>
      </c>
      <c r="D1794" s="2" t="str">
        <f t="shared" si="27"/>
        <v>Error?</v>
      </c>
    </row>
    <row r="1795" spans="1:4" x14ac:dyDescent="0.2">
      <c r="A1795" s="5">
        <v>1734</v>
      </c>
      <c r="B1795" s="1832">
        <f>'Tax Sched 23'!F7</f>
        <v>245748</v>
      </c>
      <c r="C1795" s="2" t="s">
        <v>569</v>
      </c>
      <c r="D1795" s="2" t="str">
        <f t="shared" si="27"/>
        <v>Error?</v>
      </c>
    </row>
    <row r="1796" spans="1:4" x14ac:dyDescent="0.2">
      <c r="A1796" s="5">
        <v>1735</v>
      </c>
      <c r="B1796" s="1832">
        <f>'Tax Sched 23'!F8</f>
        <v>98299</v>
      </c>
      <c r="C1796" s="2" t="s">
        <v>569</v>
      </c>
      <c r="D1796" s="2" t="str">
        <f t="shared" si="27"/>
        <v>Error?</v>
      </c>
    </row>
    <row r="1797" spans="1:4" x14ac:dyDescent="0.2">
      <c r="A1797" s="5">
        <v>1736</v>
      </c>
      <c r="B1797" s="1832">
        <f>'Tax Sched 23'!F10</f>
        <v>88466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157283</v>
      </c>
      <c r="C1800" s="2" t="s">
        <v>569</v>
      </c>
      <c r="D1800" s="2" t="str">
        <f t="shared" si="27"/>
        <v>Error?</v>
      </c>
    </row>
    <row r="1801" spans="1:4" x14ac:dyDescent="0.2">
      <c r="A1801" s="5">
        <v>1740</v>
      </c>
      <c r="B1801" s="1832">
        <f>'Tax Sched 23'!F12</f>
        <v>58984</v>
      </c>
      <c r="C1801" s="2" t="s">
        <v>569</v>
      </c>
      <c r="D1801" s="2" t="str">
        <f t="shared" si="27"/>
        <v>Error?</v>
      </c>
    </row>
    <row r="1802" spans="1:4" x14ac:dyDescent="0.2">
      <c r="A1802" s="5">
        <v>1741</v>
      </c>
      <c r="B1802" s="1832">
        <f>'Tax Sched 23'!F14</f>
        <v>29502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4188046</v>
      </c>
      <c r="C1807" s="2" t="s">
        <v>569</v>
      </c>
      <c r="D1807" s="2" t="str">
        <f t="shared" si="27"/>
        <v>Error?</v>
      </c>
    </row>
    <row r="1808" spans="1:4" x14ac:dyDescent="0.2">
      <c r="A1808" s="5">
        <v>1747</v>
      </c>
      <c r="B1808" s="1832">
        <f>'Tax Sched 23'!E4</f>
        <v>2362248</v>
      </c>
      <c r="D1808" s="2" t="str">
        <f t="shared" si="27"/>
        <v>Error?</v>
      </c>
    </row>
    <row r="1809" spans="1:4" x14ac:dyDescent="0.2">
      <c r="A1809" s="5">
        <v>1748</v>
      </c>
      <c r="B1809" s="1832">
        <f>'Tax Sched 23'!E5</f>
        <v>442328</v>
      </c>
      <c r="D1809" s="2" t="str">
        <f t="shared" si="27"/>
        <v>Error?</v>
      </c>
    </row>
    <row r="1810" spans="1:4" x14ac:dyDescent="0.2">
      <c r="A1810" s="5">
        <v>1749</v>
      </c>
      <c r="B1810" s="1832">
        <f>'Tax Sched 23'!E6</f>
        <v>562636</v>
      </c>
      <c r="D1810" s="2" t="str">
        <f t="shared" si="27"/>
        <v>Error?</v>
      </c>
    </row>
    <row r="1811" spans="1:4" x14ac:dyDescent="0.2">
      <c r="A1811" s="5">
        <v>1750</v>
      </c>
      <c r="B1811" s="1832">
        <f>'Tax Sched 23'!E7</f>
        <v>245748</v>
      </c>
      <c r="D1811" s="2" t="str">
        <f t="shared" si="27"/>
        <v>Error?</v>
      </c>
    </row>
    <row r="1812" spans="1:4" x14ac:dyDescent="0.2">
      <c r="A1812" s="5">
        <v>1751</v>
      </c>
      <c r="B1812" s="1832">
        <f>'Tax Sched 23'!E8</f>
        <v>98299</v>
      </c>
      <c r="D1812" s="2" t="str">
        <f t="shared" si="27"/>
        <v>Error?</v>
      </c>
    </row>
    <row r="1813" spans="1:4" x14ac:dyDescent="0.2">
      <c r="A1813" s="5">
        <v>1752</v>
      </c>
      <c r="B1813" s="1832">
        <f>'Tax Sched 23'!E10</f>
        <v>88466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157283</v>
      </c>
      <c r="D1816" s="2" t="str">
        <f t="shared" si="27"/>
        <v>Error?</v>
      </c>
    </row>
    <row r="1817" spans="1:4" x14ac:dyDescent="0.2">
      <c r="A1817" s="5">
        <v>1756</v>
      </c>
      <c r="B1817" s="1832">
        <f>'Tax Sched 23'!E12</f>
        <v>58984</v>
      </c>
      <c r="D1817" s="2" t="str">
        <f t="shared" si="27"/>
        <v>Error?</v>
      </c>
    </row>
    <row r="1818" spans="1:4" x14ac:dyDescent="0.2">
      <c r="A1818" s="5">
        <v>1757</v>
      </c>
      <c r="B1818" s="1832">
        <f>'Tax Sched 23'!E14</f>
        <v>29502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4188046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2155943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29666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29666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29666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103413</v>
      </c>
      <c r="D2008" s="2" t="str">
        <f t="shared" si="30"/>
        <v>Error?</v>
      </c>
    </row>
    <row r="2009" spans="1:4" x14ac:dyDescent="0.2">
      <c r="A2009" s="5">
        <v>1948</v>
      </c>
      <c r="B2009" s="1832">
        <f>'Cap Outlay Deprec 26'!C8</f>
        <v>13115390</v>
      </c>
      <c r="D2009" s="2" t="str">
        <f t="shared" si="30"/>
        <v>Error?</v>
      </c>
    </row>
    <row r="2010" spans="1:4" x14ac:dyDescent="0.2">
      <c r="A2010" s="5">
        <v>1949</v>
      </c>
      <c r="B2010" s="1832">
        <f>'Cap Outlay Deprec 26'!C10</f>
        <v>1146257</v>
      </c>
      <c r="D2010" s="2" t="str">
        <f t="shared" si="30"/>
        <v>Error?</v>
      </c>
    </row>
    <row r="2011" spans="1:4" x14ac:dyDescent="0.2">
      <c r="A2011" s="5">
        <v>1950</v>
      </c>
      <c r="B2011" s="1832">
        <f>'Cap Outlay Deprec 26'!C12</f>
        <v>979526</v>
      </c>
      <c r="D2011" s="2" t="str">
        <f t="shared" si="30"/>
        <v>Error?</v>
      </c>
    </row>
    <row r="2012" spans="1:4" x14ac:dyDescent="0.2">
      <c r="A2012" s="5">
        <v>1951</v>
      </c>
      <c r="B2012" s="1832">
        <f>'Cap Outlay Deprec 26'!C13</f>
        <v>845247</v>
      </c>
      <c r="D2012" s="2" t="str">
        <f t="shared" si="30"/>
        <v>Error?</v>
      </c>
    </row>
    <row r="2013" spans="1:4" x14ac:dyDescent="0.2">
      <c r="A2013" s="5">
        <v>1952</v>
      </c>
      <c r="B2013" s="1832">
        <f>'Cap Outlay Deprec 26'!C16</f>
        <v>16189833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622353</v>
      </c>
      <c r="D2015" s="2" t="str">
        <f t="shared" si="30"/>
        <v>Error?</v>
      </c>
    </row>
    <row r="2016" spans="1:4" x14ac:dyDescent="0.2">
      <c r="A2016" s="5">
        <v>1955</v>
      </c>
      <c r="B2016" s="1832">
        <f>'Cap Outlay Deprec 26'!D10</f>
        <v>66059</v>
      </c>
      <c r="D2016" s="2" t="str">
        <f t="shared" si="30"/>
        <v>Error?</v>
      </c>
    </row>
    <row r="2017" spans="1:4" x14ac:dyDescent="0.2">
      <c r="A2017" s="5">
        <v>1956</v>
      </c>
      <c r="B2017" s="1832">
        <f>'Cap Outlay Deprec 26'!D12</f>
        <v>135608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824020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208890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208890</v>
      </c>
      <c r="C2025" s="2" t="s">
        <v>569</v>
      </c>
      <c r="D2025" s="2" t="str">
        <f t="shared" si="30"/>
        <v>Error?</v>
      </c>
    </row>
    <row r="2026" spans="1:4" x14ac:dyDescent="0.2">
      <c r="A2026" s="5">
        <v>1965</v>
      </c>
      <c r="B2026" s="1832">
        <f>'Cap Outlay Deprec 26'!F5</f>
        <v>103413</v>
      </c>
      <c r="C2026" s="2" t="s">
        <v>569</v>
      </c>
      <c r="D2026" s="2" t="str">
        <f t="shared" si="30"/>
        <v>Error?</v>
      </c>
    </row>
    <row r="2027" spans="1:4" x14ac:dyDescent="0.2">
      <c r="A2027" s="5">
        <v>1966</v>
      </c>
      <c r="B2027" s="1832">
        <f>'Cap Outlay Deprec 26'!F8</f>
        <v>13737743</v>
      </c>
      <c r="C2027" s="2" t="s">
        <v>569</v>
      </c>
      <c r="D2027" s="2" t="str">
        <f t="shared" si="30"/>
        <v>Error?</v>
      </c>
    </row>
    <row r="2028" spans="1:4" x14ac:dyDescent="0.2">
      <c r="A2028" s="5">
        <v>1967</v>
      </c>
      <c r="B2028" s="1832">
        <f>'Cap Outlay Deprec 26'!F10</f>
        <v>1212316</v>
      </c>
      <c r="C2028" s="2" t="s">
        <v>569</v>
      </c>
      <c r="D2028" s="2" t="str">
        <f t="shared" si="30"/>
        <v>Error?</v>
      </c>
    </row>
    <row r="2029" spans="1:4" x14ac:dyDescent="0.2">
      <c r="A2029" s="5">
        <v>1968</v>
      </c>
      <c r="B2029" s="1832">
        <f>'Cap Outlay Deprec 26'!F12</f>
        <v>906244</v>
      </c>
      <c r="C2029" s="2" t="s">
        <v>569</v>
      </c>
      <c r="D2029" s="2" t="str">
        <f t="shared" si="30"/>
        <v>Error?</v>
      </c>
    </row>
    <row r="2030" spans="1:4" x14ac:dyDescent="0.2">
      <c r="A2030" s="5">
        <v>1969</v>
      </c>
      <c r="B2030" s="1832">
        <f>'Cap Outlay Deprec 26'!F13</f>
        <v>845247</v>
      </c>
      <c r="C2030" s="2" t="s">
        <v>569</v>
      </c>
      <c r="D2030" s="2" t="str">
        <f t="shared" si="30"/>
        <v>Error?</v>
      </c>
    </row>
    <row r="2031" spans="1:4" x14ac:dyDescent="0.2">
      <c r="A2031" s="5">
        <v>1970</v>
      </c>
      <c r="B2031" s="1832">
        <f>'Cap Outlay Deprec 26'!F16</f>
        <v>16804963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6107550</v>
      </c>
      <c r="D2033" s="2" t="str">
        <f t="shared" si="30"/>
        <v>Error?</v>
      </c>
    </row>
    <row r="2034" spans="1:4" x14ac:dyDescent="0.2">
      <c r="A2034" s="5">
        <v>1973</v>
      </c>
      <c r="B2034" s="1832">
        <f>'Cap Outlay Deprec 26'!H10</f>
        <v>884797</v>
      </c>
      <c r="D2034" s="2" t="str">
        <f t="shared" si="30"/>
        <v>Error?</v>
      </c>
    </row>
    <row r="2035" spans="1:4" x14ac:dyDescent="0.2">
      <c r="A2035" s="5">
        <v>1974</v>
      </c>
      <c r="B2035" s="1832">
        <f>'Cap Outlay Deprec 26'!H12</f>
        <v>689920</v>
      </c>
      <c r="D2035" s="2" t="str">
        <f t="shared" si="30"/>
        <v>Error?</v>
      </c>
    </row>
    <row r="2036" spans="1:4" x14ac:dyDescent="0.2">
      <c r="A2036" s="5">
        <v>1975</v>
      </c>
      <c r="B2036" s="1832">
        <f>'Cap Outlay Deprec 26'!H13</f>
        <v>576894</v>
      </c>
      <c r="D2036" s="2" t="str">
        <f t="shared" si="30"/>
        <v>Error?</v>
      </c>
    </row>
    <row r="2037" spans="1:4" x14ac:dyDescent="0.2">
      <c r="A2037" s="5">
        <v>1976</v>
      </c>
      <c r="B2037" s="1832">
        <f>'Cap Outlay Deprec 26'!H16</f>
        <v>8259161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240440</v>
      </c>
      <c r="D2039" s="2" t="str">
        <f t="shared" si="30"/>
        <v>Error?</v>
      </c>
    </row>
    <row r="2040" spans="1:4" x14ac:dyDescent="0.2">
      <c r="A2040" s="5">
        <v>1979</v>
      </c>
      <c r="B2040" s="1832">
        <f>'Cap Outlay Deprec 26'!I10</f>
        <v>21247</v>
      </c>
      <c r="D2040" s="2" t="str">
        <f t="shared" si="30"/>
        <v>Error?</v>
      </c>
    </row>
    <row r="2041" spans="1:4" x14ac:dyDescent="0.2">
      <c r="A2041" s="5">
        <v>1980</v>
      </c>
      <c r="B2041" s="1832">
        <f>'Cap Outlay Deprec 26'!I12</f>
        <v>84157</v>
      </c>
      <c r="D2041" s="2" t="str">
        <f t="shared" si="30"/>
        <v>Error?</v>
      </c>
    </row>
    <row r="2042" spans="1:4" x14ac:dyDescent="0.2">
      <c r="A2042" s="5">
        <v>1981</v>
      </c>
      <c r="B2042" s="1832">
        <f>'Cap Outlay Deprec 26'!I13</f>
        <v>98149</v>
      </c>
      <c r="D2042" s="2" t="str">
        <f t="shared" si="30"/>
        <v>Error?</v>
      </c>
    </row>
    <row r="2043" spans="1:4" x14ac:dyDescent="0.2">
      <c r="A2043" s="5">
        <v>1982</v>
      </c>
      <c r="B2043" s="1832">
        <f>'Cap Outlay Deprec 26'!I16</f>
        <v>443993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208890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208890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6347990</v>
      </c>
      <c r="C2051" s="2" t="s">
        <v>569</v>
      </c>
      <c r="D2051" s="2" t="str">
        <f t="shared" si="31"/>
        <v>Error?</v>
      </c>
    </row>
    <row r="2052" spans="1:4" x14ac:dyDescent="0.2">
      <c r="A2052" s="5">
        <v>1991</v>
      </c>
      <c r="B2052" s="1832">
        <f>'Cap Outlay Deprec 26'!K10</f>
        <v>906044</v>
      </c>
      <c r="C2052" s="2" t="s">
        <v>569</v>
      </c>
      <c r="D2052" s="2" t="str">
        <f t="shared" si="31"/>
        <v>Error?</v>
      </c>
    </row>
    <row r="2053" spans="1:4" x14ac:dyDescent="0.2">
      <c r="A2053" s="5">
        <v>1992</v>
      </c>
      <c r="B2053" s="1832">
        <f>'Cap Outlay Deprec 26'!K12</f>
        <v>565187</v>
      </c>
      <c r="C2053" s="2" t="s">
        <v>569</v>
      </c>
      <c r="D2053" s="2" t="str">
        <f t="shared" si="31"/>
        <v>Error?</v>
      </c>
    </row>
    <row r="2054" spans="1:4" x14ac:dyDescent="0.2">
      <c r="A2054" s="5">
        <v>1993</v>
      </c>
      <c r="B2054" s="1832">
        <f>'Cap Outlay Deprec 26'!K13</f>
        <v>675043</v>
      </c>
      <c r="C2054" s="2" t="s">
        <v>569</v>
      </c>
      <c r="D2054" s="2" t="str">
        <f t="shared" si="31"/>
        <v>Error?</v>
      </c>
    </row>
    <row r="2055" spans="1:4" x14ac:dyDescent="0.2">
      <c r="A2055" s="5">
        <v>1994</v>
      </c>
      <c r="B2055" s="1832">
        <f>'Cap Outlay Deprec 26'!K16</f>
        <v>8494264</v>
      </c>
      <c r="C2055" s="2" t="s">
        <v>569</v>
      </c>
      <c r="D2055" s="2" t="str">
        <f t="shared" si="31"/>
        <v>Error?</v>
      </c>
    </row>
    <row r="2056" spans="1:4" x14ac:dyDescent="0.2">
      <c r="A2056" s="5">
        <v>1995</v>
      </c>
      <c r="B2056" s="1832">
        <f>'Cap Outlay Deprec 26'!L5</f>
        <v>103413</v>
      </c>
      <c r="C2056" s="2" t="s">
        <v>569</v>
      </c>
      <c r="D2056" s="2" t="str">
        <f t="shared" si="31"/>
        <v>Error?</v>
      </c>
    </row>
    <row r="2057" spans="1:4" x14ac:dyDescent="0.2">
      <c r="A2057" s="5">
        <v>1996</v>
      </c>
      <c r="B2057" s="1832">
        <f>'Cap Outlay Deprec 26'!L8</f>
        <v>7389753</v>
      </c>
      <c r="C2057" s="2" t="s">
        <v>569</v>
      </c>
      <c r="D2057" s="2" t="str">
        <f t="shared" si="31"/>
        <v>Error?</v>
      </c>
    </row>
    <row r="2058" spans="1:4" x14ac:dyDescent="0.2">
      <c r="A2058" s="5">
        <v>1997</v>
      </c>
      <c r="B2058" s="1832">
        <f>'Cap Outlay Deprec 26'!L10</f>
        <v>306272</v>
      </c>
      <c r="C2058" s="2" t="s">
        <v>569</v>
      </c>
      <c r="D2058" s="2" t="str">
        <f t="shared" si="31"/>
        <v>Error?</v>
      </c>
    </row>
    <row r="2059" spans="1:4" x14ac:dyDescent="0.2">
      <c r="A2059" s="5">
        <v>1998</v>
      </c>
      <c r="B2059" s="1832">
        <f>'Cap Outlay Deprec 26'!L12</f>
        <v>341057</v>
      </c>
      <c r="C2059" s="2" t="s">
        <v>569</v>
      </c>
      <c r="D2059" s="2" t="str">
        <f t="shared" si="31"/>
        <v>Error?</v>
      </c>
    </row>
    <row r="2060" spans="1:4" x14ac:dyDescent="0.2">
      <c r="A2060" s="5">
        <v>1999</v>
      </c>
      <c r="B2060" s="1832">
        <f>'Cap Outlay Deprec 26'!L13</f>
        <v>170204</v>
      </c>
      <c r="C2060" s="2" t="s">
        <v>569</v>
      </c>
      <c r="D2060" s="2" t="str">
        <f t="shared" si="31"/>
        <v>Error?</v>
      </c>
    </row>
    <row r="2061" spans="1:4" x14ac:dyDescent="0.2">
      <c r="A2061" s="5">
        <v>2000</v>
      </c>
      <c r="B2061" s="1832">
        <f>'Cap Outlay Deprec 26'!L16</f>
        <v>8310699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434966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434966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19888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5813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3104820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2954271</v>
      </c>
      <c r="C2553" s="2" t="s">
        <v>569</v>
      </c>
      <c r="D2553" s="2" t="str">
        <f t="shared" si="38"/>
        <v>Error?</v>
      </c>
    </row>
    <row r="2554" spans="1:4" x14ac:dyDescent="0.2">
      <c r="A2554" s="5">
        <v>2493</v>
      </c>
      <c r="B2554" s="1832">
        <f>'Acct Summary 7-8'!C7</f>
        <v>456464</v>
      </c>
      <c r="C2554" s="2" t="s">
        <v>569</v>
      </c>
      <c r="D2554" s="2" t="str">
        <f t="shared" si="38"/>
        <v>Error?</v>
      </c>
    </row>
    <row r="2555" spans="1:4" x14ac:dyDescent="0.2">
      <c r="A2555" s="5">
        <v>2494</v>
      </c>
      <c r="B2555" s="1832">
        <f>'Acct Summary 7-8'!C8</f>
        <v>6515555</v>
      </c>
      <c r="C2555" s="2" t="s">
        <v>569</v>
      </c>
      <c r="D2555" s="2" t="str">
        <f t="shared" si="38"/>
        <v>Error?</v>
      </c>
    </row>
    <row r="2556" spans="1:4" x14ac:dyDescent="0.2">
      <c r="A2556" s="5">
        <v>2495</v>
      </c>
      <c r="B2556" s="1832">
        <f>'Acct Summary 7-8'!C12</f>
        <v>4037904</v>
      </c>
      <c r="C2556" s="2" t="s">
        <v>569</v>
      </c>
      <c r="D2556" s="2" t="str">
        <f t="shared" si="38"/>
        <v>Error?</v>
      </c>
    </row>
    <row r="2557" spans="1:4" x14ac:dyDescent="0.2">
      <c r="A2557" s="5">
        <v>2496</v>
      </c>
      <c r="B2557" s="1832">
        <f>'Acct Summary 7-8'!C13</f>
        <v>1795430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434966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6268300</v>
      </c>
      <c r="C2561" s="2" t="s">
        <v>569</v>
      </c>
      <c r="D2561" s="2" t="str">
        <f t="shared" si="39"/>
        <v>Error?</v>
      </c>
    </row>
    <row r="2562" spans="1:4" x14ac:dyDescent="0.2">
      <c r="A2562" s="5">
        <v>2501</v>
      </c>
      <c r="B2562" s="1832">
        <f>'Acct Summary 7-8'!C20</f>
        <v>247255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401897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867034</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1268931</v>
      </c>
      <c r="C2568" s="2" t="s">
        <v>569</v>
      </c>
      <c r="D2568" s="2" t="str">
        <f t="shared" si="39"/>
        <v>Error?</v>
      </c>
    </row>
    <row r="2569" spans="1:4" x14ac:dyDescent="0.2">
      <c r="A2569" s="5">
        <v>2508</v>
      </c>
      <c r="B2569" s="1832">
        <f>'Acct Summary 7-8'!D13</f>
        <v>1103376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1103376</v>
      </c>
      <c r="C2573" s="2" t="s">
        <v>569</v>
      </c>
      <c r="D2573" s="2" t="str">
        <f t="shared" si="39"/>
        <v>Error?</v>
      </c>
    </row>
    <row r="2574" spans="1:4" x14ac:dyDescent="0.2">
      <c r="A2574" s="5">
        <v>2513</v>
      </c>
      <c r="B2574" s="1832">
        <f>'Acct Summary 7-8'!D20</f>
        <v>165555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252091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147358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399916</v>
      </c>
      <c r="C2595" s="2" t="s">
        <v>569</v>
      </c>
      <c r="D2595" s="2" t="str">
        <f t="shared" si="39"/>
        <v>Error?</v>
      </c>
    </row>
    <row r="2596" spans="1:4" x14ac:dyDescent="0.2">
      <c r="A2596" s="5">
        <v>2535</v>
      </c>
      <c r="B2596" s="1832">
        <f>'Acct Summary 7-8'!F13</f>
        <v>229417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83812</v>
      </c>
      <c r="C2599" s="2" t="s">
        <v>569</v>
      </c>
      <c r="D2599" s="2" t="str">
        <f t="shared" si="39"/>
        <v>Error?</v>
      </c>
    </row>
    <row r="2600" spans="1:4" x14ac:dyDescent="0.2">
      <c r="A2600" s="5">
        <v>2539</v>
      </c>
      <c r="B2600" s="1832">
        <f>'Acct Summary 7-8'!F17</f>
        <v>313229</v>
      </c>
      <c r="C2600" s="2" t="s">
        <v>569</v>
      </c>
      <c r="D2600" s="2" t="str">
        <f t="shared" si="39"/>
        <v>Error?</v>
      </c>
    </row>
    <row r="2601" spans="1:4" x14ac:dyDescent="0.2">
      <c r="A2601" s="5">
        <v>2540</v>
      </c>
      <c r="B2601" s="1832">
        <f>'Acct Summary 7-8'!F20</f>
        <v>86687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254665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254665</v>
      </c>
      <c r="C2606" s="2" t="s">
        <v>569</v>
      </c>
      <c r="D2606" s="2" t="str">
        <f t="shared" si="39"/>
        <v>Error?</v>
      </c>
    </row>
    <row r="2607" spans="1:4" x14ac:dyDescent="0.2">
      <c r="A2607" s="5">
        <v>2546</v>
      </c>
      <c r="B2607" s="1832">
        <f>'Acct Summary 7-8'!G12</f>
        <v>97050</v>
      </c>
      <c r="C2607" s="2" t="s">
        <v>569</v>
      </c>
      <c r="D2607" s="2" t="str">
        <f t="shared" si="39"/>
        <v>Error?</v>
      </c>
    </row>
    <row r="2608" spans="1:4" x14ac:dyDescent="0.2">
      <c r="A2608" s="5">
        <v>2547</v>
      </c>
      <c r="B2608" s="1832">
        <f>'Acct Summary 7-8'!G13</f>
        <v>158669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255719</v>
      </c>
      <c r="C2612" s="2" t="s">
        <v>569</v>
      </c>
      <c r="D2612" s="2" t="str">
        <f t="shared" si="39"/>
        <v>Error?</v>
      </c>
    </row>
    <row r="2613" spans="1:4" x14ac:dyDescent="0.2">
      <c r="A2613" s="5">
        <v>2552</v>
      </c>
      <c r="B2613" s="1832">
        <f>'Acct Summary 7-8'!G20</f>
        <v>-1054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565602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565602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558331</v>
      </c>
      <c r="C2634" s="2" t="s">
        <v>569</v>
      </c>
      <c r="D2634" s="2" t="str">
        <f t="shared" si="40"/>
        <v>Error?</v>
      </c>
    </row>
    <row r="2635" spans="1:4" x14ac:dyDescent="0.2">
      <c r="A2635" s="5">
        <v>2574</v>
      </c>
      <c r="B2635" s="1832">
        <f>'Acct Summary 7-8'!E17</f>
        <v>558331</v>
      </c>
      <c r="C2635" s="2" t="s">
        <v>569</v>
      </c>
      <c r="D2635" s="2" t="str">
        <f t="shared" si="40"/>
        <v>Error?</v>
      </c>
    </row>
    <row r="2636" spans="1:4" x14ac:dyDescent="0.2">
      <c r="A2636" s="5">
        <v>2575</v>
      </c>
      <c r="B2636" s="1832">
        <f>'Acct Summary 7-8'!E20</f>
        <v>7271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368</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368</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1593576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427616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1593576</v>
      </c>
      <c r="D2912" s="2" t="str">
        <f t="shared" si="44"/>
        <v>Error?</v>
      </c>
    </row>
    <row r="2913" spans="1:4" x14ac:dyDescent="0.2">
      <c r="A2913" s="5">
        <v>2852</v>
      </c>
      <c r="B2913" s="1832">
        <f>'Assets-Liab 5-6'!I41</f>
        <v>1593576</v>
      </c>
      <c r="C2913" s="2" t="s">
        <v>569</v>
      </c>
      <c r="D2913" s="2" t="str">
        <f t="shared" si="44"/>
        <v>Error?</v>
      </c>
    </row>
    <row r="2914" spans="1:4" x14ac:dyDescent="0.2">
      <c r="A2914" s="5">
        <v>2853</v>
      </c>
      <c r="B2914" s="1832">
        <f>'Assets-Liab 5-6'!L33</f>
        <v>427616</v>
      </c>
      <c r="D2914" s="2" t="str">
        <f t="shared" si="44"/>
        <v>Error?</v>
      </c>
    </row>
    <row r="2915" spans="1:4" x14ac:dyDescent="0.2">
      <c r="A2915" s="10">
        <v>2854</v>
      </c>
      <c r="B2915" s="1832"/>
      <c r="D2915" s="2" t="str">
        <f t="shared" si="44"/>
        <v>OK</v>
      </c>
    </row>
    <row r="2916" spans="1:4" x14ac:dyDescent="0.2">
      <c r="A2916" s="5">
        <v>2855</v>
      </c>
      <c r="B2916" s="1832">
        <f>'Assets-Liab 5-6'!L34</f>
        <v>427616</v>
      </c>
      <c r="C2916" s="2" t="s">
        <v>569</v>
      </c>
      <c r="D2916" s="2" t="str">
        <f t="shared" si="44"/>
        <v>Error?</v>
      </c>
    </row>
    <row r="2917" spans="1:4" x14ac:dyDescent="0.2">
      <c r="A2917" s="5">
        <v>2856</v>
      </c>
      <c r="B2917" s="1832">
        <f>'Assets-Liab 5-6'!L41</f>
        <v>427616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434966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434966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74448</v>
      </c>
      <c r="D3055" s="2" t="str">
        <f t="shared" si="46"/>
        <v>Error?</v>
      </c>
    </row>
    <row r="3056" spans="1:4" x14ac:dyDescent="0.2">
      <c r="A3056" s="5">
        <v>2995</v>
      </c>
      <c r="B3056" s="1832">
        <f>'Expenditures 15-22'!D10</f>
        <v>9209</v>
      </c>
      <c r="D3056" s="2" t="str">
        <f t="shared" si="46"/>
        <v>Error?</v>
      </c>
    </row>
    <row r="3057" spans="1:4" x14ac:dyDescent="0.2">
      <c r="A3057" s="5">
        <v>2996</v>
      </c>
      <c r="B3057" s="1832">
        <f>'Expenditures 15-22'!E10</f>
        <v>17585</v>
      </c>
      <c r="D3057" s="2" t="str">
        <f t="shared" si="46"/>
        <v>Error?</v>
      </c>
    </row>
    <row r="3058" spans="1:4" x14ac:dyDescent="0.2">
      <c r="A3058" s="5">
        <v>2997</v>
      </c>
      <c r="B3058" s="1832">
        <f>'Expenditures 15-22'!F10</f>
        <v>64251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165493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1012</v>
      </c>
      <c r="D3064" s="2" t="str">
        <f t="shared" si="46"/>
        <v>Error?</v>
      </c>
    </row>
    <row r="3065" spans="1:4" x14ac:dyDescent="0.2">
      <c r="A3065" s="5">
        <v>3004</v>
      </c>
      <c r="B3065" s="1832">
        <f>'Expenditures 15-22'!K219</f>
        <v>1012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112543</v>
      </c>
      <c r="C3225" s="2" t="s">
        <v>569</v>
      </c>
      <c r="D3225" s="2" t="str">
        <f t="shared" si="49"/>
        <v>Error?</v>
      </c>
    </row>
    <row r="3226" spans="1:4" x14ac:dyDescent="0.2">
      <c r="A3226" s="5">
        <v>3165</v>
      </c>
      <c r="B3226" s="1832">
        <f>'Acct Summary 7-8'!I8</f>
        <v>112543</v>
      </c>
      <c r="C3226" s="2" t="s">
        <v>569</v>
      </c>
      <c r="D3226" s="2" t="str">
        <f t="shared" si="49"/>
        <v>Error?</v>
      </c>
    </row>
    <row r="3227" spans="1:4" x14ac:dyDescent="0.2">
      <c r="A3227" s="5">
        <v>3166</v>
      </c>
      <c r="B3227" s="1832">
        <f>'Acct Summary 7-8'!I20</f>
        <v>112543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247255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165555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86687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-1054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7271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112543</v>
      </c>
      <c r="C3320" s="2" t="s">
        <v>569</v>
      </c>
      <c r="D3320" s="2" t="str">
        <f t="shared" si="50"/>
        <v>Error?</v>
      </c>
    </row>
    <row r="3321" spans="1:4" x14ac:dyDescent="0.2">
      <c r="A3321" s="5">
        <v>3260</v>
      </c>
      <c r="B3321" s="1832">
        <f>'Acct Summary 7-8'!I79</f>
        <v>1481033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1593576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528944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72386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2261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1302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604893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44346</v>
      </c>
      <c r="D3387" s="2" t="str">
        <f t="shared" si="51"/>
        <v>Error?</v>
      </c>
    </row>
    <row r="3388" spans="1:4" x14ac:dyDescent="0.2">
      <c r="A3388" s="5">
        <v>3327</v>
      </c>
      <c r="B3388" s="1832">
        <f>'Expenditures 15-22'!D217</f>
        <v>33712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44346</v>
      </c>
      <c r="C3390" s="2" t="s">
        <v>569</v>
      </c>
      <c r="D3390" s="2" t="str">
        <f t="shared" si="51"/>
        <v>Error?</v>
      </c>
    </row>
    <row r="3391" spans="1:4" x14ac:dyDescent="0.2">
      <c r="A3391" s="5">
        <v>3330</v>
      </c>
      <c r="B3391" s="1832">
        <f>'Expenditures 15-22'!K217</f>
        <v>33712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467</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2795355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826126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120249</v>
      </c>
      <c r="D3417" s="2" t="str">
        <f t="shared" si="52"/>
        <v>Error?</v>
      </c>
    </row>
    <row r="3418" spans="1:4" x14ac:dyDescent="0.2">
      <c r="A3418" s="10">
        <v>3357</v>
      </c>
      <c r="B3418" s="1832"/>
      <c r="D3418" s="2" t="str">
        <f t="shared" si="52"/>
        <v>OK</v>
      </c>
    </row>
    <row r="3419" spans="1:4" x14ac:dyDescent="0.2">
      <c r="A3419" s="5">
        <v>3358</v>
      </c>
      <c r="B3419" s="1832">
        <f>'Assets-Liab 5-6'!F4</f>
        <v>332324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168710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1593576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427616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123494</v>
      </c>
      <c r="C3446" s="2" t="s">
        <v>569</v>
      </c>
      <c r="D3446" s="2" t="str">
        <f t="shared" si="52"/>
        <v>Error?</v>
      </c>
    </row>
    <row r="3447" spans="1:4" x14ac:dyDescent="0.2">
      <c r="A3447" s="5">
        <v>3386</v>
      </c>
      <c r="B3447" s="1832">
        <f>'Tax Sched 23'!D16</f>
        <v>123494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122884</v>
      </c>
      <c r="C3449" s="2" t="s">
        <v>569</v>
      </c>
      <c r="D3449" s="2" t="str">
        <f t="shared" si="52"/>
        <v>Error?</v>
      </c>
    </row>
    <row r="3450" spans="1:4" x14ac:dyDescent="0.2">
      <c r="A3450" s="5">
        <v>3389</v>
      </c>
      <c r="B3450" s="1832">
        <f>'Tax Sched 23'!E16</f>
        <v>122884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77667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77667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77667</v>
      </c>
      <c r="D3567" s="2" t="str">
        <f t="shared" si="54"/>
        <v>Error?</v>
      </c>
    </row>
    <row r="3568" spans="1:4" x14ac:dyDescent="0.2">
      <c r="A3568" s="5">
        <v>3507</v>
      </c>
      <c r="B3568" s="1832">
        <f>'Assets-Liab 5-6'!K41</f>
        <v>77667</v>
      </c>
      <c r="C3568" s="2" t="s">
        <v>569</v>
      </c>
      <c r="D3568" s="2" t="str">
        <f t="shared" si="54"/>
        <v>Error?</v>
      </c>
    </row>
    <row r="3569" spans="1:4" x14ac:dyDescent="0.2">
      <c r="A3569" s="5">
        <v>3508</v>
      </c>
      <c r="B3569" s="1832">
        <f>'Acct Summary 7-8'!K4</f>
        <v>50596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50596</v>
      </c>
      <c r="C3571" s="2" t="s">
        <v>569</v>
      </c>
      <c r="D3571" s="2" t="str">
        <f t="shared" si="54"/>
        <v>Error?</v>
      </c>
    </row>
    <row r="3572" spans="1:4" x14ac:dyDescent="0.2">
      <c r="A3572" s="5">
        <v>3511</v>
      </c>
      <c r="B3572" s="1832">
        <f>'Acct Summary 7-8'!K13</f>
        <v>36088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36088</v>
      </c>
      <c r="C3575" s="2" t="s">
        <v>569</v>
      </c>
      <c r="D3575" s="2" t="str">
        <f t="shared" si="54"/>
        <v>Error?</v>
      </c>
    </row>
    <row r="3576" spans="1:4" x14ac:dyDescent="0.2">
      <c r="A3576" s="5">
        <v>3515</v>
      </c>
      <c r="B3576" s="1832">
        <f>'Acct Summary 7-8'!K20</f>
        <v>14508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14508</v>
      </c>
      <c r="C3588" s="2" t="s">
        <v>569</v>
      </c>
      <c r="D3588" s="2" t="str">
        <f t="shared" si="55"/>
        <v>Error?</v>
      </c>
    </row>
    <row r="3589" spans="1:4" x14ac:dyDescent="0.2">
      <c r="A3589" s="5">
        <v>3528</v>
      </c>
      <c r="B3589" s="1832">
        <f>'Acct Summary 7-8'!K79</f>
        <v>63159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77667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32673</v>
      </c>
      <c r="D3632" s="2" t="str">
        <f t="shared" si="55"/>
        <v>Error?</v>
      </c>
    </row>
    <row r="3633" spans="1:4" x14ac:dyDescent="0.2">
      <c r="A3633" s="5">
        <v>3572</v>
      </c>
      <c r="B3633" s="1832">
        <f>'Expenditures 15-22'!E350</f>
        <v>32673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32673</v>
      </c>
      <c r="C3635" s="2" t="s">
        <v>569</v>
      </c>
      <c r="D3635" s="2" t="str">
        <f t="shared" si="55"/>
        <v>Error?</v>
      </c>
    </row>
    <row r="3636" spans="1:4" x14ac:dyDescent="0.2">
      <c r="A3636" s="5">
        <v>3575</v>
      </c>
      <c r="B3636" s="1832">
        <f>'Expenditures 15-22'!E367</f>
        <v>32673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3415</v>
      </c>
      <c r="D3646" s="2" t="str">
        <f t="shared" si="55"/>
        <v>Error?</v>
      </c>
    </row>
    <row r="3647" spans="1:4" x14ac:dyDescent="0.2">
      <c r="A3647" s="5">
        <v>3586</v>
      </c>
      <c r="B3647" s="1832">
        <f>'Expenditures 15-22'!G350</f>
        <v>3415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3415</v>
      </c>
      <c r="C3649" s="2" t="s">
        <v>569</v>
      </c>
      <c r="D3649" s="2" t="str">
        <f t="shared" si="56"/>
        <v>Error?</v>
      </c>
    </row>
    <row r="3650" spans="1:4" x14ac:dyDescent="0.2">
      <c r="A3650" s="5">
        <v>3589</v>
      </c>
      <c r="B3650" s="1832">
        <f>'Expenditures 15-22'!G367</f>
        <v>3415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36088</v>
      </c>
      <c r="C3669" s="2" t="s">
        <v>569</v>
      </c>
      <c r="D3669" s="2" t="str">
        <f t="shared" si="56"/>
        <v>Error?</v>
      </c>
    </row>
    <row r="3670" spans="1:4" x14ac:dyDescent="0.2">
      <c r="A3670" s="5">
        <v>3609</v>
      </c>
      <c r="B3670" s="1832">
        <f>'Expenditures 15-22'!K350</f>
        <v>36088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36088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36088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14508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19770</v>
      </c>
      <c r="C3725" s="2" t="s">
        <v>569</v>
      </c>
      <c r="D3725" s="2" t="str">
        <f t="shared" si="57"/>
        <v>Error?</v>
      </c>
    </row>
    <row r="3726" spans="1:4" x14ac:dyDescent="0.2">
      <c r="A3726" s="5">
        <v>3665</v>
      </c>
      <c r="B3726" s="1832">
        <f>'Tax Sched 23'!D13</f>
        <v>19770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19668</v>
      </c>
      <c r="C3728" s="2" t="s">
        <v>569</v>
      </c>
      <c r="D3728" s="2" t="str">
        <f t="shared" si="57"/>
        <v>Error?</v>
      </c>
    </row>
    <row r="3729" spans="1:4" x14ac:dyDescent="0.2">
      <c r="A3729" s="5">
        <v>3668</v>
      </c>
      <c r="B3729" s="1832">
        <f>'Tax Sched 23'!E13</f>
        <v>19668</v>
      </c>
      <c r="D3729" s="2" t="str">
        <f t="shared" si="57"/>
        <v>Error?</v>
      </c>
    </row>
    <row r="3730" spans="1:4" x14ac:dyDescent="0.2">
      <c r="A3730" s="5">
        <v>3669</v>
      </c>
      <c r="B3730" s="1832">
        <f>'ICR Computation 30'!E10</f>
        <v>148291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414672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6930227</v>
      </c>
      <c r="C4122" s="2" t="s">
        <v>569</v>
      </c>
      <c r="D4122" s="2" t="str">
        <f t="shared" si="63"/>
        <v>Error?</v>
      </c>
    </row>
    <row r="4123" spans="1:4" x14ac:dyDescent="0.2">
      <c r="A4123" s="5">
        <v>4062</v>
      </c>
      <c r="B4123" s="1832">
        <f>'Acct Summary 7-8'!D10</f>
        <v>1268931</v>
      </c>
      <c r="C4123" s="2" t="s">
        <v>569</v>
      </c>
      <c r="D4123" s="2" t="str">
        <f t="shared" si="63"/>
        <v>Error?</v>
      </c>
    </row>
    <row r="4124" spans="1:4" x14ac:dyDescent="0.2">
      <c r="A4124" s="5">
        <v>4063</v>
      </c>
      <c r="B4124" s="1832">
        <f>'Acct Summary 7-8'!E10</f>
        <v>565602</v>
      </c>
      <c r="C4124" s="2" t="s">
        <v>569</v>
      </c>
      <c r="D4124" s="2" t="str">
        <f t="shared" si="63"/>
        <v>Error?</v>
      </c>
    </row>
    <row r="4125" spans="1:4" x14ac:dyDescent="0.2">
      <c r="A4125" s="5">
        <v>4064</v>
      </c>
      <c r="B4125" s="1832">
        <f>'Acct Summary 7-8'!F10</f>
        <v>399916</v>
      </c>
      <c r="C4125" s="2" t="s">
        <v>569</v>
      </c>
      <c r="D4125" s="2" t="str">
        <f t="shared" si="63"/>
        <v>Error?</v>
      </c>
    </row>
    <row r="4126" spans="1:4" x14ac:dyDescent="0.2">
      <c r="A4126" s="5">
        <v>4065</v>
      </c>
      <c r="B4126" s="1832">
        <f>'Acct Summary 7-8'!G10</f>
        <v>254665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112543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50596</v>
      </c>
      <c r="C4130" s="2" t="s">
        <v>569</v>
      </c>
      <c r="D4130" s="2" t="str">
        <f t="shared" si="63"/>
        <v>Error?</v>
      </c>
    </row>
    <row r="4131" spans="1:4" x14ac:dyDescent="0.2">
      <c r="A4131" s="5">
        <v>4070</v>
      </c>
      <c r="B4131" s="1832">
        <f>'Acct Summary 7-8'!C18</f>
        <v>414672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6682972</v>
      </c>
      <c r="C4136" s="2" t="s">
        <v>569</v>
      </c>
      <c r="D4136" s="2" t="str">
        <f t="shared" si="63"/>
        <v>Error?</v>
      </c>
    </row>
    <row r="4137" spans="1:4" x14ac:dyDescent="0.2">
      <c r="A4137" s="5">
        <v>4076</v>
      </c>
      <c r="B4137" s="1832">
        <f>'Acct Summary 7-8'!D19</f>
        <v>1103376</v>
      </c>
      <c r="C4137" s="2" t="s">
        <v>569</v>
      </c>
      <c r="D4137" s="2" t="str">
        <f t="shared" si="63"/>
        <v>Error?</v>
      </c>
    </row>
    <row r="4138" spans="1:4" x14ac:dyDescent="0.2">
      <c r="A4138" s="5">
        <v>4077</v>
      </c>
      <c r="B4138" s="1832">
        <f>'Acct Summary 7-8'!E19</f>
        <v>558331</v>
      </c>
      <c r="C4138" s="2" t="s">
        <v>569</v>
      </c>
      <c r="D4138" s="2" t="str">
        <f t="shared" si="63"/>
        <v>Error?</v>
      </c>
    </row>
    <row r="4139" spans="1:4" x14ac:dyDescent="0.2">
      <c r="A4139" s="5">
        <v>4078</v>
      </c>
      <c r="B4139" s="1832">
        <f>'Acct Summary 7-8'!F19</f>
        <v>313229</v>
      </c>
      <c r="C4139" s="2" t="s">
        <v>569</v>
      </c>
      <c r="D4139" s="2" t="str">
        <f t="shared" si="63"/>
        <v>Error?</v>
      </c>
    </row>
    <row r="4140" spans="1:4" x14ac:dyDescent="0.2">
      <c r="A4140" s="5">
        <v>4079</v>
      </c>
      <c r="B4140" s="1832">
        <f>'Acct Summary 7-8'!G19</f>
        <v>255719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36088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1926684</v>
      </c>
      <c r="C4171" s="2" t="s">
        <v>569</v>
      </c>
      <c r="D4171" s="2" t="str">
        <f t="shared" si="64"/>
        <v>Error?</v>
      </c>
    </row>
    <row r="4172" spans="1:4" x14ac:dyDescent="0.2">
      <c r="A4172" s="5">
        <v>4111</v>
      </c>
      <c r="B4172" s="1832">
        <f>'Short-Term Long-Term Debt 24'!J49</f>
        <v>1806435</v>
      </c>
      <c r="C4172" s="2" t="s">
        <v>569</v>
      </c>
      <c r="D4172" s="2" t="str">
        <f t="shared" si="64"/>
        <v>Error?</v>
      </c>
    </row>
    <row r="4173" spans="1:4" x14ac:dyDescent="0.2">
      <c r="A4173" s="5">
        <v>4112</v>
      </c>
      <c r="B4173" s="1832">
        <f>'Short-Term Long-Term Debt 24'!H49</f>
        <v>229259</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80243</v>
      </c>
      <c r="D4210" s="2" t="str">
        <f t="shared" si="64"/>
        <v>Error?</v>
      </c>
    </row>
    <row r="4211" spans="1:4" x14ac:dyDescent="0.2">
      <c r="A4211" s="5">
        <v>4150</v>
      </c>
      <c r="B4211" s="1832">
        <f>'Expenditures 15-22'!K206</f>
        <v>80243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1210.69</v>
      </c>
      <c r="C4265" s="2" t="s">
        <v>569</v>
      </c>
      <c r="D4265" s="2" t="str">
        <f t="shared" si="65"/>
        <v>Error?</v>
      </c>
      <c r="E4265" s="125"/>
    </row>
    <row r="4266" spans="1:5" x14ac:dyDescent="0.2">
      <c r="A4266" s="12">
        <v>4205</v>
      </c>
      <c r="B4266" s="1832">
        <f>('FP Info 3'!F10)*100000</f>
        <v>226.7</v>
      </c>
      <c r="C4266" s="2" t="s">
        <v>569</v>
      </c>
      <c r="D4266" s="2" t="str">
        <f t="shared" si="65"/>
        <v>Error?</v>
      </c>
      <c r="E4266" s="125"/>
    </row>
    <row r="4267" spans="1:5" x14ac:dyDescent="0.2">
      <c r="A4267" s="12">
        <v>4206</v>
      </c>
      <c r="B4267" s="1832">
        <f>('FP Info 3'!H10)*100000</f>
        <v>125.95</v>
      </c>
      <c r="C4267" s="2" t="s">
        <v>569</v>
      </c>
      <c r="D4267" s="2" t="str">
        <f t="shared" si="65"/>
        <v>Error?</v>
      </c>
      <c r="E4267" s="125"/>
    </row>
    <row r="4268" spans="1:5" x14ac:dyDescent="0.2">
      <c r="A4268" s="12">
        <v>4207</v>
      </c>
      <c r="B4268" s="1832">
        <f>('FP Info 3'!J10)*100000</f>
        <v>1563.0000000000002</v>
      </c>
      <c r="C4268" s="2" t="s">
        <v>569</v>
      </c>
      <c r="D4268" s="2" t="str">
        <f t="shared" si="65"/>
        <v>Error?</v>
      </c>
    </row>
    <row r="4269" spans="1:5" x14ac:dyDescent="0.2">
      <c r="A4269" s="12">
        <v>4208</v>
      </c>
      <c r="B4269" s="1832">
        <f>'FP Info 3'!J16</f>
        <v>7262781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9193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32296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26743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45.34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198622315</v>
      </c>
      <c r="D4995" s="2" t="str">
        <f t="shared" si="77"/>
        <v>Error?</v>
      </c>
    </row>
    <row r="4996" spans="1:4" x14ac:dyDescent="0.2">
      <c r="A4996" s="12">
        <v>4935</v>
      </c>
      <c r="B4996" s="1832">
        <f>'FP Info 3'!H31</f>
        <v>13704939.735000001</v>
      </c>
      <c r="D4996" s="2" t="str">
        <f t="shared" si="77"/>
        <v>Error?</v>
      </c>
    </row>
    <row r="4997" spans="1:4" x14ac:dyDescent="0.2">
      <c r="A4997" s="12">
        <v>4936</v>
      </c>
      <c r="B4997" s="1832">
        <f>'FP Info 3'!H37</f>
        <v>1926684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19770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2336766</v>
      </c>
      <c r="D5061" s="2" t="str">
        <f t="shared" si="78"/>
        <v>Error?</v>
      </c>
    </row>
    <row r="5062" spans="1:4" x14ac:dyDescent="0.2">
      <c r="A5062" s="10">
        <v>5001</v>
      </c>
      <c r="B5062" s="1832"/>
      <c r="D5062" s="2" t="str">
        <f t="shared" si="78"/>
        <v>OK</v>
      </c>
    </row>
    <row r="5063" spans="1:4" x14ac:dyDescent="0.2">
      <c r="A5063" s="5">
        <v>5002</v>
      </c>
      <c r="B5063" s="1832">
        <f>'Revenues 9-14'!C7</f>
        <v>29666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2386202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304183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304183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121135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121135</v>
      </c>
      <c r="C5090" s="2" t="s">
        <v>569</v>
      </c>
      <c r="D5090" s="2" t="str">
        <f t="shared" si="78"/>
        <v>Error?</v>
      </c>
    </row>
    <row r="5091" spans="1:4" x14ac:dyDescent="0.2">
      <c r="A5091" s="5">
        <v>5030</v>
      </c>
      <c r="B5091" s="1832">
        <f>'Revenues 9-14'!C70</f>
        <v>4161</v>
      </c>
      <c r="D5091" s="2" t="str">
        <f t="shared" si="78"/>
        <v>Error?</v>
      </c>
    </row>
    <row r="5092" spans="1:4" x14ac:dyDescent="0.2">
      <c r="A5092" s="5">
        <v>5031</v>
      </c>
      <c r="B5092" s="1832">
        <f>'Revenues 9-14'!C71</f>
        <v>50632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8471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155903</v>
      </c>
      <c r="C5096" s="2" t="s">
        <v>569</v>
      </c>
      <c r="D5096" s="2" t="str">
        <f t="shared" si="78"/>
        <v>Error?</v>
      </c>
    </row>
    <row r="5097" spans="1:4" x14ac:dyDescent="0.2">
      <c r="A5097" s="5">
        <v>5036</v>
      </c>
      <c r="B5097" s="1832">
        <f>'Revenues 9-14'!C77</f>
        <v>69790</v>
      </c>
      <c r="D5097" s="2" t="str">
        <f t="shared" si="78"/>
        <v>Error?</v>
      </c>
    </row>
    <row r="5098" spans="1:4" x14ac:dyDescent="0.2">
      <c r="A5098" s="5">
        <v>5037</v>
      </c>
      <c r="B5098" s="1832">
        <f>'Revenues 9-14'!C78</f>
        <v>652</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1442</v>
      </c>
      <c r="D5101" s="2" t="str">
        <f t="shared" si="78"/>
        <v>Error?</v>
      </c>
    </row>
    <row r="5102" spans="1:4" x14ac:dyDescent="0.2">
      <c r="A5102" s="5">
        <v>5041</v>
      </c>
      <c r="B5102" s="1832">
        <f>'Revenues 9-14'!C82</f>
        <v>71884</v>
      </c>
      <c r="C5102" s="2" t="s">
        <v>569</v>
      </c>
      <c r="D5102" s="2" t="str">
        <f t="shared" si="78"/>
        <v>Error?</v>
      </c>
    </row>
    <row r="5103" spans="1:4" x14ac:dyDescent="0.2">
      <c r="A5103" s="5">
        <v>5042</v>
      </c>
      <c r="B5103" s="1832">
        <f>'Revenues 9-14'!C84</f>
        <v>39296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39296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12221</v>
      </c>
      <c r="D5119" s="2" t="str">
        <f t="shared" ref="D5119:D5182" si="79">IF(ISBLANK(B5119),"OK",IF(A5119-B5119=0,"OK","Error?"))</f>
        <v>Error?</v>
      </c>
    </row>
    <row r="5120" spans="1:4" x14ac:dyDescent="0.2">
      <c r="A5120" s="5">
        <v>5059</v>
      </c>
      <c r="B5120" s="1832">
        <f>'Revenues 9-14'!C108</f>
        <v>26217</v>
      </c>
      <c r="C5120" s="2" t="s">
        <v>569</v>
      </c>
      <c r="D5120" s="2" t="str">
        <f t="shared" si="79"/>
        <v>Error?</v>
      </c>
    </row>
    <row r="5121" spans="1:4" x14ac:dyDescent="0.2">
      <c r="A5121" s="5">
        <v>5060</v>
      </c>
      <c r="B5121" s="1832">
        <f>'Revenues 9-14'!C109</f>
        <v>3104820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2670339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2670339</v>
      </c>
      <c r="C5132" s="2" t="s">
        <v>569</v>
      </c>
      <c r="D5132" s="2" t="str">
        <f t="shared" si="79"/>
        <v>Error?</v>
      </c>
    </row>
    <row r="5133" spans="1:4" x14ac:dyDescent="0.2">
      <c r="A5133" s="5">
        <v>5072</v>
      </c>
      <c r="B5133" s="1832">
        <f>'Revenues 9-14'!C125</f>
        <v>22204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214947</v>
      </c>
      <c r="D5137" s="2" t="str">
        <f t="shared" si="79"/>
        <v>Error?</v>
      </c>
    </row>
    <row r="5138" spans="1:4" x14ac:dyDescent="0.2">
      <c r="A5138" s="10">
        <v>5077</v>
      </c>
      <c r="B5138" s="1832"/>
      <c r="D5138" s="2" t="str">
        <f t="shared" si="79"/>
        <v>OK</v>
      </c>
    </row>
    <row r="5139" spans="1:4" x14ac:dyDescent="0.2">
      <c r="A5139" s="5">
        <v>5078</v>
      </c>
      <c r="B5139" s="1832">
        <f>'Revenues 9-14'!C129</f>
        <v>20815</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257966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240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3727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1609</v>
      </c>
      <c r="D5167" s="2" t="str">
        <f t="shared" si="79"/>
        <v>Error?</v>
      </c>
    </row>
    <row r="5168" spans="1:4" x14ac:dyDescent="0.2">
      <c r="A5168" s="5">
        <v>5107</v>
      </c>
      <c r="B5168" s="1832">
        <f>'Revenues 9-14'!C148</f>
        <v>19880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283932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2954271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104372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16948</v>
      </c>
      <c r="D5241" s="2" t="str">
        <f t="shared" si="80"/>
        <v>Error?</v>
      </c>
    </row>
    <row r="5242" spans="1:4" x14ac:dyDescent="0.2">
      <c r="A5242" s="5">
        <v>5181</v>
      </c>
      <c r="B5242" s="1832">
        <f>'Revenues 9-14'!C194</f>
        <v>14687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136007</v>
      </c>
      <c r="C5246" s="2" t="s">
        <v>569</v>
      </c>
      <c r="D5246" s="2" t="str">
        <f t="shared" si="80"/>
        <v>Error?</v>
      </c>
    </row>
    <row r="5247" spans="1:4" x14ac:dyDescent="0.2">
      <c r="A5247" s="5">
        <v>5186</v>
      </c>
      <c r="B5247" s="1832">
        <f>'Revenues 9-14'!C200</f>
        <v>189594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189594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31269</v>
      </c>
      <c r="D5278" s="2" t="str">
        <f t="shared" si="81"/>
        <v>Error?</v>
      </c>
    </row>
    <row r="5279" spans="1:4" x14ac:dyDescent="0.2">
      <c r="A5279" s="5">
        <v>5218</v>
      </c>
      <c r="B5279" s="1832">
        <f>'Revenues 9-14'!C214</f>
        <v>31362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62631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456464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456464</v>
      </c>
      <c r="C5326" s="2" t="s">
        <v>569</v>
      </c>
      <c r="D5326" s="2" t="str">
        <f t="shared" si="82"/>
        <v>Error?</v>
      </c>
    </row>
    <row r="5327" spans="1:5" x14ac:dyDescent="0.2">
      <c r="A5327" s="5">
        <v>5266</v>
      </c>
      <c r="B5327" s="1832">
        <f>'Revenues 9-14'!C268</f>
        <v>6515555</v>
      </c>
      <c r="C5327" s="2" t="s">
        <v>569</v>
      </c>
      <c r="D5327" s="2" t="str">
        <f t="shared" si="82"/>
        <v>Error?</v>
      </c>
    </row>
    <row r="5328" spans="1:5" x14ac:dyDescent="0.2">
      <c r="A5328" s="5">
        <v>5267</v>
      </c>
      <c r="B5328" s="1832">
        <f>'Revenues 9-14'!D5</f>
        <v>380361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380361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12805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12805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8731</v>
      </c>
      <c r="D5354" s="2" t="str">
        <f t="shared" si="82"/>
        <v>Error?</v>
      </c>
    </row>
    <row r="5355" spans="1:4" x14ac:dyDescent="0.2">
      <c r="A5355" s="5">
        <v>5294</v>
      </c>
      <c r="B5355" s="1832">
        <f>'Revenues 9-14'!D108</f>
        <v>8731</v>
      </c>
      <c r="C5355" s="2" t="s">
        <v>569</v>
      </c>
      <c r="D5355" s="2" t="str">
        <f t="shared" si="82"/>
        <v>Error?</v>
      </c>
    </row>
    <row r="5356" spans="1:4" x14ac:dyDescent="0.2">
      <c r="A5356" s="5">
        <v>5295</v>
      </c>
      <c r="B5356" s="1832">
        <f>'Revenues 9-14'!D109</f>
        <v>401897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817034</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817034</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867034</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1268931</v>
      </c>
      <c r="C5508" s="2" t="s">
        <v>569</v>
      </c>
      <c r="D5508" s="2" t="str">
        <f t="shared" si="85"/>
        <v>Error?</v>
      </c>
    </row>
    <row r="5509" spans="1:4" x14ac:dyDescent="0.2">
      <c r="A5509" s="5">
        <v>5448</v>
      </c>
      <c r="B5509" s="1832">
        <f>'Revenues 9-14'!E5</f>
        <v>563392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563392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2210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2210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565602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565602</v>
      </c>
      <c r="C5552" s="2" t="s">
        <v>569</v>
      </c>
      <c r="D5552" s="2" t="str">
        <f t="shared" si="85"/>
        <v>Error?</v>
      </c>
    </row>
    <row r="5553" spans="1:4" x14ac:dyDescent="0.2">
      <c r="A5553" s="5">
        <v>5492</v>
      </c>
      <c r="B5553" s="1832">
        <f>'Revenues 9-14'!F5</f>
        <v>246988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246988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4654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4654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449</v>
      </c>
      <c r="D5586" s="2" t="str">
        <f t="shared" si="86"/>
        <v>Error?</v>
      </c>
    </row>
    <row r="5587" spans="1:4" x14ac:dyDescent="0.2">
      <c r="A5587" s="5">
        <v>5526</v>
      </c>
      <c r="B5587" s="1832">
        <f>'Revenues 9-14'!F108</f>
        <v>449</v>
      </c>
      <c r="C5587" s="2" t="s">
        <v>569</v>
      </c>
      <c r="D5587" s="2" t="str">
        <f t="shared" si="86"/>
        <v>Error?</v>
      </c>
    </row>
    <row r="5588" spans="1:4" x14ac:dyDescent="0.2">
      <c r="A5588" s="5">
        <v>5527</v>
      </c>
      <c r="B5588" s="1832">
        <f>'Revenues 9-14'!F109</f>
        <v>252091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467</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467</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42853</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42853</v>
      </c>
      <c r="C5614" s="2" t="s">
        <v>569</v>
      </c>
      <c r="D5614" s="2" t="str">
        <f t="shared" si="86"/>
        <v>Error?</v>
      </c>
    </row>
    <row r="5615" spans="1:4" x14ac:dyDescent="0.2">
      <c r="A5615" s="5">
        <v>5554</v>
      </c>
      <c r="B5615" s="1832">
        <f>'Revenues 9-14'!F152</f>
        <v>80935</v>
      </c>
      <c r="D5615" s="2" t="str">
        <f t="shared" si="86"/>
        <v>Error?</v>
      </c>
    </row>
    <row r="5616" spans="1:4" x14ac:dyDescent="0.2">
      <c r="A5616" s="10">
        <v>5555</v>
      </c>
      <c r="B5616" s="1832"/>
      <c r="D5616" s="2" t="str">
        <f t="shared" si="86"/>
        <v>OK</v>
      </c>
    </row>
    <row r="5617" spans="1:5" x14ac:dyDescent="0.2">
      <c r="A5617" s="5">
        <v>5556</v>
      </c>
      <c r="B5617" s="1832">
        <f>'Revenues 9-14'!F153</f>
        <v>23570</v>
      </c>
      <c r="D5617" s="2" t="str">
        <f t="shared" si="86"/>
        <v>Error?</v>
      </c>
    </row>
    <row r="5618" spans="1:5" x14ac:dyDescent="0.2">
      <c r="A5618" s="5">
        <v>5557</v>
      </c>
      <c r="B5618" s="1832">
        <f>'Revenues 9-14'!F155</f>
        <v>104505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147358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147358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399916</v>
      </c>
      <c r="C5720" s="2" t="s">
        <v>569</v>
      </c>
      <c r="D5720" s="2" t="str">
        <f t="shared" si="88"/>
        <v>Error?</v>
      </c>
    </row>
    <row r="5721" spans="1:4" x14ac:dyDescent="0.2">
      <c r="A5721" s="5">
        <v>5660</v>
      </c>
      <c r="B5721" s="1832">
        <f>'Revenues 9-14'!G5</f>
        <v>98823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123494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222317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28863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28863</v>
      </c>
      <c r="C5730" s="2" t="s">
        <v>569</v>
      </c>
      <c r="D5730" s="2" t="str">
        <f t="shared" si="88"/>
        <v>Error?</v>
      </c>
    </row>
    <row r="5731" spans="1:4" x14ac:dyDescent="0.2">
      <c r="A5731" s="5">
        <v>5670</v>
      </c>
      <c r="B5731" s="1832">
        <f>'Revenues 9-14'!G65</f>
        <v>3485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3485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254665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84006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84006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28537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28537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112543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49419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49419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1177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1177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50596</v>
      </c>
      <c r="C6023" s="2" t="s">
        <v>569</v>
      </c>
      <c r="D6023" s="2" t="str">
        <f t="shared" si="93"/>
        <v>Error?</v>
      </c>
    </row>
    <row r="6024" spans="1:5" x14ac:dyDescent="0.2">
      <c r="A6024" s="5">
        <v>5963</v>
      </c>
      <c r="B6024" s="1832">
        <f>'Revenues 9-14'!G109</f>
        <v>254665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112543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50596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92639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29636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615.70000000000005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148675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148675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148675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148675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148675</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247255</v>
      </c>
      <c r="D6267" s="2" t="str">
        <f t="shared" si="96"/>
        <v>Error?</v>
      </c>
      <c r="E6267" s="2" t="s">
        <v>189</v>
      </c>
    </row>
    <row r="6268" spans="1:5" x14ac:dyDescent="0.2">
      <c r="A6268">
        <v>6207</v>
      </c>
      <c r="B6268" s="1832">
        <f>'Acct Summary 7-8'!D82</f>
        <v>165555</v>
      </c>
      <c r="D6268" s="2" t="str">
        <f t="shared" si="96"/>
        <v>Error?</v>
      </c>
      <c r="E6268" s="2" t="s">
        <v>189</v>
      </c>
    </row>
    <row r="6269" spans="1:5" x14ac:dyDescent="0.2">
      <c r="A6269">
        <v>6208</v>
      </c>
      <c r="B6269" s="1832">
        <f>'Acct Summary 7-8'!E82</f>
        <v>7271</v>
      </c>
      <c r="D6269" s="2" t="str">
        <f t="shared" si="96"/>
        <v>Error?</v>
      </c>
      <c r="E6269" s="2" t="s">
        <v>189</v>
      </c>
    </row>
    <row r="6270" spans="1:5" x14ac:dyDescent="0.2">
      <c r="A6270">
        <v>6209</v>
      </c>
      <c r="B6270" s="1832">
        <f>'Acct Summary 7-8'!F82</f>
        <v>86687</v>
      </c>
      <c r="D6270" s="2" t="str">
        <f t="shared" si="96"/>
        <v>Error?</v>
      </c>
      <c r="E6270" s="2" t="s">
        <v>189</v>
      </c>
    </row>
    <row r="6271" spans="1:5" x14ac:dyDescent="0.2">
      <c r="A6271">
        <v>6210</v>
      </c>
      <c r="B6271" s="1832">
        <f>'Acct Summary 7-8'!G82</f>
        <v>-1054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112543</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14508</v>
      </c>
      <c r="D6275" s="2" t="str">
        <f t="shared" si="97"/>
        <v>Error?</v>
      </c>
      <c r="E6275" s="2" t="s">
        <v>189</v>
      </c>
    </row>
    <row r="6276" spans="1:5" x14ac:dyDescent="0.2">
      <c r="A6276">
        <v>6215</v>
      </c>
      <c r="B6276" s="1832">
        <f>'Acct Summary 7-8'!C83</f>
        <v>5.4814548783961886E-2</v>
      </c>
      <c r="D6276" s="2" t="str">
        <f t="shared" si="97"/>
        <v>Error?</v>
      </c>
      <c r="E6276" s="2" t="s">
        <v>189</v>
      </c>
    </row>
    <row r="6277" spans="1:5" x14ac:dyDescent="0.2">
      <c r="A6277">
        <v>6216</v>
      </c>
      <c r="B6277" s="1832">
        <f>'Acct Summary 7-8'!D83</f>
        <v>0.20039921271089398</v>
      </c>
      <c r="D6277" s="2" t="str">
        <f t="shared" si="97"/>
        <v>Error?</v>
      </c>
      <c r="E6277" s="2" t="s">
        <v>189</v>
      </c>
    </row>
    <row r="6278" spans="1:5" x14ac:dyDescent="0.2">
      <c r="A6278">
        <v>6217</v>
      </c>
      <c r="B6278" s="1832">
        <f>'Acct Summary 7-8'!E83</f>
        <v>6.0466199303112707E-2</v>
      </c>
      <c r="D6278" s="2" t="str">
        <f t="shared" si="97"/>
        <v>Error?</v>
      </c>
      <c r="E6278" s="2" t="s">
        <v>189</v>
      </c>
    </row>
    <row r="6279" spans="1:5" x14ac:dyDescent="0.2">
      <c r="A6279">
        <v>6218</v>
      </c>
      <c r="B6279" s="1832">
        <f>'Acct Summary 7-8'!F83</f>
        <v>0.26085085639315847</v>
      </c>
      <c r="D6279" s="2" t="str">
        <f t="shared" si="97"/>
        <v>Error?</v>
      </c>
      <c r="E6279" s="2" t="s">
        <v>189</v>
      </c>
    </row>
    <row r="6280" spans="1:5" x14ac:dyDescent="0.2">
      <c r="A6280">
        <v>6219</v>
      </c>
      <c r="B6280" s="1832">
        <f>'Acct Summary 7-8'!G83</f>
        <v>-6.2474067927212372E-3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7.0622926048083054E-2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0.18679748155587314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148206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148206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6100</v>
      </c>
      <c r="D6339" s="2" t="str">
        <f t="shared" si="98"/>
        <v>Error?</v>
      </c>
      <c r="E6339" s="2" t="s">
        <v>189</v>
      </c>
    </row>
    <row r="6340" spans="1:5" x14ac:dyDescent="0.2">
      <c r="A6340">
        <v>6279</v>
      </c>
      <c r="B6340" s="1832">
        <f>'Revenues 9-14'!C102</f>
        <v>7896</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148675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3487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28671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148675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148675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3569</v>
      </c>
      <c r="D7067" s="2" t="str">
        <f t="shared" si="109"/>
        <v>Error?</v>
      </c>
    </row>
    <row r="7068" spans="1:4" x14ac:dyDescent="0.2">
      <c r="A7068">
        <v>7007</v>
      </c>
      <c r="B7068" s="1832">
        <f>'Expenditures 15-22'!K205</f>
        <v>3569</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135</v>
      </c>
      <c r="D7079" s="2" t="str">
        <f t="shared" si="109"/>
        <v>Error?</v>
      </c>
    </row>
    <row r="7080" spans="1:4" x14ac:dyDescent="0.2">
      <c r="A7080">
        <v>7019</v>
      </c>
      <c r="B7080" s="1832">
        <f>'Expenditures 15-22'!K226</f>
        <v>135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116670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116670</v>
      </c>
      <c r="D7153" s="2" t="str">
        <f t="shared" si="110"/>
        <v>Error?</v>
      </c>
    </row>
    <row r="7154" spans="1:4" x14ac:dyDescent="0.2">
      <c r="A7154">
        <v>7093</v>
      </c>
      <c r="B7154" s="1832">
        <f>'Expenditures 15-22'!C323</f>
        <v>27708</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31208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797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797</v>
      </c>
      <c r="D7198" s="2" t="str">
        <f t="shared" si="111"/>
        <v>Error?</v>
      </c>
    </row>
    <row r="7199" spans="1:4" x14ac:dyDescent="0.2">
      <c r="A7199">
        <v>7138</v>
      </c>
      <c r="B7199" s="1832">
        <f>'Expenditures 15-22'!C330</f>
        <v>27708</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120967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148675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27708</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120967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148675</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9326</v>
      </c>
      <c r="D7263" s="2" t="str">
        <f t="shared" si="112"/>
        <v>Error?</v>
      </c>
    </row>
    <row r="7264" spans="1:4" x14ac:dyDescent="0.2">
      <c r="A7264">
        <f t="shared" si="113"/>
        <v>7203</v>
      </c>
      <c r="B7264" s="1832">
        <f>'Expenditures 15-22'!D17</f>
        <v>140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2257</v>
      </c>
      <c r="D7266" s="2" t="str">
        <f t="shared" si="112"/>
        <v>Error?</v>
      </c>
    </row>
    <row r="7267" spans="1:5" x14ac:dyDescent="0.2">
      <c r="A7267">
        <f t="shared" si="113"/>
        <v>7206</v>
      </c>
      <c r="B7267" s="1832">
        <f>'Expenditures 15-22'!G17</f>
        <v>16948</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443993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6100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19880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25980</v>
      </c>
      <c r="D7719" s="2" t="str">
        <f t="shared" si="126"/>
        <v>Error?</v>
      </c>
      <c r="E7719" s="2" t="s">
        <v>822</v>
      </c>
    </row>
    <row r="7720" spans="1:6" x14ac:dyDescent="0.2">
      <c r="A7720">
        <v>7659</v>
      </c>
      <c r="B7720" s="1832">
        <f>'Rest Tax Levies-Tort Im 25'!H14</f>
        <v>29666</v>
      </c>
      <c r="D7720" s="2" t="str">
        <f t="shared" si="126"/>
        <v>Error?</v>
      </c>
      <c r="E7720" s="2" t="s">
        <v>822</v>
      </c>
    </row>
    <row r="7721" spans="1:6" x14ac:dyDescent="0.2">
      <c r="A7721">
        <v>7660</v>
      </c>
      <c r="B7721" s="1832">
        <f>'Rest Tax Levies-Tort Im 25'!K14</f>
        <v>25980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25980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4702303</v>
      </c>
      <c r="D7817" s="2" t="str">
        <f t="shared" si="128"/>
        <v>Error?</v>
      </c>
      <c r="E7817" s="4" t="s">
        <v>1966</v>
      </c>
    </row>
    <row r="7818" spans="1:5" x14ac:dyDescent="0.2">
      <c r="A7818">
        <v>7757</v>
      </c>
      <c r="B7818" s="1832">
        <f>'PCTC-OEPP 27-28'!F172</f>
        <v>253099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8647630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1486183</v>
      </c>
      <c r="D7834" s="2" t="str">
        <f t="shared" si="129"/>
        <v>Error?</v>
      </c>
      <c r="E7834" s="4" t="s">
        <v>1998</v>
      </c>
    </row>
    <row r="7835" spans="1:5" x14ac:dyDescent="0.2">
      <c r="A7835">
        <v>7774</v>
      </c>
      <c r="B7835" s="1832">
        <f>'PCTC-OEPP 27-28'!F78</f>
        <v>7161447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11631.390287477667</v>
      </c>
      <c r="D7837" s="2" t="str">
        <f t="shared" si="129"/>
        <v>Error?</v>
      </c>
      <c r="E7837" s="4" t="s">
        <v>1998</v>
      </c>
    </row>
    <row r="7838" spans="1:5" x14ac:dyDescent="0.2">
      <c r="A7838">
        <v>7777</v>
      </c>
      <c r="B7838" s="1832">
        <f>'PCTC-OEPP 27-28'!F96</f>
        <v>71884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300819</v>
      </c>
      <c r="D7842" s="2" t="str">
        <f t="shared" si="129"/>
        <v>Error?</v>
      </c>
      <c r="E7842" s="4" t="s">
        <v>1998</v>
      </c>
    </row>
    <row r="7843" spans="1:5" x14ac:dyDescent="0.2">
      <c r="A7843">
        <v>7782</v>
      </c>
      <c r="B7843" s="1832">
        <f>'PCTC-OEPP 27-28'!F107</f>
        <v>3727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19880</v>
      </c>
      <c r="D7846" s="2" t="str">
        <f t="shared" si="129"/>
        <v>Error?</v>
      </c>
      <c r="E7846" s="4" t="s">
        <v>1998</v>
      </c>
    </row>
    <row r="7847" spans="1:5" x14ac:dyDescent="0.2">
      <c r="A7847">
        <v>7786</v>
      </c>
      <c r="B7847" s="1832">
        <f>'PCTC-OEPP 27-28'!F112</f>
        <v>104505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136007</v>
      </c>
      <c r="D7858" s="2" t="str">
        <f t="shared" si="129"/>
        <v>Error?</v>
      </c>
      <c r="E7858" s="4" t="s">
        <v>1998</v>
      </c>
    </row>
    <row r="7859" spans="1:5" x14ac:dyDescent="0.2">
      <c r="A7859">
        <v>7798</v>
      </c>
      <c r="B7859" s="1832">
        <f>'PCTC-OEPP 27-28'!F127</f>
        <v>189594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31269</v>
      </c>
      <c r="D7861" s="2" t="str">
        <f t="shared" si="129"/>
        <v>Error?</v>
      </c>
      <c r="E7861" s="4" t="s">
        <v>1998</v>
      </c>
    </row>
    <row r="7862" spans="1:5" x14ac:dyDescent="0.2">
      <c r="A7862">
        <v>7801</v>
      </c>
      <c r="B7862" s="1832">
        <f>'PCTC-OEPP 27-28'!F130</f>
        <v>31362</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26743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9193</v>
      </c>
      <c r="D7874" s="2" t="str">
        <f t="shared" si="129"/>
        <v>Error?</v>
      </c>
      <c r="E7874" s="4" t="s">
        <v>1998</v>
      </c>
    </row>
    <row r="7875" spans="1:5" x14ac:dyDescent="0.2">
      <c r="A7875">
        <v>7814</v>
      </c>
      <c r="B7875" s="1832">
        <f>'PCTC-OEPP 27-28'!F170</f>
        <v>32296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1457936</v>
      </c>
      <c r="D7877" s="2" t="str">
        <f t="shared" si="129"/>
        <v>Error?</v>
      </c>
      <c r="E7877" s="4" t="s">
        <v>1998</v>
      </c>
    </row>
    <row r="7878" spans="1:5" x14ac:dyDescent="0.2">
      <c r="A7878">
        <v>7817</v>
      </c>
      <c r="B7878" s="1832">
        <f>'PCTC-OEPP 27-28'!F176</f>
        <v>5703511</v>
      </c>
      <c r="D7878" s="2" t="str">
        <f t="shared" si="129"/>
        <v>Error?</v>
      </c>
      <c r="E7878" s="4" t="s">
        <v>1998</v>
      </c>
    </row>
    <row r="7879" spans="1:5" x14ac:dyDescent="0.2">
      <c r="A7879">
        <v>7818</v>
      </c>
      <c r="B7879" s="1832">
        <f>'PCTC-OEPP 27-28'!F178</f>
        <v>6147504</v>
      </c>
      <c r="D7879" s="2" t="str">
        <f t="shared" si="129"/>
        <v>Error?</v>
      </c>
      <c r="E7879" s="4" t="s">
        <v>1998</v>
      </c>
    </row>
    <row r="7880" spans="1:5" x14ac:dyDescent="0.2">
      <c r="A7880">
        <v>7819</v>
      </c>
      <c r="B7880" s="1832">
        <f>'PCTC-OEPP 27-28'!F180</f>
        <v>9984.5769043365272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 xml:space="preserve">  Salem CHSD 600</v>
      </c>
      <c r="B7" s="2535"/>
      <c r="C7" s="2535"/>
      <c r="D7" s="2536"/>
      <c r="E7" s="2537">
        <f>COVER!A13</f>
        <v>13058600016</v>
      </c>
      <c r="F7" s="2538"/>
      <c r="G7" s="2544" t="str">
        <f>COVER!T23</f>
        <v>066-005231</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Leymone Hardcastle &amp; Co., Ltd.</v>
      </c>
      <c r="H9" s="2550"/>
      <c r="I9" s="2550"/>
      <c r="J9" s="2550"/>
      <c r="K9" s="2550"/>
      <c r="L9" s="2551"/>
    </row>
    <row r="10" spans="1:29" ht="13.5" customHeight="1" x14ac:dyDescent="0.2">
      <c r="A10" s="2523" t="str">
        <f>COVER!A38</f>
        <v>Brad Detering</v>
      </c>
      <c r="B10" s="2524"/>
      <c r="C10" s="2524"/>
      <c r="D10" s="2524"/>
      <c r="E10" s="2524"/>
      <c r="F10" s="2525"/>
      <c r="G10" s="2517" t="str">
        <f>COVER!T17</f>
        <v>200 West Main Street</v>
      </c>
      <c r="H10" s="2518"/>
      <c r="I10" s="2518"/>
      <c r="J10" s="2518"/>
      <c r="K10" s="2518"/>
      <c r="L10" s="2519"/>
    </row>
    <row r="11" spans="1:29" ht="13.5" customHeight="1" x14ac:dyDescent="0.2">
      <c r="A11" s="963" t="s">
        <v>1502</v>
      </c>
      <c r="B11" s="964"/>
      <c r="C11" s="965"/>
      <c r="D11" s="970"/>
      <c r="E11" s="965"/>
      <c r="F11" s="969"/>
      <c r="G11" s="2517" t="str">
        <f>COVER!T19</f>
        <v>Salem</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sara@hardcastlecpa.com</v>
      </c>
      <c r="J13" s="2530"/>
      <c r="K13" s="2530"/>
      <c r="L13" s="2531"/>
    </row>
    <row r="14" spans="1:29" ht="13.5" customHeight="1" x14ac:dyDescent="0.2">
      <c r="A14" s="2517" t="str">
        <f>COVER!A19</f>
        <v>1200 N. Broadway</v>
      </c>
      <c r="B14" s="2518"/>
      <c r="C14" s="2518"/>
      <c r="D14" s="2518"/>
      <c r="E14" s="2518"/>
      <c r="F14" s="2519"/>
      <c r="G14" s="974" t="s">
        <v>1175</v>
      </c>
      <c r="H14" s="972"/>
      <c r="I14" s="972"/>
      <c r="J14" s="972"/>
      <c r="K14" s="972"/>
      <c r="L14" s="973"/>
    </row>
    <row r="15" spans="1:29" ht="13.5" customHeight="1" x14ac:dyDescent="0.2">
      <c r="A15" s="2517" t="str">
        <f>COVER!A21</f>
        <v xml:space="preserve">Salem </v>
      </c>
      <c r="B15" s="2518"/>
      <c r="C15" s="2518"/>
      <c r="D15" s="2518"/>
      <c r="E15" s="2518"/>
      <c r="F15" s="2519"/>
      <c r="G15" s="2514" t="str">
        <f>COVER!T15</f>
        <v>Sara E. Hanks</v>
      </c>
      <c r="H15" s="2515"/>
      <c r="I15" s="2515"/>
      <c r="J15" s="2515"/>
      <c r="K15" s="2515"/>
      <c r="L15" s="2516"/>
    </row>
    <row r="16" spans="1:29" ht="12.2" customHeight="1" x14ac:dyDescent="0.2">
      <c r="A16" s="2540">
        <f>COVER!A25</f>
        <v>62881</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618-548-1002</v>
      </c>
      <c r="H18" s="2535"/>
      <c r="I18" s="2535"/>
      <c r="J18" s="2535"/>
      <c r="K18" s="2534" t="str">
        <f>COVER!X21</f>
        <v>618-548-1018</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Salem CHSD 600</v>
      </c>
      <c r="B1" s="2557"/>
      <c r="C1" s="2557"/>
      <c r="D1" s="2557"/>
    </row>
    <row r="2" spans="1:11" s="991" customFormat="1" ht="12.75" x14ac:dyDescent="0.2">
      <c r="A2" s="2558">
        <f>'Single Audit Cover'!E7</f>
        <v>13058600016</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Salem CHSD 600</v>
      </c>
      <c r="B1" s="2561"/>
      <c r="C1" s="2561"/>
      <c r="D1" s="2561"/>
      <c r="E1" s="2561"/>
    </row>
    <row r="2" spans="1:5" x14ac:dyDescent="0.2">
      <c r="A2" s="2562">
        <f>'Single Audit Cover'!E7</f>
        <v>13058600016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456464</v>
      </c>
    </row>
    <row r="11" spans="1:5" ht="18" customHeight="1" x14ac:dyDescent="0.2">
      <c r="A11" s="1037" t="s">
        <v>1229</v>
      </c>
      <c r="B11" s="1038"/>
      <c r="C11" s="1038"/>
    </row>
    <row r="12" spans="1:5" x14ac:dyDescent="0.2">
      <c r="A12" s="1037" t="s">
        <v>1228</v>
      </c>
      <c r="B12" s="1038" t="s">
        <v>1227</v>
      </c>
      <c r="C12" s="1038"/>
      <c r="D12" s="1040">
        <f>SUM('Revenues 9-14'!C112:D112,'Revenues 9-14'!F112:G112)</f>
        <v>467</v>
      </c>
    </row>
    <row r="13" spans="1:5" x14ac:dyDescent="0.2">
      <c r="A13" s="1037" t="s">
        <v>1226</v>
      </c>
      <c r="B13" s="1038"/>
      <c r="C13" s="1038"/>
    </row>
    <row r="14" spans="1:5" x14ac:dyDescent="0.2">
      <c r="A14" s="1037" t="s">
        <v>2004</v>
      </c>
      <c r="B14" s="1038"/>
      <c r="C14" s="1038"/>
      <c r="D14" s="1040">
        <f>'ICR Computation 30'!E11</f>
        <v>29636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-32296</v>
      </c>
    </row>
    <row r="19" spans="1:4" ht="13.5" thickBot="1" x14ac:dyDescent="0.25">
      <c r="A19" s="1041" t="s">
        <v>1224</v>
      </c>
      <c r="D19" s="1042">
        <f>SUM(D10:D17)</f>
        <v>454271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454271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454271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Salem CHSD 600</v>
      </c>
      <c r="C1" s="2565"/>
      <c r="D1" s="2565"/>
      <c r="E1" s="2565"/>
      <c r="F1" s="2565"/>
      <c r="G1" s="2565"/>
      <c r="H1" s="2565"/>
      <c r="I1" s="2565"/>
      <c r="J1" s="2565"/>
      <c r="K1" s="2565"/>
      <c r="L1" s="2565"/>
      <c r="M1" s="2565"/>
    </row>
    <row r="2" spans="2:14" ht="15" x14ac:dyDescent="0.2">
      <c r="B2" s="2566">
        <f>'Single Audit Cover'!E7</f>
        <v>13058600016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Salem CHSD 600</v>
      </c>
      <c r="B1" s="2578"/>
      <c r="C1" s="2578"/>
      <c r="D1" s="2578"/>
      <c r="E1" s="2578"/>
      <c r="F1" s="2578"/>
    </row>
    <row r="2" spans="1:7" ht="13.5" customHeight="1" x14ac:dyDescent="0.2">
      <c r="A2" s="2566">
        <f>'Single Audit Cover'!E7</f>
        <v>13058600016</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1709</v>
      </c>
      <c r="B32" s="2571"/>
      <c r="C32" s="2571"/>
      <c r="D32" s="2571"/>
      <c r="E32" s="2571"/>
      <c r="F32" s="257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2">
        <f>+C33+C34</f>
        <v>0</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 colorId="8" zoomScaleNormal="100" workbookViewId="0">
      <selection activeCell="B54" sqref="B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34" right="0.16" top="0.81" bottom="0.78" header="0.53" footer="0.4"/>
  <pageSetup scale="85" firstPageNumber="66" orientation="portrait" useFirstPageNumber="1" r:id="rId1"/>
  <headerFooter differentOddEven="1" alignWithMargins="0">
    <oddHeader xml:space="preserve">&amp;CSalem Community High School District 600 </oddHeader>
    <oddFooter>&amp;C&amp;14- &amp;P -</oddFooter>
    <evenHeader xml:space="preserve">&amp;CSalem Community High School District 600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U41" sqref="U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Salem CHSD 600</v>
      </c>
      <c r="C1" s="2593"/>
      <c r="D1" s="2593"/>
      <c r="E1" s="2593"/>
      <c r="F1" s="2593"/>
      <c r="G1" s="2593"/>
      <c r="H1" s="2593"/>
      <c r="I1" s="2593"/>
      <c r="J1" s="1178"/>
    </row>
    <row r="2" spans="2:10" s="295" customFormat="1" ht="12.75" customHeight="1" x14ac:dyDescent="0.2">
      <c r="B2" s="2594">
        <f>'Single Audit Cover'!E7</f>
        <v>13058600016</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0</v>
      </c>
      <c r="E45" s="258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7"/>
      <c r="F49" s="2587"/>
      <c r="G49" s="258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Salem CHSD 600</v>
      </c>
      <c r="C1" s="2592"/>
      <c r="D1" s="2592"/>
      <c r="E1" s="2592"/>
      <c r="F1" s="2592"/>
      <c r="G1" s="2592"/>
      <c r="H1" s="2592"/>
      <c r="I1" s="2592"/>
      <c r="J1" s="2592"/>
      <c r="K1" s="2592"/>
      <c r="L1" s="1144"/>
      <c r="M1" s="1144"/>
    </row>
    <row r="2" spans="1:13" ht="12" customHeight="1" x14ac:dyDescent="0.2">
      <c r="B2" s="2594">
        <f>'Single Audit Cover'!E7</f>
        <v>13058600016</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2085</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2086</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2087</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2088</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2089</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2090</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2091</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6"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Salem CHSD 600</v>
      </c>
      <c r="C1" s="2615"/>
      <c r="D1" s="2615"/>
      <c r="E1" s="2615"/>
      <c r="F1" s="2615"/>
      <c r="G1" s="2615"/>
      <c r="H1" s="2615"/>
      <c r="I1" s="2615"/>
      <c r="J1" s="2615"/>
      <c r="K1" s="2615"/>
      <c r="L1" s="1221"/>
    </row>
    <row r="2" spans="1:12" ht="12.75" customHeight="1" x14ac:dyDescent="0.2">
      <c r="B2" s="2616">
        <f>'Single Audit Cover'!E7</f>
        <v>13058600016</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r:id="rId1"/>
  <headerFooter alignWithMargins="0">
    <oddFooter>&amp;C&amp;12-&amp;P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Salem CHSD 600</v>
      </c>
      <c r="C1" s="2592"/>
      <c r="D1" s="2592"/>
      <c r="E1" s="1240"/>
    </row>
    <row r="2" spans="2:5" s="1058" customFormat="1" ht="12.75" customHeight="1" x14ac:dyDescent="0.2">
      <c r="B2" s="2594">
        <f>'Single Audit Cover'!E7</f>
        <v>13058600016</v>
      </c>
      <c r="C2" s="2594"/>
      <c r="D2" s="2594"/>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J40" sqref="J4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198622315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1.21069E-2</v>
      </c>
      <c r="E10" s="333" t="s">
        <v>998</v>
      </c>
      <c r="F10" s="332">
        <v>2.2669999999999999E-3</v>
      </c>
      <c r="G10" s="333" t="s">
        <v>998</v>
      </c>
      <c r="H10" s="332">
        <v>1.2595E-3</v>
      </c>
      <c r="I10" s="333" t="s">
        <v>999</v>
      </c>
      <c r="J10" s="1424">
        <f>ROUND(D10+F10+H10,5)</f>
        <v>1.5630000000000002E-2</v>
      </c>
      <c r="K10" s="217"/>
      <c r="L10" s="332">
        <v>4.5340000000000002E-4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8296945</v>
      </c>
      <c r="E16" s="1547"/>
      <c r="F16" s="1546">
        <f>SUM('Acct Summary 7-8'!C17,'Acct Summary 7-8'!D17,'Acct Summary 7-8'!F17)</f>
        <v>7684905</v>
      </c>
      <c r="G16" s="1547"/>
      <c r="H16" s="1546">
        <f>SUM(D16-F16)</f>
        <v>612040</v>
      </c>
      <c r="I16" s="1548"/>
      <c r="J16" s="1546">
        <f>SUM('Acct Summary 7-8'!C81,'Acct Summary 7-8'!D81,'Acct Summary 7-8'!F81,'Acct Summary 7-8'!I81)</f>
        <v>7262781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13704939.735000001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1926684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ageMargins left="0.5" right="0.2" top="1.05" bottom="0.77" header="0.68" footer="0.42"/>
  <pageSetup scale="90" firstPageNumber="68" orientation="portrait" useFirstPageNumber="1" r:id="rId1"/>
  <headerFooter alignWithMargins="0">
    <oddHeader xml:space="preserve">&amp;C Salem Community High School District 600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Salem CHSD 600</v>
      </c>
      <c r="E7" s="368"/>
      <c r="G7" s="247"/>
      <c r="H7" s="364"/>
      <c r="I7" s="364"/>
      <c r="J7" s="364"/>
      <c r="K7" s="364"/>
      <c r="L7" s="307"/>
      <c r="M7" s="307"/>
      <c r="N7" s="307"/>
      <c r="O7" s="307"/>
      <c r="P7" s="307"/>
    </row>
    <row r="8" spans="1:18" ht="12.75" x14ac:dyDescent="0.2">
      <c r="A8" s="307"/>
      <c r="B8" s="307"/>
      <c r="C8" s="366" t="s">
        <v>1115</v>
      </c>
      <c r="D8" s="369">
        <f>COVER!A13</f>
        <v>13058600016</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7262781</v>
      </c>
      <c r="I12" s="380"/>
      <c r="J12" s="380"/>
      <c r="K12" s="1559">
        <f>TRUNC((H12/H13*100000),5)/100000</f>
        <v>0.87535604970000003</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8296945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7684905</v>
      </c>
      <c r="I17" s="380"/>
      <c r="J17" s="389"/>
      <c r="K17" s="1559">
        <f>TRUNC((H17/H18*100000),5)/100000</f>
        <v>0.92623308940000004</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8296945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7262781</v>
      </c>
      <c r="I24" s="394"/>
      <c r="J24" s="394"/>
      <c r="K24" s="1555">
        <f>TRUNC(((H24/H25*100000)/100000),2)</f>
        <v>340.22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21346.958330000001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2638796.7659300002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1926684</v>
      </c>
      <c r="I32" s="392"/>
      <c r="J32" s="392"/>
      <c r="K32" s="1555">
        <f>TRUNC(100-((((H32/H33*100))*100)/100),2)</f>
        <v>85.94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13704939.735000001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6" footer="0.32"/>
  <pageSetup scale="85" firstPageNumber="69" orientation="landscape" useFirstPageNumber="1" r:id="rId3"/>
  <headerFooter alignWithMargins="0">
    <oddHeader xml:space="preserve">&amp;C Salem Community High School District 600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2795355</v>
      </c>
      <c r="D4" s="1573">
        <v>826126</v>
      </c>
      <c r="E4" s="1573">
        <v>120249</v>
      </c>
      <c r="F4" s="1573">
        <v>332324</v>
      </c>
      <c r="G4" s="1573">
        <v>168710</v>
      </c>
      <c r="H4" s="1573">
        <v>0</v>
      </c>
      <c r="I4" s="1573">
        <v>1593576</v>
      </c>
      <c r="J4" s="1574">
        <v>0</v>
      </c>
      <c r="K4" s="1573">
        <v>77667</v>
      </c>
      <c r="L4" s="1573">
        <v>427616</v>
      </c>
      <c r="M4" s="1575"/>
      <c r="N4" s="1576"/>
    </row>
    <row r="5" spans="1:14" x14ac:dyDescent="0.2">
      <c r="A5" s="427" t="s">
        <v>985</v>
      </c>
      <c r="B5" s="429">
        <v>120</v>
      </c>
      <c r="C5" s="1572">
        <v>1715400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4510755</v>
      </c>
      <c r="D13" s="1587">
        <f t="shared" ref="D13:L13" si="0">SUM(D4:D12)</f>
        <v>826126</v>
      </c>
      <c r="E13" s="1587">
        <f t="shared" si="0"/>
        <v>120249</v>
      </c>
      <c r="F13" s="1587">
        <f t="shared" si="0"/>
        <v>332324</v>
      </c>
      <c r="G13" s="1587">
        <f t="shared" si="0"/>
        <v>168710</v>
      </c>
      <c r="H13" s="1587">
        <f t="shared" si="0"/>
        <v>0</v>
      </c>
      <c r="I13" s="1587">
        <f t="shared" si="0"/>
        <v>1593576</v>
      </c>
      <c r="J13" s="1587">
        <f t="shared" si="0"/>
        <v>0</v>
      </c>
      <c r="K13" s="1587">
        <f t="shared" si="0"/>
        <v>77667</v>
      </c>
      <c r="L13" s="1587">
        <f t="shared" si="0"/>
        <v>427616</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103413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13737743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1212316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1751491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120249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1806435</v>
      </c>
    </row>
    <row r="23" spans="1:14" ht="13.5" customHeight="1" thickBot="1" x14ac:dyDescent="0.25">
      <c r="A23" s="1426" t="s">
        <v>638</v>
      </c>
      <c r="B23" s="1429"/>
      <c r="C23" s="1575"/>
      <c r="D23" s="1575"/>
      <c r="E23" s="1575"/>
      <c r="F23" s="1575"/>
      <c r="G23" s="1575"/>
      <c r="H23" s="1575"/>
      <c r="I23" s="1575"/>
      <c r="J23" s="1575"/>
      <c r="K23" s="1575"/>
      <c r="L23" s="1575"/>
      <c r="M23" s="1594">
        <f>SUM(M15:M22)</f>
        <v>16804963</v>
      </c>
      <c r="N23" s="1594">
        <f>SUM(N21:N22)</f>
        <v>1926684</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427616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427616</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1926684</v>
      </c>
    </row>
    <row r="37" spans="1:14" ht="13.5" thickBot="1" x14ac:dyDescent="0.25">
      <c r="A37" s="1426" t="s">
        <v>648</v>
      </c>
      <c r="B37" s="1429"/>
      <c r="C37" s="1582"/>
      <c r="D37" s="1582"/>
      <c r="E37" s="1582"/>
      <c r="F37" s="1582"/>
      <c r="G37" s="1582"/>
      <c r="H37" s="1582"/>
      <c r="I37" s="1582"/>
      <c r="J37" s="1582"/>
      <c r="K37" s="1582"/>
      <c r="L37" s="1585"/>
      <c r="M37" s="1575"/>
      <c r="N37" s="1594">
        <f>SUM(N36:N36)</f>
        <v>1926684</v>
      </c>
    </row>
    <row r="38" spans="1:14" s="307" customFormat="1" ht="13.5" customHeight="1" thickTop="1" x14ac:dyDescent="0.2">
      <c r="A38" s="438" t="s">
        <v>417</v>
      </c>
      <c r="B38" s="432">
        <v>714</v>
      </c>
      <c r="C38" s="1573">
        <v>19888</v>
      </c>
      <c r="D38" s="1573"/>
      <c r="E38" s="1573"/>
      <c r="F38" s="1573"/>
      <c r="G38" s="1573">
        <v>5813</v>
      </c>
      <c r="H38" s="1573"/>
      <c r="I38" s="1573"/>
      <c r="J38" s="1574"/>
      <c r="K38" s="1573"/>
      <c r="L38" s="1586"/>
      <c r="M38" s="1604"/>
      <c r="N38" s="1604"/>
    </row>
    <row r="39" spans="1:14" s="307" customFormat="1" ht="13.5" customHeight="1" x14ac:dyDescent="0.2">
      <c r="A39" s="438" t="s">
        <v>339</v>
      </c>
      <c r="B39" s="432">
        <v>730</v>
      </c>
      <c r="C39" s="1573">
        <v>4490867</v>
      </c>
      <c r="D39" s="1573">
        <v>826126</v>
      </c>
      <c r="E39" s="1573">
        <v>120249</v>
      </c>
      <c r="F39" s="1573">
        <v>332324</v>
      </c>
      <c r="G39" s="1573">
        <v>162897</v>
      </c>
      <c r="H39" s="1573">
        <v>0</v>
      </c>
      <c r="I39" s="1573">
        <v>1593576</v>
      </c>
      <c r="J39" s="1574">
        <v>0</v>
      </c>
      <c r="K39" s="1573">
        <v>77667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16804963</v>
      </c>
      <c r="N40" s="1604"/>
    </row>
    <row r="41" spans="1:14" ht="13.5" customHeight="1" thickBot="1" x14ac:dyDescent="0.25">
      <c r="A41" s="1426" t="s">
        <v>650</v>
      </c>
      <c r="B41" s="1405"/>
      <c r="C41" s="1594">
        <f>(SUM(C34,C37,C38,C39))</f>
        <v>4510755</v>
      </c>
      <c r="D41" s="1594">
        <f t="shared" ref="D41:L41" si="2">SUM(D34,D37,D38:D39)</f>
        <v>826126</v>
      </c>
      <c r="E41" s="1594">
        <f t="shared" si="2"/>
        <v>120249</v>
      </c>
      <c r="F41" s="1594">
        <f t="shared" si="2"/>
        <v>332324</v>
      </c>
      <c r="G41" s="1594">
        <f t="shared" si="2"/>
        <v>168710</v>
      </c>
      <c r="H41" s="1594">
        <f t="shared" si="2"/>
        <v>0</v>
      </c>
      <c r="I41" s="1594">
        <f t="shared" si="2"/>
        <v>1593576</v>
      </c>
      <c r="J41" s="1594">
        <f t="shared" si="2"/>
        <v>0</v>
      </c>
      <c r="K41" s="1594">
        <f t="shared" si="2"/>
        <v>77667</v>
      </c>
      <c r="L41" s="1594">
        <f t="shared" si="2"/>
        <v>427616</v>
      </c>
      <c r="M41" s="1594">
        <f>SUM(M40)</f>
        <v>16804963</v>
      </c>
      <c r="N41" s="1594">
        <f>SUM(N37)</f>
        <v>1926684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44" right="0.15" top="0.85" bottom="0.72" header="0.44" footer="0.36"/>
  <pageSetup scale="75" firstPageNumber="6" orientation="landscape" useFirstPageNumber="1" r:id="rId1"/>
  <headerFooter differentOddEven="1" alignWithMargins="0">
    <oddHeader xml:space="preserve">&amp;C&amp;"Arial,Bold"&amp;9Salem Community High School District 600 
STATEMENT OF ASSETS AND LIABILITIES ARISING FROM CASH TRANSACTIONS (ALL FUNDS)
AS OF JUNE 30, 2020
</oddHeader>
    <oddFooter>&amp;L&amp;11See accompanying notes to the financial statements.&amp;C&amp;14- &amp;P -</oddFooter>
    <evenHeader>&amp;C&amp;"Arial,Bold"&amp;9Salem Community High School District 600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3104820</v>
      </c>
      <c r="D4" s="1606">
        <f>'Revenues 9-14'!D109</f>
        <v>401897</v>
      </c>
      <c r="E4" s="1606">
        <f>'Revenues 9-14'!E109</f>
        <v>565602</v>
      </c>
      <c r="F4" s="1606">
        <f>'Revenues 9-14'!F109</f>
        <v>252091</v>
      </c>
      <c r="G4" s="1606">
        <f>'Revenues 9-14'!G109</f>
        <v>254665</v>
      </c>
      <c r="H4" s="1606">
        <f>'Revenues 9-14'!H109</f>
        <v>0</v>
      </c>
      <c r="I4" s="1606">
        <f>'Revenues 9-14'!I109</f>
        <v>112543</v>
      </c>
      <c r="J4" s="1606">
        <f>'Revenues 9-14'!J109</f>
        <v>148675</v>
      </c>
      <c r="K4" s="1606">
        <f>'Revenues 9-14'!K109</f>
        <v>50596</v>
      </c>
      <c r="L4" s="325"/>
    </row>
    <row r="5" spans="1:13" ht="15.75" customHeight="1" x14ac:dyDescent="0.2">
      <c r="A5" s="1314" t="s">
        <v>1483</v>
      </c>
      <c r="B5" s="1315">
        <v>2000</v>
      </c>
      <c r="C5" s="1607">
        <f>'Revenues 9-14'!C114</f>
        <v>0</v>
      </c>
      <c r="D5" s="1607">
        <f>'Revenues 9-14'!D114</f>
        <v>0</v>
      </c>
      <c r="E5" s="1608"/>
      <c r="F5" s="1607">
        <f>'Revenues 9-14'!F114</f>
        <v>467</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2954271</v>
      </c>
      <c r="D6" s="1607">
        <f>'Revenues 9-14'!D170</f>
        <v>867034</v>
      </c>
      <c r="E6" s="1607">
        <f>'Revenues 9-14'!E170</f>
        <v>0</v>
      </c>
      <c r="F6" s="1607">
        <f>'Revenues 9-14'!F170</f>
        <v>147358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456464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6515555</v>
      </c>
      <c r="D8" s="1594">
        <f t="shared" ref="D8:K8" si="0">SUM(D4:D7)</f>
        <v>1268931</v>
      </c>
      <c r="E8" s="1594">
        <f t="shared" si="0"/>
        <v>565602</v>
      </c>
      <c r="F8" s="1594">
        <f t="shared" si="0"/>
        <v>399916</v>
      </c>
      <c r="G8" s="1594">
        <f t="shared" si="0"/>
        <v>254665</v>
      </c>
      <c r="H8" s="1594">
        <f t="shared" si="0"/>
        <v>0</v>
      </c>
      <c r="I8" s="1594">
        <f t="shared" si="0"/>
        <v>112543</v>
      </c>
      <c r="J8" s="1594">
        <f t="shared" si="0"/>
        <v>148675</v>
      </c>
      <c r="K8" s="1594">
        <f t="shared" si="0"/>
        <v>50596</v>
      </c>
      <c r="L8" s="325"/>
    </row>
    <row r="9" spans="1:13" ht="15.75" thickTop="1" x14ac:dyDescent="0.2">
      <c r="A9" s="449" t="s">
        <v>1634</v>
      </c>
      <c r="B9" s="450">
        <v>3998</v>
      </c>
      <c r="C9" s="1586">
        <v>414672</v>
      </c>
      <c r="D9" s="1613"/>
      <c r="E9" s="1586"/>
      <c r="F9" s="1586"/>
      <c r="G9" s="1614"/>
      <c r="H9" s="1586"/>
      <c r="I9" s="1609" t="s">
        <v>1159</v>
      </c>
      <c r="J9" s="1583"/>
      <c r="K9" s="1586"/>
      <c r="L9" s="325"/>
    </row>
    <row r="10" spans="1:13" s="452" customFormat="1" ht="13.5" thickBot="1" x14ac:dyDescent="0.25">
      <c r="A10" s="1426" t="s">
        <v>1163</v>
      </c>
      <c r="B10" s="1407"/>
      <c r="C10" s="1594">
        <f>SUM(C8:C9)</f>
        <v>6930227</v>
      </c>
      <c r="D10" s="1594">
        <f t="shared" ref="D10:K10" si="1">SUM(D8:D9)</f>
        <v>1268931</v>
      </c>
      <c r="E10" s="1594">
        <f t="shared" si="1"/>
        <v>565602</v>
      </c>
      <c r="F10" s="1594">
        <f t="shared" si="1"/>
        <v>399916</v>
      </c>
      <c r="G10" s="1594">
        <f t="shared" si="1"/>
        <v>254665</v>
      </c>
      <c r="H10" s="1594">
        <f t="shared" si="1"/>
        <v>0</v>
      </c>
      <c r="I10" s="1594">
        <f t="shared" si="1"/>
        <v>112543</v>
      </c>
      <c r="J10" s="1594">
        <f t="shared" si="1"/>
        <v>148675</v>
      </c>
      <c r="K10" s="1594">
        <f t="shared" si="1"/>
        <v>50596</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4037904</v>
      </c>
      <c r="D12" s="1616" t="s">
        <v>1159</v>
      </c>
      <c r="E12" s="1575" t="s">
        <v>1159</v>
      </c>
      <c r="F12" s="1575" t="s">
        <v>1159</v>
      </c>
      <c r="G12" s="1606">
        <f>'Expenditures 15-22'!K229</f>
        <v>97050</v>
      </c>
      <c r="H12" s="1617"/>
      <c r="I12" s="1575" t="s">
        <v>1159</v>
      </c>
      <c r="J12" s="1575" t="s">
        <v>1159</v>
      </c>
      <c r="K12" s="1617" t="s">
        <v>1159</v>
      </c>
      <c r="L12" s="325"/>
    </row>
    <row r="13" spans="1:13" ht="15.75" customHeight="1" x14ac:dyDescent="0.2">
      <c r="A13" s="1314" t="s">
        <v>454</v>
      </c>
      <c r="B13" s="1316">
        <v>2000</v>
      </c>
      <c r="C13" s="1607">
        <f>'Expenditures 15-22'!K74</f>
        <v>1795430</v>
      </c>
      <c r="D13" s="1607">
        <f>'Expenditures 15-22'!K129</f>
        <v>1103376</v>
      </c>
      <c r="E13" s="1576" t="s">
        <v>1159</v>
      </c>
      <c r="F13" s="1607">
        <f>'Expenditures 15-22'!K184</f>
        <v>229417</v>
      </c>
      <c r="G13" s="1607">
        <f>'Expenditures 15-22'!K279</f>
        <v>158669</v>
      </c>
      <c r="H13" s="1607">
        <f>'Expenditures 15-22'!K303</f>
        <v>0</v>
      </c>
      <c r="I13" s="1575" t="s">
        <v>1159</v>
      </c>
      <c r="J13" s="1607">
        <f>'Expenditures 15-22'!K330</f>
        <v>148675</v>
      </c>
      <c r="K13" s="1618">
        <f>'Expenditures 15-22'!K352</f>
        <v>36088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434966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558331</v>
      </c>
      <c r="F16" s="1607">
        <f>'Expenditures 15-22'!K208</f>
        <v>83812</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6268300</v>
      </c>
      <c r="D17" s="1594">
        <f t="shared" si="2"/>
        <v>1103376</v>
      </c>
      <c r="E17" s="1594">
        <f t="shared" si="2"/>
        <v>558331</v>
      </c>
      <c r="F17" s="1594">
        <f t="shared" si="2"/>
        <v>313229</v>
      </c>
      <c r="G17" s="1594">
        <f t="shared" si="2"/>
        <v>255719</v>
      </c>
      <c r="H17" s="1594">
        <f t="shared" si="2"/>
        <v>0</v>
      </c>
      <c r="I17" s="1575"/>
      <c r="J17" s="1594">
        <f>SUM(J12:J16)</f>
        <v>148675</v>
      </c>
      <c r="K17" s="1594">
        <f>SUM(K12:K16)</f>
        <v>36088</v>
      </c>
      <c r="L17" s="325"/>
    </row>
    <row r="18" spans="1:12" ht="15" customHeight="1" thickTop="1" x14ac:dyDescent="0.2">
      <c r="A18" s="1430" t="s">
        <v>1635</v>
      </c>
      <c r="B18" s="1431">
        <v>4180</v>
      </c>
      <c r="C18" s="1606">
        <f t="shared" ref="C18:H18" si="3">C9</f>
        <v>414672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6682972</v>
      </c>
      <c r="D19" s="1594">
        <f t="shared" si="4"/>
        <v>1103376</v>
      </c>
      <c r="E19" s="1594">
        <f t="shared" si="4"/>
        <v>558331</v>
      </c>
      <c r="F19" s="1594">
        <f t="shared" si="4"/>
        <v>313229</v>
      </c>
      <c r="G19" s="1594">
        <f t="shared" si="4"/>
        <v>255719</v>
      </c>
      <c r="H19" s="1594">
        <f t="shared" si="4"/>
        <v>0</v>
      </c>
      <c r="I19" s="1575"/>
      <c r="J19" s="1594">
        <f>SUM(J17:J18)</f>
        <v>148675</v>
      </c>
      <c r="K19" s="1594">
        <f>SUM(K17:K18)</f>
        <v>36088</v>
      </c>
      <c r="L19" s="325"/>
    </row>
    <row r="20" spans="1:12" ht="16.5" thickTop="1" thickBot="1" x14ac:dyDescent="0.25">
      <c r="A20" s="2230" t="s">
        <v>1636</v>
      </c>
      <c r="B20" s="2231"/>
      <c r="C20" s="1622">
        <f>C8-C17</f>
        <v>247255</v>
      </c>
      <c r="D20" s="1622">
        <f t="shared" ref="D20:K20" si="5">D8-D17</f>
        <v>165555</v>
      </c>
      <c r="E20" s="1622">
        <f t="shared" si="5"/>
        <v>7271</v>
      </c>
      <c r="F20" s="1622">
        <f t="shared" si="5"/>
        <v>86687</v>
      </c>
      <c r="G20" s="1622">
        <f t="shared" si="5"/>
        <v>-1054</v>
      </c>
      <c r="H20" s="1622">
        <f t="shared" si="5"/>
        <v>0</v>
      </c>
      <c r="I20" s="1622">
        <f t="shared" si="5"/>
        <v>112543</v>
      </c>
      <c r="J20" s="1622">
        <f t="shared" si="5"/>
        <v>0</v>
      </c>
      <c r="K20" s="1622">
        <f t="shared" si="5"/>
        <v>14508</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247255</v>
      </c>
      <c r="D78" s="1629">
        <f t="shared" si="9"/>
        <v>165555</v>
      </c>
      <c r="E78" s="1629">
        <f t="shared" si="9"/>
        <v>7271</v>
      </c>
      <c r="F78" s="1629">
        <f t="shared" si="9"/>
        <v>86687</v>
      </c>
      <c r="G78" s="1629">
        <f t="shared" si="9"/>
        <v>-1054</v>
      </c>
      <c r="H78" s="1629">
        <f t="shared" si="9"/>
        <v>0</v>
      </c>
      <c r="I78" s="1629">
        <f t="shared" si="9"/>
        <v>112543</v>
      </c>
      <c r="J78" s="1629">
        <f t="shared" si="9"/>
        <v>0</v>
      </c>
      <c r="K78" s="1629">
        <f t="shared" si="9"/>
        <v>14508</v>
      </c>
      <c r="L78" s="457"/>
    </row>
    <row r="79" spans="1:12" ht="13.5" thickTop="1" x14ac:dyDescent="0.2">
      <c r="A79" s="1844" t="str">
        <f>"Fund Balances - July 1, "&amp;'AFR20'!E2-1</f>
        <v>Fund Balances - July 1, 2019</v>
      </c>
      <c r="B79" s="458"/>
      <c r="C79" s="1583">
        <v>4263500</v>
      </c>
      <c r="D79" s="1630">
        <v>660571</v>
      </c>
      <c r="E79" s="1630">
        <v>112978</v>
      </c>
      <c r="F79" s="1630">
        <v>245637</v>
      </c>
      <c r="G79" s="1630">
        <v>169764</v>
      </c>
      <c r="H79" s="1630">
        <v>0</v>
      </c>
      <c r="I79" s="1630">
        <v>1481033</v>
      </c>
      <c r="J79" s="1630">
        <v>0</v>
      </c>
      <c r="K79" s="1630">
        <v>63159</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4510755</v>
      </c>
      <c r="D81" s="1594">
        <f>SUM(D78:D80)</f>
        <v>826126</v>
      </c>
      <c r="E81" s="1594">
        <f t="shared" ref="E81:K81" si="10">SUM(E78:E80)</f>
        <v>120249</v>
      </c>
      <c r="F81" s="1594">
        <f t="shared" si="10"/>
        <v>332324</v>
      </c>
      <c r="G81" s="1594">
        <f t="shared" si="10"/>
        <v>168710</v>
      </c>
      <c r="H81" s="1594">
        <f t="shared" si="10"/>
        <v>0</v>
      </c>
      <c r="I81" s="1594">
        <f t="shared" si="10"/>
        <v>1593576</v>
      </c>
      <c r="J81" s="1594">
        <f t="shared" si="10"/>
        <v>0</v>
      </c>
      <c r="K81" s="1594">
        <f t="shared" si="10"/>
        <v>77667</v>
      </c>
      <c r="L81" s="325"/>
    </row>
    <row r="82" spans="1:12" ht="0.75" customHeight="1" thickTop="1" thickBot="1" x14ac:dyDescent="0.25">
      <c r="A82" s="459" t="s">
        <v>340</v>
      </c>
      <c r="B82" s="460"/>
      <c r="C82" s="461">
        <f>(C81-C79)</f>
        <v>247255</v>
      </c>
      <c r="D82" s="461">
        <f t="shared" ref="D82:K82" si="11">(D81-D79)</f>
        <v>165555</v>
      </c>
      <c r="E82" s="461">
        <f t="shared" si="11"/>
        <v>7271</v>
      </c>
      <c r="F82" s="461">
        <f t="shared" si="11"/>
        <v>86687</v>
      </c>
      <c r="G82" s="461">
        <f t="shared" si="11"/>
        <v>-1054</v>
      </c>
      <c r="H82" s="461">
        <f t="shared" si="11"/>
        <v>0</v>
      </c>
      <c r="I82" s="461">
        <f t="shared" si="11"/>
        <v>112543</v>
      </c>
      <c r="J82" s="461">
        <f t="shared" si="11"/>
        <v>0</v>
      </c>
      <c r="K82" s="461">
        <f t="shared" si="11"/>
        <v>14508</v>
      </c>
    </row>
    <row r="83" spans="1:12" ht="14.25" hidden="1" thickTop="1" thickBot="1" x14ac:dyDescent="0.25">
      <c r="A83" s="462" t="s">
        <v>341</v>
      </c>
      <c r="B83" s="428"/>
      <c r="C83" s="463">
        <f>C82/C81</f>
        <v>5.4814548783961886E-2</v>
      </c>
      <c r="D83" s="463">
        <f t="shared" ref="D83:K83" si="12">D82/D81</f>
        <v>0.20039921271089398</v>
      </c>
      <c r="E83" s="463">
        <f t="shared" si="12"/>
        <v>6.0466199303112707E-2</v>
      </c>
      <c r="F83" s="463">
        <f t="shared" si="12"/>
        <v>0.26085085639315847</v>
      </c>
      <c r="G83" s="463">
        <f t="shared" si="12"/>
        <v>-6.2474067927212372E-3</v>
      </c>
      <c r="H83" s="463" t="e">
        <f t="shared" si="12"/>
        <v>#DIV/0!</v>
      </c>
      <c r="I83" s="463">
        <f t="shared" si="12"/>
        <v>7.0622926048083054E-2</v>
      </c>
      <c r="J83" s="463" t="e">
        <f t="shared" si="12"/>
        <v>#DIV/0!</v>
      </c>
      <c r="K83" s="463">
        <f t="shared" si="12"/>
        <v>0.18679748155587314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&amp;C&amp;"Arial,Bold"&amp;9Salem Community High School District 600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&amp;C&amp;"Arial,Bold"&amp;9Salem Community High School District 600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2336766</v>
      </c>
      <c r="D5" s="1586">
        <v>380361</v>
      </c>
      <c r="E5" s="1573">
        <v>563392</v>
      </c>
      <c r="F5" s="1631">
        <v>246988</v>
      </c>
      <c r="G5" s="1573">
        <v>98823</v>
      </c>
      <c r="H5" s="1573"/>
      <c r="I5" s="1573">
        <v>84006</v>
      </c>
      <c r="J5" s="1574">
        <v>148206</v>
      </c>
      <c r="K5" s="1573">
        <v>49419</v>
      </c>
    </row>
    <row r="6" spans="1:12" ht="15" x14ac:dyDescent="0.2">
      <c r="A6" s="427" t="s">
        <v>1643</v>
      </c>
      <c r="B6" s="429">
        <v>1130</v>
      </c>
      <c r="C6" s="1573">
        <v>19770</v>
      </c>
      <c r="D6" s="1573"/>
      <c r="E6" s="1580"/>
      <c r="F6" s="1580"/>
      <c r="G6" s="1575"/>
      <c r="H6" s="1575"/>
      <c r="I6" s="1575"/>
      <c r="J6" s="1575"/>
      <c r="K6" s="1575"/>
    </row>
    <row r="7" spans="1:12" x14ac:dyDescent="0.2">
      <c r="A7" s="427" t="s">
        <v>110</v>
      </c>
      <c r="B7" s="471">
        <v>1140</v>
      </c>
      <c r="C7" s="1573">
        <v>29666</v>
      </c>
      <c r="D7" s="1573"/>
      <c r="E7" s="1575"/>
      <c r="F7" s="1574"/>
      <c r="G7" s="1574"/>
      <c r="H7" s="1574"/>
      <c r="I7" s="1575"/>
      <c r="J7" s="1575"/>
      <c r="K7" s="1575"/>
    </row>
    <row r="8" spans="1:12" x14ac:dyDescent="0.2">
      <c r="A8" s="427" t="s">
        <v>410</v>
      </c>
      <c r="B8" s="429">
        <v>1150</v>
      </c>
      <c r="C8" s="1580"/>
      <c r="D8" s="1580"/>
      <c r="E8" s="1582"/>
      <c r="F8" s="1582"/>
      <c r="G8" s="1586">
        <v>123494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2386202</v>
      </c>
      <c r="D12" s="1633">
        <f t="shared" si="0"/>
        <v>380361</v>
      </c>
      <c r="E12" s="1633">
        <f t="shared" si="0"/>
        <v>563392</v>
      </c>
      <c r="F12" s="1633">
        <f t="shared" si="0"/>
        <v>246988</v>
      </c>
      <c r="G12" s="1633">
        <f t="shared" si="0"/>
        <v>222317</v>
      </c>
      <c r="H12" s="1633">
        <f t="shared" si="0"/>
        <v>0</v>
      </c>
      <c r="I12" s="1633">
        <f t="shared" si="0"/>
        <v>84006</v>
      </c>
      <c r="J12" s="1633">
        <f t="shared" si="0"/>
        <v>148206</v>
      </c>
      <c r="K12" s="1594">
        <f t="shared" si="0"/>
        <v>49419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304183</v>
      </c>
      <c r="D16" s="1573"/>
      <c r="E16" s="1573"/>
      <c r="F16" s="1573"/>
      <c r="G16" s="1573">
        <v>28863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304183</v>
      </c>
      <c r="D18" s="1635">
        <f t="shared" ref="D18:K18" si="1">SUM(D14:D17)</f>
        <v>0</v>
      </c>
      <c r="E18" s="1635">
        <f t="shared" si="1"/>
        <v>0</v>
      </c>
      <c r="F18" s="1635">
        <f t="shared" si="1"/>
        <v>0</v>
      </c>
      <c r="G18" s="1635">
        <f t="shared" si="1"/>
        <v>28863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121135</v>
      </c>
      <c r="D65" s="1573">
        <v>12805</v>
      </c>
      <c r="E65" s="1573">
        <v>2210</v>
      </c>
      <c r="F65" s="1574">
        <v>4654</v>
      </c>
      <c r="G65" s="1573">
        <v>3485</v>
      </c>
      <c r="H65" s="1573"/>
      <c r="I65" s="1573">
        <v>28537</v>
      </c>
      <c r="J65" s="1574">
        <v>469</v>
      </c>
      <c r="K65" s="1573">
        <v>1177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121135</v>
      </c>
      <c r="D67" s="1594">
        <f t="shared" ref="D67:K67" si="2">SUM(D65:D66)</f>
        <v>12805</v>
      </c>
      <c r="E67" s="1594">
        <f t="shared" si="2"/>
        <v>2210</v>
      </c>
      <c r="F67" s="1594">
        <f t="shared" si="2"/>
        <v>4654</v>
      </c>
      <c r="G67" s="1594">
        <f t="shared" si="2"/>
        <v>3485</v>
      </c>
      <c r="H67" s="1594">
        <f t="shared" si="2"/>
        <v>0</v>
      </c>
      <c r="I67" s="1594">
        <f t="shared" si="2"/>
        <v>28537</v>
      </c>
      <c r="J67" s="1594">
        <f t="shared" si="2"/>
        <v>469</v>
      </c>
      <c r="K67" s="1594">
        <f t="shared" si="2"/>
        <v>1177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92639</v>
      </c>
      <c r="D69" s="1575"/>
      <c r="E69" s="1575"/>
      <c r="F69" s="1575"/>
      <c r="G69" s="1575"/>
      <c r="H69" s="1575"/>
      <c r="I69" s="1575"/>
      <c r="J69" s="1575"/>
      <c r="K69" s="1575"/>
    </row>
    <row r="70" spans="1:11" ht="12.75" customHeight="1" x14ac:dyDescent="0.2">
      <c r="A70" s="427" t="s">
        <v>990</v>
      </c>
      <c r="B70" s="429">
        <v>1612</v>
      </c>
      <c r="C70" s="1632">
        <v>4161</v>
      </c>
      <c r="D70" s="1575"/>
      <c r="E70" s="1575"/>
      <c r="F70" s="1575"/>
      <c r="G70" s="1575"/>
      <c r="H70" s="1575"/>
      <c r="I70" s="1575"/>
      <c r="J70" s="1575"/>
      <c r="K70" s="1575"/>
    </row>
    <row r="71" spans="1:11" ht="12.75" customHeight="1" x14ac:dyDescent="0.2">
      <c r="A71" s="427" t="s">
        <v>271</v>
      </c>
      <c r="B71" s="429">
        <v>1613</v>
      </c>
      <c r="C71" s="1632">
        <v>50632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8471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155903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69790</v>
      </c>
      <c r="D77" s="1573"/>
      <c r="E77" s="1575"/>
      <c r="F77" s="1575"/>
      <c r="G77" s="1575"/>
      <c r="H77" s="1575"/>
      <c r="I77" s="1575"/>
      <c r="J77" s="1575"/>
      <c r="K77" s="1575"/>
    </row>
    <row r="78" spans="1:11" ht="12.75" customHeight="1" x14ac:dyDescent="0.2">
      <c r="A78" s="427" t="s">
        <v>76</v>
      </c>
      <c r="B78" s="429">
        <v>1719</v>
      </c>
      <c r="C78" s="1632">
        <v>652</v>
      </c>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1442</v>
      </c>
      <c r="D81" s="1573"/>
      <c r="E81" s="1575"/>
      <c r="F81" s="1575"/>
      <c r="G81" s="1575"/>
      <c r="H81" s="1575"/>
      <c r="I81" s="1575"/>
      <c r="J81" s="1575"/>
      <c r="K81" s="1575"/>
    </row>
    <row r="82" spans="1:11" ht="12.75" customHeight="1" thickBot="1" x14ac:dyDescent="0.25">
      <c r="A82" s="1406" t="s">
        <v>239</v>
      </c>
      <c r="B82" s="1407"/>
      <c r="C82" s="1633">
        <f>SUM(C77:C81)</f>
        <v>71884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39296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39296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6100</v>
      </c>
      <c r="D101" s="1623"/>
      <c r="E101" s="1585"/>
      <c r="F101" s="1623"/>
      <c r="G101" s="1580"/>
      <c r="H101" s="1623"/>
      <c r="I101" s="1575"/>
      <c r="J101" s="1580"/>
      <c r="K101" s="1580"/>
    </row>
    <row r="102" spans="1:12" ht="12.75" customHeight="1" x14ac:dyDescent="0.2">
      <c r="A102" s="427" t="s">
        <v>245</v>
      </c>
      <c r="B102" s="429">
        <v>1980</v>
      </c>
      <c r="C102" s="1598">
        <v>7896</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12221</v>
      </c>
      <c r="D107" s="1573">
        <v>8731</v>
      </c>
      <c r="E107" s="1573"/>
      <c r="F107" s="1573">
        <v>449</v>
      </c>
      <c r="G107" s="1573"/>
      <c r="H107" s="1573"/>
      <c r="I107" s="1573"/>
      <c r="J107" s="1574"/>
      <c r="K107" s="1573"/>
    </row>
    <row r="108" spans="1:12" ht="12.75" customHeight="1" thickBot="1" x14ac:dyDescent="0.25">
      <c r="A108" s="1406" t="s">
        <v>484</v>
      </c>
      <c r="B108" s="1408"/>
      <c r="C108" s="1633">
        <f>SUM(C95:C107)</f>
        <v>26217</v>
      </c>
      <c r="D108" s="1633">
        <f t="shared" ref="D108:K108" si="3">SUM(D95:D107)</f>
        <v>8731</v>
      </c>
      <c r="E108" s="1633">
        <f t="shared" si="3"/>
        <v>0</v>
      </c>
      <c r="F108" s="1633">
        <f t="shared" si="3"/>
        <v>449</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3104820</v>
      </c>
      <c r="D109" s="1641">
        <f t="shared" si="4"/>
        <v>401897</v>
      </c>
      <c r="E109" s="1641">
        <f t="shared" si="4"/>
        <v>565602</v>
      </c>
      <c r="F109" s="1641">
        <f t="shared" si="4"/>
        <v>252091</v>
      </c>
      <c r="G109" s="1641">
        <f t="shared" si="4"/>
        <v>254665</v>
      </c>
      <c r="H109" s="1641">
        <f t="shared" si="4"/>
        <v>0</v>
      </c>
      <c r="I109" s="1641">
        <f t="shared" si="4"/>
        <v>112543</v>
      </c>
      <c r="J109" s="1641">
        <f t="shared" si="4"/>
        <v>148675</v>
      </c>
      <c r="K109" s="1629">
        <f t="shared" si="4"/>
        <v>50596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v>467</v>
      </c>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467</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2670339</v>
      </c>
      <c r="D117" s="1586">
        <v>817034</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2670339</v>
      </c>
      <c r="D122" s="1633">
        <f t="shared" si="5"/>
        <v>817034</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22204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214947</v>
      </c>
      <c r="D128" s="1640"/>
      <c r="E128" s="1575"/>
      <c r="F128" s="1573">
        <v>42853</v>
      </c>
      <c r="G128" s="1575"/>
      <c r="H128" s="1575"/>
      <c r="I128" s="1575"/>
      <c r="J128" s="1575"/>
      <c r="K128" s="1575"/>
    </row>
    <row r="129" spans="1:11" ht="12.75" customHeight="1" x14ac:dyDescent="0.2">
      <c r="A129" s="427" t="s">
        <v>1430</v>
      </c>
      <c r="B129" s="478">
        <v>3130</v>
      </c>
      <c r="C129" s="1573">
        <v>20815</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257966</v>
      </c>
      <c r="D132" s="1633">
        <f>SUM(D125:D131)</f>
        <v>0</v>
      </c>
      <c r="E132" s="1576" t="s">
        <v>1159</v>
      </c>
      <c r="F132" s="1633">
        <f>SUM(F125:F131)</f>
        <v>42853</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240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3487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3727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1609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19880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80935</v>
      </c>
      <c r="G152" s="1574"/>
      <c r="H152" s="1575"/>
      <c r="I152" s="1575"/>
      <c r="J152" s="1575"/>
      <c r="K152" s="1575"/>
    </row>
    <row r="153" spans="1:11" ht="12.75" customHeight="1" x14ac:dyDescent="0.2">
      <c r="A153" s="427" t="s">
        <v>1048</v>
      </c>
      <c r="B153" s="478">
        <v>3510</v>
      </c>
      <c r="C153" s="1632"/>
      <c r="D153" s="1573"/>
      <c r="E153" s="1640"/>
      <c r="F153" s="1573">
        <v>23570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104505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283932</v>
      </c>
      <c r="D169" s="1658">
        <f t="shared" si="6"/>
        <v>50000</v>
      </c>
      <c r="E169" s="1658">
        <f t="shared" si="6"/>
        <v>0</v>
      </c>
      <c r="F169" s="1658">
        <f t="shared" si="6"/>
        <v>147358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2954271</v>
      </c>
      <c r="D170" s="1641">
        <f t="shared" si="7"/>
        <v>867034</v>
      </c>
      <c r="E170" s="1641">
        <f t="shared" si="7"/>
        <v>0</v>
      </c>
      <c r="F170" s="1641">
        <f t="shared" si="7"/>
        <v>147358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104372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16948</v>
      </c>
      <c r="D193" s="1575"/>
      <c r="E193" s="1640"/>
      <c r="F193" s="1575"/>
      <c r="G193" s="1664"/>
      <c r="H193" s="1575"/>
      <c r="I193" s="1575"/>
      <c r="J193" s="1575"/>
      <c r="K193" s="1575"/>
    </row>
    <row r="194" spans="1:11" ht="12.75" customHeight="1" x14ac:dyDescent="0.2">
      <c r="A194" s="427" t="s">
        <v>1434</v>
      </c>
      <c r="B194" s="429">
        <v>4225</v>
      </c>
      <c r="C194" s="1632">
        <v>14687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136007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189594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189594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31269</v>
      </c>
      <c r="D213" s="1573"/>
      <c r="E213" s="1575"/>
      <c r="F213" s="1573"/>
      <c r="G213" s="1573"/>
      <c r="H213" s="1575"/>
      <c r="I213" s="1575"/>
      <c r="J213" s="1575"/>
      <c r="K213" s="1575"/>
    </row>
    <row r="214" spans="1:11" ht="12.75" customHeight="1" x14ac:dyDescent="0.2">
      <c r="A214" s="427" t="s">
        <v>1045</v>
      </c>
      <c r="B214" s="429">
        <v>4625</v>
      </c>
      <c r="C214" s="1632">
        <v>31362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62631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26743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9193</v>
      </c>
      <c r="D263" s="1651"/>
      <c r="E263" s="1575"/>
      <c r="F263" s="1651"/>
      <c r="G263" s="1651"/>
      <c r="H263" s="1575"/>
      <c r="I263" s="1575"/>
      <c r="J263" s="1575"/>
      <c r="K263" s="1575"/>
    </row>
    <row r="264" spans="1:11" ht="12.75" customHeight="1" thickTop="1" thickBot="1" x14ac:dyDescent="0.25">
      <c r="A264" s="427" t="s">
        <v>374</v>
      </c>
      <c r="B264" s="429">
        <v>4992</v>
      </c>
      <c r="C264" s="1650">
        <v>32296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456464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456464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6515555</v>
      </c>
      <c r="D268" s="1641">
        <f t="shared" si="12"/>
        <v>1268931</v>
      </c>
      <c r="E268" s="1641">
        <f t="shared" si="12"/>
        <v>565602</v>
      </c>
      <c r="F268" s="1641">
        <f t="shared" si="12"/>
        <v>399916</v>
      </c>
      <c r="G268" s="1641">
        <f t="shared" si="12"/>
        <v>254665</v>
      </c>
      <c r="H268" s="1641">
        <f t="shared" si="12"/>
        <v>0</v>
      </c>
      <c r="I268" s="1641">
        <f t="shared" si="12"/>
        <v>112543</v>
      </c>
      <c r="J268" s="1641">
        <f t="shared" si="12"/>
        <v>148675</v>
      </c>
      <c r="K268" s="1629">
        <f t="shared" si="12"/>
        <v>50596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ageMargins left="0.37" right="0.15" top="0.66" bottom="0.46" header="0.26" footer="0.23"/>
  <pageSetup scale="73" firstPageNumber="10" orientation="landscape" useFirstPageNumber="1" r:id="rId1"/>
  <headerFooter differentOddEven="1" alignWithMargins="0">
    <oddHeader>&amp;C&amp;"Arial,Bold"&amp;9Salem Community High School District 600 
STATEMENT OF REVENUES RECEIVED/REVENUES (ALL FUNDS)
FOR THE YEAR ENDING JUNE 30, 2020</oddHeader>
    <oddFooter>&amp;L&amp;11See accompanying notes to the financial statements.&amp;C&amp;14- &amp;P -</oddFooter>
    <evenHeader>&amp;C&amp;"Arial,Bold"&amp;9Salem Community High School District 600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152"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1822149</v>
      </c>
      <c r="D5" s="1573">
        <v>384765</v>
      </c>
      <c r="E5" s="1573">
        <v>86433</v>
      </c>
      <c r="F5" s="1573">
        <v>70081</v>
      </c>
      <c r="G5" s="1573">
        <v>27491</v>
      </c>
      <c r="H5" s="1573">
        <v>630</v>
      </c>
      <c r="I5" s="1574"/>
      <c r="J5" s="1574"/>
      <c r="K5" s="1672">
        <f>SUM(C5:J5)</f>
        <v>2391549</v>
      </c>
      <c r="L5" s="1573">
        <v>2469820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528944</v>
      </c>
      <c r="D8" s="1573">
        <v>72386</v>
      </c>
      <c r="E8" s="1573">
        <v>2261</v>
      </c>
      <c r="F8" s="1573">
        <v>1302</v>
      </c>
      <c r="G8" s="1573"/>
      <c r="H8" s="1573"/>
      <c r="I8" s="1574"/>
      <c r="J8" s="1574"/>
      <c r="K8" s="1672">
        <f t="shared" si="0"/>
        <v>604893</v>
      </c>
      <c r="L8" s="1573">
        <v>622680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74448</v>
      </c>
      <c r="D10" s="1573">
        <v>9209</v>
      </c>
      <c r="E10" s="1573">
        <v>17585</v>
      </c>
      <c r="F10" s="1573">
        <v>64251</v>
      </c>
      <c r="G10" s="1573"/>
      <c r="H10" s="1573"/>
      <c r="I10" s="1574"/>
      <c r="J10" s="1574"/>
      <c r="K10" s="1672">
        <f t="shared" si="0"/>
        <v>165493</v>
      </c>
      <c r="L10" s="1573">
        <v>166913</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486916</v>
      </c>
      <c r="D13" s="1573">
        <v>107190</v>
      </c>
      <c r="E13" s="1573"/>
      <c r="F13" s="1573">
        <v>9283</v>
      </c>
      <c r="G13" s="1573"/>
      <c r="H13" s="1573">
        <v>175</v>
      </c>
      <c r="I13" s="1574"/>
      <c r="J13" s="1574"/>
      <c r="K13" s="1672">
        <f t="shared" si="0"/>
        <v>603564</v>
      </c>
      <c r="L13" s="1573">
        <v>611160</v>
      </c>
    </row>
    <row r="14" spans="1:14" x14ac:dyDescent="0.2">
      <c r="A14" s="1274" t="s">
        <v>957</v>
      </c>
      <c r="B14" s="503">
        <v>1500</v>
      </c>
      <c r="C14" s="1573">
        <v>163139</v>
      </c>
      <c r="D14" s="1573">
        <v>1239</v>
      </c>
      <c r="E14" s="1573">
        <v>26337</v>
      </c>
      <c r="F14" s="1573">
        <v>21303</v>
      </c>
      <c r="G14" s="1573">
        <v>8998</v>
      </c>
      <c r="H14" s="1573">
        <v>22718</v>
      </c>
      <c r="I14" s="1574"/>
      <c r="J14" s="1574"/>
      <c r="K14" s="1672">
        <f t="shared" si="0"/>
        <v>243734</v>
      </c>
      <c r="L14" s="1573">
        <v>261350</v>
      </c>
    </row>
    <row r="15" spans="1:14" x14ac:dyDescent="0.2">
      <c r="A15" s="1274" t="s">
        <v>958</v>
      </c>
      <c r="B15" s="503">
        <v>1600</v>
      </c>
      <c r="C15" s="1573"/>
      <c r="D15" s="1573"/>
      <c r="E15" s="1573"/>
      <c r="F15" s="1573"/>
      <c r="G15" s="1573"/>
      <c r="H15" s="1573"/>
      <c r="I15" s="1574"/>
      <c r="J15" s="1574"/>
      <c r="K15" s="1672">
        <f t="shared" si="0"/>
        <v>0</v>
      </c>
      <c r="L15" s="1573">
        <v>7800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9326</v>
      </c>
      <c r="D17" s="1574">
        <v>140</v>
      </c>
      <c r="E17" s="1574"/>
      <c r="F17" s="1574">
        <v>2257</v>
      </c>
      <c r="G17" s="1574">
        <v>16948</v>
      </c>
      <c r="H17" s="1574"/>
      <c r="I17" s="1574"/>
      <c r="J17" s="1574"/>
      <c r="K17" s="1672">
        <f t="shared" si="0"/>
        <v>28671</v>
      </c>
      <c r="L17" s="1573">
        <v>33250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3084922</v>
      </c>
      <c r="D33" s="1674">
        <f t="shared" ref="D33:L33" si="1">SUM(D5:D32)</f>
        <v>574929</v>
      </c>
      <c r="E33" s="1674">
        <f t="shared" si="1"/>
        <v>132616</v>
      </c>
      <c r="F33" s="1674">
        <f t="shared" si="1"/>
        <v>168477</v>
      </c>
      <c r="G33" s="1674">
        <f t="shared" si="1"/>
        <v>53437</v>
      </c>
      <c r="H33" s="1674">
        <f t="shared" si="1"/>
        <v>23523</v>
      </c>
      <c r="I33" s="1674">
        <f t="shared" si="1"/>
        <v>0</v>
      </c>
      <c r="J33" s="1674">
        <f t="shared" si="1"/>
        <v>0</v>
      </c>
      <c r="K33" s="1674">
        <f t="shared" si="1"/>
        <v>4037904</v>
      </c>
      <c r="L33" s="1674">
        <f t="shared" si="1"/>
        <v>4172973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22824</v>
      </c>
      <c r="D36" s="1586"/>
      <c r="E36" s="1586"/>
      <c r="F36" s="1586"/>
      <c r="G36" s="1586"/>
      <c r="H36" s="1586"/>
      <c r="I36" s="1574"/>
      <c r="J36" s="1574"/>
      <c r="K36" s="1672">
        <f t="shared" ref="K36:K41" si="2">SUM(C36:J36)</f>
        <v>22824</v>
      </c>
      <c r="L36" s="1573">
        <v>23500</v>
      </c>
    </row>
    <row r="37" spans="1:14" x14ac:dyDescent="0.2">
      <c r="A37" s="1274" t="s">
        <v>1081</v>
      </c>
      <c r="B37" s="503">
        <v>2120</v>
      </c>
      <c r="C37" s="1573">
        <v>210202</v>
      </c>
      <c r="D37" s="1573">
        <v>30487</v>
      </c>
      <c r="E37" s="1573"/>
      <c r="F37" s="1573">
        <v>2095</v>
      </c>
      <c r="G37" s="1573"/>
      <c r="H37" s="1573"/>
      <c r="I37" s="1574"/>
      <c r="J37" s="1574"/>
      <c r="K37" s="1672">
        <f t="shared" si="2"/>
        <v>242784</v>
      </c>
      <c r="L37" s="1573">
        <v>244600</v>
      </c>
    </row>
    <row r="38" spans="1:14" x14ac:dyDescent="0.2">
      <c r="A38" s="1274" t="s">
        <v>196</v>
      </c>
      <c r="B38" s="503">
        <v>2130</v>
      </c>
      <c r="C38" s="1573">
        <v>20346</v>
      </c>
      <c r="D38" s="1573">
        <v>13723</v>
      </c>
      <c r="E38" s="1573"/>
      <c r="F38" s="1573">
        <v>338</v>
      </c>
      <c r="G38" s="1573"/>
      <c r="H38" s="1573">
        <v>70</v>
      </c>
      <c r="I38" s="1574"/>
      <c r="J38" s="1574"/>
      <c r="K38" s="1672">
        <f t="shared" si="2"/>
        <v>34477</v>
      </c>
      <c r="L38" s="1573">
        <v>50100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v>37573</v>
      </c>
      <c r="D41" s="1573">
        <v>650</v>
      </c>
      <c r="E41" s="1573"/>
      <c r="F41" s="1573">
        <v>3577</v>
      </c>
      <c r="G41" s="1573"/>
      <c r="H41" s="1573">
        <v>1216</v>
      </c>
      <c r="I41" s="1574"/>
      <c r="J41" s="1574"/>
      <c r="K41" s="1672">
        <f t="shared" si="2"/>
        <v>43016</v>
      </c>
      <c r="L41" s="1573">
        <v>45850</v>
      </c>
    </row>
    <row r="42" spans="1:14" ht="12.75" customHeight="1" thickBot="1" x14ac:dyDescent="0.25">
      <c r="A42" s="1380" t="s">
        <v>556</v>
      </c>
      <c r="B42" s="1381" t="s">
        <v>711</v>
      </c>
      <c r="C42" s="1674">
        <f>SUM(C36:C41)</f>
        <v>290945</v>
      </c>
      <c r="D42" s="1674">
        <f t="shared" ref="D42:L42" si="3">SUM(D36:D41)</f>
        <v>44860</v>
      </c>
      <c r="E42" s="1674">
        <f t="shared" si="3"/>
        <v>0</v>
      </c>
      <c r="F42" s="1674">
        <f t="shared" si="3"/>
        <v>6010</v>
      </c>
      <c r="G42" s="1674">
        <f t="shared" si="3"/>
        <v>0</v>
      </c>
      <c r="H42" s="1674">
        <f t="shared" si="3"/>
        <v>1286</v>
      </c>
      <c r="I42" s="1674">
        <f t="shared" si="3"/>
        <v>0</v>
      </c>
      <c r="J42" s="1674">
        <f t="shared" si="3"/>
        <v>0</v>
      </c>
      <c r="K42" s="1674">
        <f t="shared" si="3"/>
        <v>343101</v>
      </c>
      <c r="L42" s="1674">
        <f t="shared" si="3"/>
        <v>364050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6132</v>
      </c>
      <c r="D44" s="1586">
        <v>533</v>
      </c>
      <c r="E44" s="1586">
        <v>11127</v>
      </c>
      <c r="F44" s="1586"/>
      <c r="G44" s="1586"/>
      <c r="H44" s="1586"/>
      <c r="I44" s="1574"/>
      <c r="J44" s="1574"/>
      <c r="K44" s="1678">
        <f>SUM(C44:J44)</f>
        <v>17792</v>
      </c>
      <c r="L44" s="1586">
        <v>22140</v>
      </c>
    </row>
    <row r="45" spans="1:14" x14ac:dyDescent="0.2">
      <c r="A45" s="1274" t="s">
        <v>810</v>
      </c>
      <c r="B45" s="503">
        <v>2220</v>
      </c>
      <c r="C45" s="1573">
        <v>64981</v>
      </c>
      <c r="D45" s="1573">
        <v>11976</v>
      </c>
      <c r="E45" s="1573">
        <v>2296</v>
      </c>
      <c r="F45" s="1573">
        <v>7252</v>
      </c>
      <c r="G45" s="1573">
        <v>1439</v>
      </c>
      <c r="H45" s="1573"/>
      <c r="I45" s="1574"/>
      <c r="J45" s="1574"/>
      <c r="K45" s="1678">
        <f>SUM(C45:J45)</f>
        <v>87944</v>
      </c>
      <c r="L45" s="1573">
        <v>90250</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71113</v>
      </c>
      <c r="D47" s="1674">
        <f t="shared" ref="D47:K47" si="4">SUM(D44:D46)</f>
        <v>12509</v>
      </c>
      <c r="E47" s="1674">
        <f t="shared" si="4"/>
        <v>13423</v>
      </c>
      <c r="F47" s="1674">
        <f t="shared" si="4"/>
        <v>7252</v>
      </c>
      <c r="G47" s="1674">
        <f t="shared" si="4"/>
        <v>1439</v>
      </c>
      <c r="H47" s="1674">
        <f t="shared" si="4"/>
        <v>0</v>
      </c>
      <c r="I47" s="1674">
        <f t="shared" si="4"/>
        <v>0</v>
      </c>
      <c r="J47" s="1674">
        <f t="shared" si="4"/>
        <v>0</v>
      </c>
      <c r="K47" s="1674">
        <f t="shared" si="4"/>
        <v>105736</v>
      </c>
      <c r="L47" s="1674">
        <f>SUM(L44:L46)</f>
        <v>112390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9186</v>
      </c>
      <c r="D49" s="1586"/>
      <c r="E49" s="1586">
        <v>23024</v>
      </c>
      <c r="F49" s="1586">
        <v>835</v>
      </c>
      <c r="G49" s="1586"/>
      <c r="H49" s="1586">
        <v>4948</v>
      </c>
      <c r="I49" s="1574"/>
      <c r="J49" s="1574"/>
      <c r="K49" s="1678">
        <f>SUM(C49:J49)</f>
        <v>37993</v>
      </c>
      <c r="L49" s="1586">
        <v>47000</v>
      </c>
    </row>
    <row r="50" spans="1:14" x14ac:dyDescent="0.2">
      <c r="A50" s="1274" t="s">
        <v>813</v>
      </c>
      <c r="B50" s="503">
        <v>2320</v>
      </c>
      <c r="C50" s="1573">
        <v>140451</v>
      </c>
      <c r="D50" s="1573">
        <v>39567</v>
      </c>
      <c r="E50" s="1573"/>
      <c r="F50" s="1573">
        <v>57</v>
      </c>
      <c r="G50" s="1573"/>
      <c r="H50" s="1573">
        <v>1680</v>
      </c>
      <c r="I50" s="1574"/>
      <c r="J50" s="1574"/>
      <c r="K50" s="1678">
        <f>SUM(C50:J50)</f>
        <v>181755</v>
      </c>
      <c r="L50" s="1573">
        <v>190750</v>
      </c>
    </row>
    <row r="51" spans="1:14" x14ac:dyDescent="0.2">
      <c r="A51" s="1274" t="s">
        <v>42</v>
      </c>
      <c r="B51" s="503">
        <v>2330</v>
      </c>
      <c r="C51" s="1573"/>
      <c r="D51" s="1573"/>
      <c r="E51" s="1573">
        <v>368</v>
      </c>
      <c r="F51" s="1573"/>
      <c r="G51" s="1573"/>
      <c r="H51" s="1573"/>
      <c r="I51" s="1574"/>
      <c r="J51" s="1574"/>
      <c r="K51" s="1678">
        <f>SUM(C51:J51)</f>
        <v>368</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149637</v>
      </c>
      <c r="D53" s="1674">
        <f t="shared" ref="D53:L53" si="5">SUM(D49:D52)</f>
        <v>39567</v>
      </c>
      <c r="E53" s="1674">
        <f t="shared" si="5"/>
        <v>23392</v>
      </c>
      <c r="F53" s="1674">
        <f t="shared" si="5"/>
        <v>892</v>
      </c>
      <c r="G53" s="1674">
        <f t="shared" si="5"/>
        <v>0</v>
      </c>
      <c r="H53" s="1674">
        <f t="shared" si="5"/>
        <v>6628</v>
      </c>
      <c r="I53" s="1674">
        <f t="shared" si="5"/>
        <v>0</v>
      </c>
      <c r="J53" s="1674">
        <f t="shared" si="5"/>
        <v>0</v>
      </c>
      <c r="K53" s="1674">
        <f t="shared" si="5"/>
        <v>220116</v>
      </c>
      <c r="L53" s="1674">
        <f t="shared" si="5"/>
        <v>237750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214864</v>
      </c>
      <c r="D55" s="1586">
        <v>62778</v>
      </c>
      <c r="E55" s="1586"/>
      <c r="F55" s="1586">
        <v>973</v>
      </c>
      <c r="G55" s="1586">
        <v>1353</v>
      </c>
      <c r="H55" s="1586"/>
      <c r="I55" s="1574"/>
      <c r="J55" s="1574"/>
      <c r="K55" s="1678">
        <f>SUM(C55:J55)</f>
        <v>279968</v>
      </c>
      <c r="L55" s="1586">
        <v>283500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214864</v>
      </c>
      <c r="D57" s="1679">
        <f t="shared" ref="D57:K57" si="6">SUM(D55:D56)</f>
        <v>62778</v>
      </c>
      <c r="E57" s="1679">
        <f t="shared" si="6"/>
        <v>0</v>
      </c>
      <c r="F57" s="1679">
        <f t="shared" si="6"/>
        <v>973</v>
      </c>
      <c r="G57" s="1679">
        <f t="shared" si="6"/>
        <v>1353</v>
      </c>
      <c r="H57" s="1679">
        <f t="shared" si="6"/>
        <v>0</v>
      </c>
      <c r="I57" s="1679">
        <f t="shared" si="6"/>
        <v>0</v>
      </c>
      <c r="J57" s="1679">
        <f t="shared" si="6"/>
        <v>0</v>
      </c>
      <c r="K57" s="1679">
        <f t="shared" si="6"/>
        <v>279968</v>
      </c>
      <c r="L57" s="1674">
        <f>SUM(L55:L56)</f>
        <v>283500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39799</v>
      </c>
      <c r="D60" s="1573">
        <v>19270</v>
      </c>
      <c r="E60" s="1573"/>
      <c r="F60" s="1573">
        <v>92</v>
      </c>
      <c r="G60" s="1573"/>
      <c r="H60" s="1573"/>
      <c r="I60" s="1574"/>
      <c r="J60" s="1574"/>
      <c r="K60" s="1678">
        <f t="shared" si="7"/>
        <v>59161</v>
      </c>
      <c r="L60" s="1573">
        <v>60300</v>
      </c>
      <c r="M60" s="501"/>
      <c r="N60" s="501"/>
    </row>
    <row r="61" spans="1:14" s="321" customFormat="1" x14ac:dyDescent="0.2">
      <c r="A61" s="1274" t="s">
        <v>195</v>
      </c>
      <c r="B61" s="503">
        <v>2540</v>
      </c>
      <c r="C61" s="1573">
        <v>397173</v>
      </c>
      <c r="D61" s="1573">
        <v>60506</v>
      </c>
      <c r="E61" s="1573"/>
      <c r="F61" s="1573"/>
      <c r="G61" s="1573"/>
      <c r="H61" s="1573"/>
      <c r="I61" s="1574"/>
      <c r="J61" s="1574"/>
      <c r="K61" s="1678">
        <f t="shared" si="7"/>
        <v>457679</v>
      </c>
      <c r="L61" s="1573">
        <v>482000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153919</v>
      </c>
      <c r="D63" s="1573">
        <v>6010</v>
      </c>
      <c r="E63" s="1573">
        <v>3153</v>
      </c>
      <c r="F63" s="1573">
        <v>163027</v>
      </c>
      <c r="G63" s="1573">
        <v>2960</v>
      </c>
      <c r="H63" s="1573">
        <v>600</v>
      </c>
      <c r="I63" s="1574"/>
      <c r="J63" s="1574"/>
      <c r="K63" s="1678">
        <f t="shared" si="7"/>
        <v>329669</v>
      </c>
      <c r="L63" s="1573">
        <v>366800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590891</v>
      </c>
      <c r="D65" s="1674">
        <f t="shared" ref="D65:L65" si="8">SUM(D59:D64)</f>
        <v>85786</v>
      </c>
      <c r="E65" s="1674">
        <f t="shared" si="8"/>
        <v>3153</v>
      </c>
      <c r="F65" s="1674">
        <f t="shared" si="8"/>
        <v>163119</v>
      </c>
      <c r="G65" s="1674">
        <f t="shared" si="8"/>
        <v>2960</v>
      </c>
      <c r="H65" s="1674">
        <f t="shared" si="8"/>
        <v>600</v>
      </c>
      <c r="I65" s="1674">
        <f t="shared" si="8"/>
        <v>0</v>
      </c>
      <c r="J65" s="1674">
        <f t="shared" si="8"/>
        <v>0</v>
      </c>
      <c r="K65" s="1674">
        <f t="shared" si="8"/>
        <v>846509</v>
      </c>
      <c r="L65" s="1674">
        <f t="shared" si="8"/>
        <v>909100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600</v>
      </c>
      <c r="M73" s="501"/>
      <c r="N73" s="501"/>
    </row>
    <row r="74" spans="1:14" ht="12.75" customHeight="1" thickTop="1" thickBot="1" x14ac:dyDescent="0.25">
      <c r="A74" s="1380" t="s">
        <v>806</v>
      </c>
      <c r="B74" s="1384">
        <v>2000</v>
      </c>
      <c r="C74" s="1681">
        <f>SUM(C42,C47,C53,C57,C65,C72,C73)</f>
        <v>1317450</v>
      </c>
      <c r="D74" s="1681">
        <f t="shared" ref="D74:K74" si="10">SUM(D42,D47,D53,D57,D65,D72,D73)</f>
        <v>245500</v>
      </c>
      <c r="E74" s="1681">
        <f t="shared" si="10"/>
        <v>39968</v>
      </c>
      <c r="F74" s="1681">
        <f t="shared" si="10"/>
        <v>178246</v>
      </c>
      <c r="G74" s="1681">
        <f t="shared" si="10"/>
        <v>5752</v>
      </c>
      <c r="H74" s="1681">
        <f t="shared" si="10"/>
        <v>8514</v>
      </c>
      <c r="I74" s="1681">
        <f t="shared" si="10"/>
        <v>0</v>
      </c>
      <c r="J74" s="1681">
        <f t="shared" si="10"/>
        <v>0</v>
      </c>
      <c r="K74" s="1681">
        <f t="shared" si="10"/>
        <v>1795430</v>
      </c>
      <c r="L74" s="1681">
        <f>SUM(L42,L47,L53,L57,L65,L72,L73)</f>
        <v>1907390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v>434966</v>
      </c>
      <c r="I79" s="1582"/>
      <c r="J79" s="1582"/>
      <c r="K79" s="1672">
        <f t="shared" si="11"/>
        <v>434966</v>
      </c>
      <c r="L79" s="1573">
        <v>435000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434966</v>
      </c>
      <c r="I84" s="1582"/>
      <c r="J84" s="1582"/>
      <c r="K84" s="1674">
        <f>SUM(K78:K83)</f>
        <v>434966</v>
      </c>
      <c r="L84" s="1674">
        <f>SUM(L78:L83)</f>
        <v>435000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434966</v>
      </c>
      <c r="I102" s="1582"/>
      <c r="J102" s="1582"/>
      <c r="K102" s="1681">
        <f>SUM(K84,K92,K100,K101)</f>
        <v>434966</v>
      </c>
      <c r="L102" s="1681">
        <f>SUM(L84,L92,L100,L101)</f>
        <v>435000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4402372</v>
      </c>
      <c r="D114" s="1674">
        <f t="shared" ref="D114:K114" si="13">SUM(D33,D74,D75,D102,D112,D113)</f>
        <v>820429</v>
      </c>
      <c r="E114" s="1674">
        <f t="shared" si="13"/>
        <v>172584</v>
      </c>
      <c r="F114" s="1674">
        <f t="shared" si="13"/>
        <v>346723</v>
      </c>
      <c r="G114" s="1674">
        <f t="shared" si="13"/>
        <v>59189</v>
      </c>
      <c r="H114" s="1674">
        <f>SUM(H33,H74,H75,H102,H112,H113)</f>
        <v>467003</v>
      </c>
      <c r="I114" s="1674">
        <f t="shared" si="13"/>
        <v>0</v>
      </c>
      <c r="J114" s="1674">
        <f t="shared" si="13"/>
        <v>0</v>
      </c>
      <c r="K114" s="1674">
        <f t="shared" si="13"/>
        <v>6268300</v>
      </c>
      <c r="L114" s="1674">
        <f>SUM(L33,L74,L75,L102,L112,L113)</f>
        <v>6515363</v>
      </c>
    </row>
    <row r="115" spans="1:14" ht="13.5" thickTop="1" x14ac:dyDescent="0.2">
      <c r="A115" s="2285" t="s">
        <v>989</v>
      </c>
      <c r="B115" s="2286"/>
      <c r="C115" s="1675"/>
      <c r="D115" s="1675"/>
      <c r="E115" s="1675"/>
      <c r="F115" s="1675"/>
      <c r="G115" s="1675"/>
      <c r="H115" s="1675"/>
      <c r="I115" s="1675"/>
      <c r="J115" s="1675"/>
      <c r="K115" s="1689">
        <f>'Revenues 9-14'!C268-'Expenditures 15-22'!K114</f>
        <v>247255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49252</v>
      </c>
      <c r="D124" s="1573">
        <v>5999</v>
      </c>
      <c r="E124" s="1573">
        <v>152629</v>
      </c>
      <c r="F124" s="1573">
        <v>132348</v>
      </c>
      <c r="G124" s="1573">
        <v>762769</v>
      </c>
      <c r="H124" s="1573">
        <v>379</v>
      </c>
      <c r="I124" s="1574"/>
      <c r="J124" s="1574"/>
      <c r="K124" s="1674">
        <f>SUM(C124:J124)</f>
        <v>1103376</v>
      </c>
      <c r="L124" s="1573">
        <v>1189000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49252</v>
      </c>
      <c r="D127" s="1674">
        <f t="shared" ref="D127:L127" si="14">SUM(D122:D126)</f>
        <v>5999</v>
      </c>
      <c r="E127" s="1674">
        <f t="shared" si="14"/>
        <v>152629</v>
      </c>
      <c r="F127" s="1674">
        <f t="shared" si="14"/>
        <v>132348</v>
      </c>
      <c r="G127" s="1674">
        <f t="shared" si="14"/>
        <v>762769</v>
      </c>
      <c r="H127" s="1674">
        <f t="shared" si="14"/>
        <v>379</v>
      </c>
      <c r="I127" s="1674">
        <f t="shared" si="14"/>
        <v>0</v>
      </c>
      <c r="J127" s="1674">
        <f t="shared" si="14"/>
        <v>0</v>
      </c>
      <c r="K127" s="1674">
        <f t="shared" si="14"/>
        <v>1103376</v>
      </c>
      <c r="L127" s="1674">
        <f t="shared" si="14"/>
        <v>1189000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49252</v>
      </c>
      <c r="D129" s="1681">
        <f t="shared" ref="D129:L129" si="15">SUM(D120,D127,D128)</f>
        <v>5999</v>
      </c>
      <c r="E129" s="1681">
        <f t="shared" si="15"/>
        <v>152629</v>
      </c>
      <c r="F129" s="1681">
        <f t="shared" si="15"/>
        <v>132348</v>
      </c>
      <c r="G129" s="1681">
        <f t="shared" si="15"/>
        <v>762769</v>
      </c>
      <c r="H129" s="1681">
        <f t="shared" si="15"/>
        <v>379</v>
      </c>
      <c r="I129" s="1681">
        <f t="shared" si="15"/>
        <v>0</v>
      </c>
      <c r="J129" s="1681">
        <f t="shared" si="15"/>
        <v>0</v>
      </c>
      <c r="K129" s="1681">
        <f t="shared" si="15"/>
        <v>1103376</v>
      </c>
      <c r="L129" s="1681">
        <f t="shared" si="15"/>
        <v>1189000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5" t="s">
        <v>616</v>
      </c>
      <c r="B151" s="2257"/>
      <c r="C151" s="1674">
        <f>SUM(C129,C130,C139,C149,C150)</f>
        <v>49252</v>
      </c>
      <c r="D151" s="1674">
        <f t="shared" ref="D151:K151" si="16">SUM(D129,D130,D139,D149,D150)</f>
        <v>5999</v>
      </c>
      <c r="E151" s="1674">
        <f t="shared" si="16"/>
        <v>152629</v>
      </c>
      <c r="F151" s="1674">
        <f t="shared" si="16"/>
        <v>132348</v>
      </c>
      <c r="G151" s="1674">
        <f t="shared" si="16"/>
        <v>762769</v>
      </c>
      <c r="H151" s="1674">
        <f t="shared" si="16"/>
        <v>379</v>
      </c>
      <c r="I151" s="1674">
        <f t="shared" si="16"/>
        <v>0</v>
      </c>
      <c r="J151" s="1674">
        <f t="shared" si="16"/>
        <v>0</v>
      </c>
      <c r="K151" s="1674">
        <f t="shared" si="16"/>
        <v>1103376</v>
      </c>
      <c r="L151" s="1674">
        <f>SUM(L129,L130,L139,L149,L150)</f>
        <v>1189000</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165555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408565</v>
      </c>
      <c r="I169" s="1673"/>
      <c r="J169" s="1673"/>
      <c r="K169" s="1672">
        <f>SUM(C169:H169)</f>
        <v>408565</v>
      </c>
      <c r="L169" s="1695">
        <v>408566</v>
      </c>
    </row>
    <row r="170" spans="1:14" ht="33.75" customHeight="1" x14ac:dyDescent="0.2">
      <c r="A170" s="543" t="s">
        <v>1651</v>
      </c>
      <c r="B170" s="545" t="s">
        <v>31</v>
      </c>
      <c r="C170" s="1673"/>
      <c r="D170" s="1673"/>
      <c r="E170" s="1673"/>
      <c r="F170" s="1673"/>
      <c r="G170" s="1673"/>
      <c r="H170" s="1646">
        <v>149016</v>
      </c>
      <c r="I170" s="1673"/>
      <c r="J170" s="1673"/>
      <c r="K170" s="1672">
        <f>SUM(C170:J170)</f>
        <v>149016</v>
      </c>
      <c r="L170" s="1646">
        <v>229259</v>
      </c>
    </row>
    <row r="171" spans="1:14" ht="15.75" customHeight="1" x14ac:dyDescent="0.2">
      <c r="A171" s="507" t="s">
        <v>761</v>
      </c>
      <c r="B171" s="546" t="s">
        <v>84</v>
      </c>
      <c r="C171" s="1673"/>
      <c r="D171" s="1673"/>
      <c r="E171" s="1573"/>
      <c r="F171" s="1673"/>
      <c r="G171" s="1673"/>
      <c r="H171" s="1646">
        <v>750</v>
      </c>
      <c r="I171" s="1582"/>
      <c r="J171" s="1673"/>
      <c r="K171" s="1672">
        <f>SUM(C171:J171)</f>
        <v>750</v>
      </c>
      <c r="L171" s="1646">
        <v>750</v>
      </c>
    </row>
    <row r="172" spans="1:14" ht="12.75" customHeight="1" thickBot="1" x14ac:dyDescent="0.25">
      <c r="A172" s="1380" t="s">
        <v>633</v>
      </c>
      <c r="B172" s="1381" t="s">
        <v>489</v>
      </c>
      <c r="C172" s="1673"/>
      <c r="D172" s="1673"/>
      <c r="E172" s="1681">
        <f>SUM(E168,E169,E170,E171)</f>
        <v>0</v>
      </c>
      <c r="F172" s="1673"/>
      <c r="G172" s="1673"/>
      <c r="H172" s="1681">
        <f>SUM(H168,H169,H170,H171)</f>
        <v>558331</v>
      </c>
      <c r="I172" s="1684"/>
      <c r="J172" s="1673"/>
      <c r="K172" s="1681">
        <f>SUM(K168,K169,K170,K171)</f>
        <v>558331</v>
      </c>
      <c r="L172" s="1681">
        <f>SUM(L168,L169,L170,L171)</f>
        <v>638575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558331</v>
      </c>
      <c r="I174" s="1684"/>
      <c r="J174" s="1673"/>
      <c r="K174" s="1681">
        <f>SUM(K160,K172,K173)</f>
        <v>558331</v>
      </c>
      <c r="L174" s="1681">
        <f>SUM(L160,L172,L173)</f>
        <v>638575</v>
      </c>
    </row>
    <row r="175" spans="1:14" ht="13.5" thickTop="1" x14ac:dyDescent="0.2">
      <c r="A175" s="2285" t="s">
        <v>989</v>
      </c>
      <c r="B175" s="2286"/>
      <c r="C175" s="1673"/>
      <c r="D175" s="1673"/>
      <c r="E175" s="1673"/>
      <c r="F175" s="1673"/>
      <c r="G175" s="1673"/>
      <c r="H175" s="1675"/>
      <c r="I175" s="1673"/>
      <c r="J175" s="1673"/>
      <c r="K175" s="1689">
        <f>'Revenues 9-14'!E268-'Expenditures 15-22'!K174</f>
        <v>7271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144954</v>
      </c>
      <c r="D182" s="1573">
        <v>1132</v>
      </c>
      <c r="E182" s="1573">
        <v>51909</v>
      </c>
      <c r="F182" s="1573">
        <v>31381</v>
      </c>
      <c r="G182" s="1573"/>
      <c r="H182" s="1573">
        <v>41</v>
      </c>
      <c r="I182" s="1574"/>
      <c r="J182" s="1574"/>
      <c r="K182" s="1672">
        <f>SUM(C182:J182)</f>
        <v>229417</v>
      </c>
      <c r="L182" s="1573">
        <v>255250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144954</v>
      </c>
      <c r="D184" s="1681">
        <f t="shared" ref="D184:J184" si="17">SUM(D180,D182,D183)</f>
        <v>1132</v>
      </c>
      <c r="E184" s="1681">
        <f t="shared" si="17"/>
        <v>51909</v>
      </c>
      <c r="F184" s="1681">
        <f t="shared" si="17"/>
        <v>31381</v>
      </c>
      <c r="G184" s="1681">
        <f t="shared" si="17"/>
        <v>0</v>
      </c>
      <c r="H184" s="1681">
        <f t="shared" si="17"/>
        <v>41</v>
      </c>
      <c r="I184" s="1681">
        <f t="shared" si="17"/>
        <v>0</v>
      </c>
      <c r="J184" s="1681">
        <f t="shared" si="17"/>
        <v>0</v>
      </c>
      <c r="K184" s="1681">
        <f>SUM(K180,K182,K183)</f>
        <v>229417</v>
      </c>
      <c r="L184" s="1681">
        <f>SUM(L180, L182:L183)</f>
        <v>255250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3569</v>
      </c>
      <c r="I205" s="1673"/>
      <c r="J205" s="1673"/>
      <c r="K205" s="1696">
        <f>SUM(H205)</f>
        <v>3569</v>
      </c>
      <c r="L205" s="1630">
        <v>3570</v>
      </c>
    </row>
    <row r="206" spans="1:14" ht="30" customHeight="1" x14ac:dyDescent="0.2">
      <c r="A206" s="555" t="s">
        <v>1652</v>
      </c>
      <c r="B206" s="546" t="s">
        <v>31</v>
      </c>
      <c r="C206" s="1673"/>
      <c r="D206" s="1673"/>
      <c r="E206" s="1673"/>
      <c r="F206" s="1673"/>
      <c r="G206" s="1673"/>
      <c r="H206" s="1573">
        <v>80243</v>
      </c>
      <c r="I206" s="1673"/>
      <c r="J206" s="1673"/>
      <c r="K206" s="1672">
        <f>SUM(H206)</f>
        <v>80243</v>
      </c>
      <c r="L206" s="1573">
        <v>80243</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83812</v>
      </c>
      <c r="I208" s="1673"/>
      <c r="J208" s="1673"/>
      <c r="K208" s="1681">
        <f>SUM(K204,K205,K206,K207)</f>
        <v>83812</v>
      </c>
      <c r="L208" s="1681">
        <f>SUM(L204,L205,L206,L207)</f>
        <v>83813</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144954</v>
      </c>
      <c r="D210" s="1674">
        <f>SUM(D184,D185)</f>
        <v>1132</v>
      </c>
      <c r="E210" s="1674">
        <f>SUM(E184,E185,E196)</f>
        <v>51909</v>
      </c>
      <c r="F210" s="1674">
        <f>SUM(F184,F185)</f>
        <v>31381</v>
      </c>
      <c r="G210" s="1674">
        <f>SUM(G184,G185)</f>
        <v>0</v>
      </c>
      <c r="H210" s="1674">
        <f>SUM(H184,H185,H196,H208,H209)</f>
        <v>83853</v>
      </c>
      <c r="I210" s="1674">
        <f>SUM(I184,I185)</f>
        <v>0</v>
      </c>
      <c r="J210" s="1674">
        <f>SUM(J184,J185)</f>
        <v>0</v>
      </c>
      <c r="K210" s="1672">
        <f>SUM(K184,K185,K196,K208,K209)</f>
        <v>313229</v>
      </c>
      <c r="L210" s="1674">
        <f>SUM(L184,L185,L196,L208,L209)</f>
        <v>339063</v>
      </c>
    </row>
    <row r="211" spans="1:14" ht="13.5" thickTop="1" x14ac:dyDescent="0.2">
      <c r="A211" s="2285" t="s">
        <v>989</v>
      </c>
      <c r="B211" s="2286"/>
      <c r="C211" s="1675"/>
      <c r="D211" s="1675"/>
      <c r="E211" s="1675"/>
      <c r="F211" s="1675"/>
      <c r="G211" s="1675"/>
      <c r="H211" s="1675"/>
      <c r="I211" s="1673"/>
      <c r="J211" s="1673"/>
      <c r="K211" s="1689">
        <f>'Revenues 9-14'!F268-'Expenditures 15-22'!K210</f>
        <v>86687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44346</v>
      </c>
      <c r="E215" s="1673"/>
      <c r="F215" s="1673"/>
      <c r="G215" s="1673"/>
      <c r="H215" s="1673"/>
      <c r="I215" s="1673"/>
      <c r="J215" s="1673"/>
      <c r="K215" s="1672">
        <f>D215</f>
        <v>44346</v>
      </c>
      <c r="L215" s="1573">
        <v>0</v>
      </c>
    </row>
    <row r="216" spans="1:14" x14ac:dyDescent="0.2">
      <c r="A216" s="1274" t="s">
        <v>162</v>
      </c>
      <c r="B216" s="503" t="s">
        <v>961</v>
      </c>
      <c r="C216" s="1673"/>
      <c r="D216" s="1574"/>
      <c r="E216" s="1673"/>
      <c r="F216" s="1673"/>
      <c r="G216" s="1673"/>
      <c r="H216" s="1673"/>
      <c r="I216" s="1673"/>
      <c r="J216" s="1673"/>
      <c r="K216" s="1672">
        <f t="shared" ref="K216:K228" si="19">D216</f>
        <v>0</v>
      </c>
      <c r="L216" s="1573">
        <v>46000</v>
      </c>
    </row>
    <row r="217" spans="1:14" x14ac:dyDescent="0.2">
      <c r="A217" s="1274" t="s">
        <v>163</v>
      </c>
      <c r="B217" s="503">
        <v>1200</v>
      </c>
      <c r="C217" s="1673"/>
      <c r="D217" s="1573">
        <v>33712</v>
      </c>
      <c r="E217" s="1673"/>
      <c r="F217" s="1673"/>
      <c r="G217" s="1673"/>
      <c r="H217" s="1673"/>
      <c r="I217" s="1673"/>
      <c r="J217" s="1673"/>
      <c r="K217" s="1672">
        <f t="shared" si="19"/>
        <v>33712</v>
      </c>
      <c r="L217" s="1573">
        <v>34150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1012</v>
      </c>
      <c r="E219" s="1673"/>
      <c r="F219" s="1673"/>
      <c r="G219" s="1673"/>
      <c r="H219" s="1673"/>
      <c r="I219" s="1673"/>
      <c r="J219" s="1673"/>
      <c r="K219" s="1672">
        <f t="shared" si="19"/>
        <v>1012</v>
      </c>
      <c r="L219" s="1573">
        <v>1025</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6859</v>
      </c>
      <c r="E222" s="1673"/>
      <c r="F222" s="1673"/>
      <c r="G222" s="1673"/>
      <c r="H222" s="1673"/>
      <c r="I222" s="1673"/>
      <c r="J222" s="1673"/>
      <c r="K222" s="1672">
        <f t="shared" si="19"/>
        <v>6859</v>
      </c>
      <c r="L222" s="1573">
        <v>6900</v>
      </c>
    </row>
    <row r="223" spans="1:14" x14ac:dyDescent="0.2">
      <c r="A223" s="1274" t="s">
        <v>957</v>
      </c>
      <c r="B223" s="503">
        <v>1500</v>
      </c>
      <c r="C223" s="1673"/>
      <c r="D223" s="1573">
        <v>10986</v>
      </c>
      <c r="E223" s="1673"/>
      <c r="F223" s="1673"/>
      <c r="G223" s="1673"/>
      <c r="H223" s="1673"/>
      <c r="I223" s="1673"/>
      <c r="J223" s="1673"/>
      <c r="K223" s="1672">
        <f t="shared" si="19"/>
        <v>10986</v>
      </c>
      <c r="L223" s="1573">
        <v>11100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135</v>
      </c>
      <c r="E226" s="1673"/>
      <c r="F226" s="1673"/>
      <c r="G226" s="1673"/>
      <c r="H226" s="1673"/>
      <c r="I226" s="1673"/>
      <c r="J226" s="1673"/>
      <c r="K226" s="1672">
        <f t="shared" si="19"/>
        <v>135</v>
      </c>
      <c r="L226" s="1573">
        <v>200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97050</v>
      </c>
      <c r="E229" s="1673"/>
      <c r="F229" s="1673"/>
      <c r="G229" s="1673"/>
      <c r="H229" s="1673"/>
      <c r="I229" s="1673"/>
      <c r="J229" s="1673"/>
      <c r="K229" s="1674">
        <f>SUM(K215:K228)</f>
        <v>97050</v>
      </c>
      <c r="L229" s="1674">
        <f>SUM(L215:L228)</f>
        <v>99375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3907</v>
      </c>
      <c r="E232" s="1673"/>
      <c r="F232" s="1673"/>
      <c r="G232" s="1673"/>
      <c r="H232" s="1673"/>
      <c r="I232" s="1673"/>
      <c r="J232" s="1673"/>
      <c r="K232" s="1672">
        <f t="shared" ref="K232:K237" si="20">D232</f>
        <v>3907</v>
      </c>
      <c r="L232" s="1573">
        <v>4050</v>
      </c>
    </row>
    <row r="233" spans="1:12" x14ac:dyDescent="0.2">
      <c r="A233" s="1274" t="s">
        <v>1081</v>
      </c>
      <c r="B233" s="503">
        <v>2120</v>
      </c>
      <c r="C233" s="1673"/>
      <c r="D233" s="1573">
        <v>7656</v>
      </c>
      <c r="E233" s="1673"/>
      <c r="F233" s="1673"/>
      <c r="G233" s="1673"/>
      <c r="H233" s="1673"/>
      <c r="I233" s="1673"/>
      <c r="J233" s="1673"/>
      <c r="K233" s="1672">
        <f t="shared" si="20"/>
        <v>7656</v>
      </c>
      <c r="L233" s="1573">
        <v>8100</v>
      </c>
    </row>
    <row r="234" spans="1:12" x14ac:dyDescent="0.2">
      <c r="A234" s="1274" t="s">
        <v>196</v>
      </c>
      <c r="B234" s="503">
        <v>2130</v>
      </c>
      <c r="C234" s="1673"/>
      <c r="D234" s="1573">
        <v>434</v>
      </c>
      <c r="E234" s="1673"/>
      <c r="F234" s="1673"/>
      <c r="G234" s="1673"/>
      <c r="H234" s="1673"/>
      <c r="I234" s="1673"/>
      <c r="J234" s="1673"/>
      <c r="K234" s="1672">
        <f t="shared" si="20"/>
        <v>434</v>
      </c>
      <c r="L234" s="1573">
        <v>500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v>954</v>
      </c>
      <c r="E237" s="1673"/>
      <c r="F237" s="1673"/>
      <c r="G237" s="1673"/>
      <c r="H237" s="1673"/>
      <c r="I237" s="1673"/>
      <c r="J237" s="1673"/>
      <c r="K237" s="1672">
        <f t="shared" si="20"/>
        <v>954</v>
      </c>
      <c r="L237" s="1573">
        <v>1050</v>
      </c>
    </row>
    <row r="238" spans="1:12" ht="12.75" customHeight="1" thickBot="1" x14ac:dyDescent="0.25">
      <c r="A238" s="1380" t="s">
        <v>556</v>
      </c>
      <c r="B238" s="1383" t="s">
        <v>711</v>
      </c>
      <c r="C238" s="1673"/>
      <c r="D238" s="1674">
        <f>SUM(D232:D237)</f>
        <v>12951</v>
      </c>
      <c r="E238" s="1673"/>
      <c r="F238" s="1673"/>
      <c r="G238" s="1673"/>
      <c r="H238" s="1673"/>
      <c r="I238" s="1673"/>
      <c r="J238" s="1673"/>
      <c r="K238" s="1674">
        <f>SUM(K232:K237)</f>
        <v>12951</v>
      </c>
      <c r="L238" s="1674">
        <f>SUM(L232:L237)</f>
        <v>13700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74</v>
      </c>
      <c r="E240" s="1673"/>
      <c r="F240" s="1673"/>
      <c r="G240" s="1673"/>
      <c r="H240" s="1673"/>
      <c r="I240" s="1673"/>
      <c r="J240" s="1673"/>
      <c r="K240" s="1678">
        <f>D240</f>
        <v>74</v>
      </c>
      <c r="L240" s="1586">
        <v>200</v>
      </c>
    </row>
    <row r="241" spans="1:12" x14ac:dyDescent="0.2">
      <c r="A241" s="1274" t="s">
        <v>810</v>
      </c>
      <c r="B241" s="503">
        <v>2220</v>
      </c>
      <c r="C241" s="1673"/>
      <c r="D241" s="1573">
        <v>2701</v>
      </c>
      <c r="E241" s="1673"/>
      <c r="F241" s="1673"/>
      <c r="G241" s="1673"/>
      <c r="H241" s="1673"/>
      <c r="I241" s="1673"/>
      <c r="J241" s="1673"/>
      <c r="K241" s="1678">
        <f>D241</f>
        <v>2701</v>
      </c>
      <c r="L241" s="1573">
        <v>2850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2775</v>
      </c>
      <c r="E243" s="1673"/>
      <c r="F243" s="1673"/>
      <c r="G243" s="1673"/>
      <c r="H243" s="1673"/>
      <c r="I243" s="1673"/>
      <c r="J243" s="1673"/>
      <c r="K243" s="1674">
        <f>SUM(K240:K242)</f>
        <v>2775</v>
      </c>
      <c r="L243" s="1674">
        <f>SUM(L240:L242)</f>
        <v>3050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1551</v>
      </c>
      <c r="E245" s="1673"/>
      <c r="F245" s="1673"/>
      <c r="G245" s="1673"/>
      <c r="H245" s="1673"/>
      <c r="I245" s="1673"/>
      <c r="J245" s="1673"/>
      <c r="K245" s="1678">
        <f>D245</f>
        <v>1551</v>
      </c>
      <c r="L245" s="1586">
        <v>1750</v>
      </c>
    </row>
    <row r="246" spans="1:12" x14ac:dyDescent="0.2">
      <c r="A246" s="1274" t="s">
        <v>813</v>
      </c>
      <c r="B246" s="503">
        <v>2320</v>
      </c>
      <c r="C246" s="1673"/>
      <c r="D246" s="1573">
        <v>8566</v>
      </c>
      <c r="E246" s="1673"/>
      <c r="F246" s="1673"/>
      <c r="G246" s="1673"/>
      <c r="H246" s="1673"/>
      <c r="I246" s="1673"/>
      <c r="J246" s="1673"/>
      <c r="K246" s="1678">
        <f t="shared" ref="K246:K256" si="21">D246</f>
        <v>8566</v>
      </c>
      <c r="L246" s="1573">
        <v>8700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10117</v>
      </c>
      <c r="E257" s="1673"/>
      <c r="F257" s="1673"/>
      <c r="G257" s="1673"/>
      <c r="H257" s="1673"/>
      <c r="I257" s="1673"/>
      <c r="J257" s="1673"/>
      <c r="K257" s="1674">
        <f>SUM(K245:K256)</f>
        <v>10117</v>
      </c>
      <c r="L257" s="1674">
        <f>SUM(L245:L256)</f>
        <v>10450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8818</v>
      </c>
      <c r="E259" s="1673"/>
      <c r="F259" s="1673"/>
      <c r="G259" s="1673"/>
      <c r="H259" s="1673"/>
      <c r="I259" s="1673"/>
      <c r="J259" s="1673"/>
      <c r="K259" s="1678">
        <f>D259</f>
        <v>8818</v>
      </c>
      <c r="L259" s="1586">
        <v>9100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8818</v>
      </c>
      <c r="E261" s="1673"/>
      <c r="F261" s="1673"/>
      <c r="G261" s="1673"/>
      <c r="H261" s="1673"/>
      <c r="I261" s="1673"/>
      <c r="J261" s="1673"/>
      <c r="K261" s="1674">
        <f>SUM(K259:K260)</f>
        <v>8818</v>
      </c>
      <c r="L261" s="1674">
        <f>SUM(L259:L260)</f>
        <v>9100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6893</v>
      </c>
      <c r="E264" s="1673"/>
      <c r="F264" s="1673"/>
      <c r="G264" s="1673"/>
      <c r="H264" s="1673"/>
      <c r="I264" s="1673"/>
      <c r="J264" s="1673"/>
      <c r="K264" s="1678">
        <f t="shared" ref="K264:K269" si="22">D264</f>
        <v>6893</v>
      </c>
      <c r="L264" s="1573">
        <v>7100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76739</v>
      </c>
      <c r="E266" s="1673"/>
      <c r="F266" s="1673"/>
      <c r="G266" s="1673"/>
      <c r="H266" s="1673"/>
      <c r="I266" s="1673"/>
      <c r="J266" s="1673"/>
      <c r="K266" s="1678">
        <f t="shared" si="22"/>
        <v>76739</v>
      </c>
      <c r="L266" s="1573">
        <v>78450</v>
      </c>
    </row>
    <row r="267" spans="1:14" x14ac:dyDescent="0.2">
      <c r="A267" s="1274" t="s">
        <v>947</v>
      </c>
      <c r="B267" s="503">
        <v>2550</v>
      </c>
      <c r="C267" s="1673"/>
      <c r="D267" s="1573">
        <v>20490</v>
      </c>
      <c r="E267" s="1673"/>
      <c r="F267" s="1673"/>
      <c r="G267" s="1673"/>
      <c r="H267" s="1673"/>
      <c r="I267" s="1673"/>
      <c r="J267" s="1673"/>
      <c r="K267" s="1678">
        <f t="shared" si="22"/>
        <v>20490</v>
      </c>
      <c r="L267" s="1573">
        <v>21000</v>
      </c>
    </row>
    <row r="268" spans="1:14" x14ac:dyDescent="0.2">
      <c r="A268" s="1274" t="s">
        <v>100</v>
      </c>
      <c r="B268" s="503">
        <v>2560</v>
      </c>
      <c r="C268" s="1673"/>
      <c r="D268" s="1573">
        <v>19886</v>
      </c>
      <c r="E268" s="1673"/>
      <c r="F268" s="1673"/>
      <c r="G268" s="1673"/>
      <c r="H268" s="1673"/>
      <c r="I268" s="1673"/>
      <c r="J268" s="1673"/>
      <c r="K268" s="1678">
        <f t="shared" si="22"/>
        <v>19886</v>
      </c>
      <c r="L268" s="1573">
        <v>20800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124008</v>
      </c>
      <c r="E270" s="1673"/>
      <c r="F270" s="1673"/>
      <c r="G270" s="1673"/>
      <c r="H270" s="1673"/>
      <c r="I270" s="1673"/>
      <c r="J270" s="1673"/>
      <c r="K270" s="1674">
        <f>SUM(K263:K269)</f>
        <v>124008</v>
      </c>
      <c r="L270" s="1674">
        <f>SUM(L263:L269)</f>
        <v>127350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158669</v>
      </c>
      <c r="E279" s="1673"/>
      <c r="F279" s="1673"/>
      <c r="G279" s="1673"/>
      <c r="H279" s="1673"/>
      <c r="I279" s="1673"/>
      <c r="J279" s="1673"/>
      <c r="K279" s="1681">
        <f>SUM(K238,K243,K257,K261,K270,K277,K278)</f>
        <v>158669</v>
      </c>
      <c r="L279" s="1681">
        <f>SUM(L238,L243,L257,L261,L270,L277,L278)</f>
        <v>163650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6" t="s">
        <v>502</v>
      </c>
      <c r="B295" s="2277"/>
      <c r="C295" s="1673"/>
      <c r="D295" s="1674">
        <f>SUM(D229,D279,D280,D285)</f>
        <v>255719</v>
      </c>
      <c r="E295" s="1673"/>
      <c r="F295" s="1673"/>
      <c r="G295" s="1673"/>
      <c r="H295" s="1674">
        <f>H293</f>
        <v>0</v>
      </c>
      <c r="I295" s="1673"/>
      <c r="J295" s="1673"/>
      <c r="K295" s="1674">
        <f>SUM(K229,K279,K280,K285,K293,K294)</f>
        <v>255719</v>
      </c>
      <c r="L295" s="1674">
        <f>SUM(L229,L279,L280,L285,L293,L294)</f>
        <v>263025</v>
      </c>
    </row>
    <row r="296" spans="1:14" ht="13.5" thickTop="1" x14ac:dyDescent="0.2">
      <c r="A296" s="2285" t="s">
        <v>989</v>
      </c>
      <c r="B296" s="2286"/>
      <c r="C296" s="1673"/>
      <c r="D296" s="1675"/>
      <c r="E296" s="1673"/>
      <c r="F296" s="1673"/>
      <c r="G296" s="1673"/>
      <c r="H296" s="1707"/>
      <c r="I296" s="1673"/>
      <c r="J296" s="1673"/>
      <c r="K296" s="1689">
        <f>'Revenues 9-14'!G268-'Expenditures 15-22'!K295</f>
        <v>-1054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3" t="s">
        <v>275</v>
      </c>
      <c r="B312" s="227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116670</v>
      </c>
      <c r="F322" s="1574"/>
      <c r="G322" s="1574"/>
      <c r="H322" s="1574"/>
      <c r="I322" s="1574"/>
      <c r="J322" s="1574"/>
      <c r="K322" s="1672">
        <f t="shared" si="24"/>
        <v>116670</v>
      </c>
      <c r="L322" s="1574">
        <v>116670</v>
      </c>
      <c r="M322" s="539"/>
      <c r="N322" s="539"/>
    </row>
    <row r="323" spans="1:14" s="548" customFormat="1" x14ac:dyDescent="0.2">
      <c r="A323" s="1289" t="s">
        <v>697</v>
      </c>
      <c r="B323" s="567" t="s">
        <v>283</v>
      </c>
      <c r="C323" s="1574">
        <v>27708</v>
      </c>
      <c r="D323" s="1574"/>
      <c r="E323" s="1574">
        <v>3500</v>
      </c>
      <c r="F323" s="1574"/>
      <c r="G323" s="1574"/>
      <c r="H323" s="1574"/>
      <c r="I323" s="1574"/>
      <c r="J323" s="1574"/>
      <c r="K323" s="1672">
        <f t="shared" si="24"/>
        <v>31208</v>
      </c>
      <c r="L323" s="1574">
        <v>31208</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797</v>
      </c>
      <c r="F327" s="1574"/>
      <c r="G327" s="1574"/>
      <c r="H327" s="1574"/>
      <c r="I327" s="1574"/>
      <c r="J327" s="1574"/>
      <c r="K327" s="1672">
        <f t="shared" si="24"/>
        <v>797</v>
      </c>
      <c r="L327" s="1574">
        <v>798</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27708</v>
      </c>
      <c r="D330" s="1674">
        <f t="shared" ref="D330:J330" si="25">SUM(D319:D329)</f>
        <v>0</v>
      </c>
      <c r="E330" s="1674">
        <f t="shared" si="25"/>
        <v>120967</v>
      </c>
      <c r="F330" s="1674">
        <f t="shared" si="25"/>
        <v>0</v>
      </c>
      <c r="G330" s="1674">
        <f t="shared" si="25"/>
        <v>0</v>
      </c>
      <c r="H330" s="1674">
        <f t="shared" si="25"/>
        <v>0</v>
      </c>
      <c r="I330" s="1674">
        <f t="shared" si="25"/>
        <v>0</v>
      </c>
      <c r="J330" s="1674">
        <f t="shared" si="25"/>
        <v>0</v>
      </c>
      <c r="K330" s="1674">
        <f>SUM(K319:K329)</f>
        <v>148675</v>
      </c>
      <c r="L330" s="1674">
        <f>SUM(L319:L329)</f>
        <v>148676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27708</v>
      </c>
      <c r="D342" s="1674">
        <f>SUM(D330)</f>
        <v>0</v>
      </c>
      <c r="E342" s="1674">
        <f>SUM(E330)</f>
        <v>120967</v>
      </c>
      <c r="F342" s="1674">
        <f>SUM(F330)</f>
        <v>0</v>
      </c>
      <c r="G342" s="1674">
        <f>SUM(G330)</f>
        <v>0</v>
      </c>
      <c r="H342" s="1674">
        <f>SUM(H330,H334,H340)</f>
        <v>0</v>
      </c>
      <c r="I342" s="1674">
        <f>SUM(I330)</f>
        <v>0</v>
      </c>
      <c r="J342" s="1674">
        <f>SUM(J330)</f>
        <v>0</v>
      </c>
      <c r="K342" s="1674">
        <f>SUM(K330,K334,K340)</f>
        <v>148675</v>
      </c>
      <c r="L342" s="1681">
        <f>SUM(L330,L334,L340,L341)</f>
        <v>148676</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32673</v>
      </c>
      <c r="F349" s="1573"/>
      <c r="G349" s="1573">
        <v>3415</v>
      </c>
      <c r="H349" s="1573"/>
      <c r="I349" s="1574"/>
      <c r="J349" s="1574"/>
      <c r="K349" s="1672">
        <f>SUM(C349:J349)</f>
        <v>36088</v>
      </c>
      <c r="L349" s="1573">
        <v>50000</v>
      </c>
    </row>
    <row r="350" spans="1:14" ht="12.75" customHeight="1" thickBot="1" x14ac:dyDescent="0.25">
      <c r="A350" s="1380" t="s">
        <v>714</v>
      </c>
      <c r="B350" s="1381" t="s">
        <v>35</v>
      </c>
      <c r="C350" s="1674">
        <f>SUM(C348:C349)</f>
        <v>0</v>
      </c>
      <c r="D350" s="1674">
        <f t="shared" ref="D350:L350" si="26">SUM(D348:D349)</f>
        <v>0</v>
      </c>
      <c r="E350" s="1674">
        <f t="shared" si="26"/>
        <v>32673</v>
      </c>
      <c r="F350" s="1674">
        <f t="shared" si="26"/>
        <v>0</v>
      </c>
      <c r="G350" s="1674">
        <f t="shared" si="26"/>
        <v>3415</v>
      </c>
      <c r="H350" s="1674">
        <f t="shared" si="26"/>
        <v>0</v>
      </c>
      <c r="I350" s="1674">
        <f t="shared" si="26"/>
        <v>0</v>
      </c>
      <c r="J350" s="1674">
        <f t="shared" si="26"/>
        <v>0</v>
      </c>
      <c r="K350" s="1674">
        <f t="shared" si="26"/>
        <v>36088</v>
      </c>
      <c r="L350" s="1674">
        <f t="shared" si="26"/>
        <v>50000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32673</v>
      </c>
      <c r="F352" s="1674">
        <f t="shared" si="27"/>
        <v>0</v>
      </c>
      <c r="G352" s="1674">
        <f t="shared" si="27"/>
        <v>3415</v>
      </c>
      <c r="H352" s="1674">
        <f t="shared" si="27"/>
        <v>0</v>
      </c>
      <c r="I352" s="1674">
        <f t="shared" si="27"/>
        <v>0</v>
      </c>
      <c r="J352" s="1674">
        <f t="shared" si="27"/>
        <v>0</v>
      </c>
      <c r="K352" s="1674">
        <f t="shared" si="27"/>
        <v>36088</v>
      </c>
      <c r="L352" s="1674">
        <f t="shared" si="27"/>
        <v>50000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32673</v>
      </c>
      <c r="F367" s="1674">
        <f t="shared" si="28"/>
        <v>0</v>
      </c>
      <c r="G367" s="1674">
        <f t="shared" si="28"/>
        <v>3415</v>
      </c>
      <c r="H367" s="1674">
        <f t="shared" si="28"/>
        <v>0</v>
      </c>
      <c r="I367" s="1674">
        <f t="shared" si="28"/>
        <v>0</v>
      </c>
      <c r="J367" s="1674">
        <f t="shared" si="28"/>
        <v>0</v>
      </c>
      <c r="K367" s="1674">
        <f t="shared" si="28"/>
        <v>36088</v>
      </c>
      <c r="L367" s="1674">
        <f t="shared" si="28"/>
        <v>50000</v>
      </c>
    </row>
    <row r="368" spans="1:14" ht="13.5" thickTop="1" x14ac:dyDescent="0.2">
      <c r="A368" s="2285" t="s">
        <v>989</v>
      </c>
      <c r="B368" s="2286"/>
      <c r="C368" s="1694"/>
      <c r="D368" s="1694"/>
      <c r="E368" s="1677"/>
      <c r="F368" s="1677"/>
      <c r="G368" s="1677"/>
      <c r="H368" s="1677"/>
      <c r="I368" s="1677"/>
      <c r="J368" s="1676"/>
      <c r="K368" s="1672">
        <f>'Revenues 9-14'!K268-'Expenditures 15-22'!K367</f>
        <v>14508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gridLinesSet="0"/>
  <pageMargins left="0.28999999999999998" right="0.2" top="0.61" bottom="0.39" header="0.23" footer="0.19"/>
  <pageSetup scale="73" firstPageNumber="16" fitToHeight="0" orientation="landscape" useFirstPageNumber="1" r:id="rId1"/>
  <headerFooter differentOddEven="1" alignWithMargins="0">
    <oddHeader>&amp;C&amp;"Arial,Bold"&amp;9Salem Community High School District 600 
STATEMENT OF EXPENDITURES DISBURSED/EXPENDITURES, BUDGET TO ACTUAL (ALL FUNDS)
FOR THE YEAR ENDING JUNE 30, 2020</oddHeader>
    <oddFooter>&amp;L&amp;11See accompanying notes to the financial statements.&amp;C&amp;14- &amp;P -</oddFooter>
    <evenHeader>&amp;C&amp;"Arial,Bold"&amp;9Salem Community High School District 600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terms/"/>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4d435f69-8686-490b-bd6d-b153bf22ab50"/>
    <ds:schemaRef ds:uri="d21dc803-237d-4c68-8692-8d731fd29118"/>
    <ds:schemaRef ds:uri="http://schemas.openxmlformats.org/package/2006/metadata/core-properties"/>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2020-10-01T15:33:00Z</cp:lastPrinted>
  <dcterms:created xsi:type="dcterms:W3CDTF">2003-10-29T19:06:34Z</dcterms:created>
  <dcterms:modified xsi:type="dcterms:W3CDTF">2020-11-02T01:13:28Z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