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EACB4A5-774A-4589-9DF1-1B96D06599BA}"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2 (3)" sheetId="186" r:id="rId33"/>
    <sheet name="SF&amp;QC Sec-2 (4)" sheetId="187" r:id="rId34"/>
    <sheet name="SF&amp;QC Sec-2 (5)" sheetId="188"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8" l="1"/>
  <c r="C10" i="187"/>
  <c r="C10" i="186"/>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8" l="1"/>
  <c r="B4" i="187"/>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8"/>
  <c r="B1" i="187"/>
  <c r="B1" i="186"/>
  <c r="B2" i="188"/>
  <c r="B2" i="187"/>
  <c r="B2" i="186"/>
  <c r="B2" i="179"/>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N57" i="184" s="1"/>
  <c r="D31" i="108"/>
  <c r="E16" i="184"/>
  <c r="H16" i="184" s="1"/>
  <c r="H342" i="29"/>
  <c r="B7696" i="106"/>
  <c r="D7696" i="106" s="1"/>
  <c r="E66" i="184"/>
  <c r="N66" i="184" s="1"/>
  <c r="B7189" i="106"/>
  <c r="D7189" i="106" s="1"/>
  <c r="E64" i="184"/>
  <c r="N64" i="184" s="1"/>
  <c r="B7171" i="106"/>
  <c r="D7171" i="106" s="1"/>
  <c r="E62" i="184"/>
  <c r="N62" i="184" s="1"/>
  <c r="B7153" i="106"/>
  <c r="D7153" i="106" s="1"/>
  <c r="E60" i="184"/>
  <c r="N60" i="184" s="1"/>
  <c r="G33" i="108"/>
  <c r="E17" i="184"/>
  <c r="H17" i="184" s="1"/>
  <c r="F52" i="34"/>
  <c r="B7831" i="106" s="1"/>
  <c r="D7831" i="106" s="1"/>
  <c r="G30" i="108"/>
  <c r="B2724" i="106"/>
  <c r="D2724" i="106" s="1"/>
  <c r="H12" i="184"/>
  <c r="H19" i="184" s="1"/>
  <c r="L20" i="184" s="1"/>
  <c r="F77" i="4"/>
  <c r="B3255" i="106" s="1"/>
  <c r="D3255" i="106" s="1"/>
  <c r="B7135" i="106"/>
  <c r="D7135" i="106" s="1"/>
  <c r="E58" i="184"/>
  <c r="D69" i="36"/>
  <c r="D68" i="36"/>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B7235" i="106"/>
  <c r="D7235" i="106" s="1"/>
  <c r="E19" i="184"/>
  <c r="B5527" i="106"/>
  <c r="D5527" i="106" s="1"/>
  <c r="B1381" i="106"/>
  <c r="D1381" i="106" s="1"/>
  <c r="F41" i="108"/>
  <c r="G43" i="108" s="1"/>
  <c r="N58" i="184"/>
  <c r="N68" i="184" s="1"/>
  <c r="E68" i="184"/>
  <c r="B6216" i="106"/>
  <c r="D6216" i="106" s="1"/>
  <c r="N23" i="3"/>
  <c r="B284" i="106" s="1"/>
  <c r="D284"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6223" i="106"/>
  <c r="D6223" i="106" s="1"/>
  <c r="J10" i="4"/>
  <c r="B6225" i="106" s="1"/>
  <c r="D62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<sst xmlns="http://schemas.openxmlformats.org/spreadsheetml/2006/main" count="5309" uniqueCount="2125">
  <si>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</si>
  <si>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</si>
  <si>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</si>
  <si>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</si>
  <si>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</si>
  <si>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</si>
  <si>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</si>
  <si>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</si>
  <si>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</si>
  <si>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</si>
  <si>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</si>
  <si>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</si>
  <si>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</si>
  <si>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</si>
  <si>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</si>
  <si>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</si>
  <si>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</si>
  <si>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</si>
  <si>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</si>
  <si>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</si>
  <si>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</si>
  <si>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</si>
  <si>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</si>
  <si>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</si>
  <si>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</si>
  <si>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</si>
  <si>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</si>
  <si>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</si>
  <si>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</si>
  <si>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</si>
  <si>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</si>
  <si>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</si>
  <si>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</si>
  <si>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</si>
  <si>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</si>
  <si>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</si>
  <si>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</si>
  <si>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</si>
  <si>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</si>
  <si>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</si>
  <si>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</si>
  <si>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</si>
  <si>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</si>
  <si>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</si>
  <si>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</si>
  <si>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</si>
  <si>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</si>
  <si>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</si>
  <si>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</si>
  <si>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</si>
  <si>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</si>
  <si>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</si>
  <si>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</si>
  <si>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</si>
  <si>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</si>
  <si>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</si>
  <si>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</si>
  <si>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</si>
  <si>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</si>
  <si>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</si>
  <si>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</si>
  <si>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</si>
  <si>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</si>
  <si>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</si>
  <si>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</si>
  <si>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</si>
  <si>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</si>
  <si>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</si>
  <si>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</si>
  <si>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</si>
  <si>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</si>
  <si>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</si>
  <si>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</si>
  <si>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</si>
  <si>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</si>
  <si>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</si>
  <si>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</si>
  <si>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</si>
  <si>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</si>
  <si>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</si>
  <si>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</si>
  <si>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</si>
  <si>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</si>
  <si>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</si>
  <si>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</si>
  <si>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</si>
  <si>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</si>
  <si>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</si>
  <si>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</si>
  <si>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</si>
  <si>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</si>
  <si>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</si>
  <si>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</si>
  <si>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</si>
  <si>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</si>
  <si>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</si>
  <si>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</si>
  <si>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</si>
  <si>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</si>
  <si>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</si>
  <si>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</si>
  <si>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</si>
  <si>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</si>
  <si>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</si>
  <si>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</si>
  <si>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</si>
  <si>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</si>
  <si>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</si>
  <si>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</si>
  <si>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</si>
  <si>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</si>
  <si>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</si>
  <si>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</si>
  <si>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</si>
  <si>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</si>
  <si>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</si>
  <si>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</si>
  <si>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</si>
  <si>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</si>
  <si>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</si>
  <si>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</si>
  <si>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</si>
  <si>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</si>
  <si>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</si>
  <si>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</si>
  <si>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</si>
  <si>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</si>
  <si>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</si>
  <si>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</si>
  <si>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</si>
  <si>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</si>
  <si>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</si>
  <si>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</si>
  <si>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</si>
  <si>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</si>
  <si>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</si>
  <si>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</si>
  <si>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</si>
  <si>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</si>
  <si>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</si>
  <si>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</si>
  <si>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</si>
  <si>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</si>
  <si>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</si>
  <si>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</si>
  <si>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</si>
  <si>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</si>
  <si>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</si>
  <si>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</si>
  <si>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</si>
  <si>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</si>
  <si>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</si>
  <si>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</si>
  <si>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</si>
  <si>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</si>
  <si>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</si>
  <si>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</si>
  <si>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</si>
  <si>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</si>
  <si>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</si>
  <si>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</si>
  <si>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</si>
  <si>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</si>
  <si>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</si>
  <si>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</si>
  <si>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</si>
  <si>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</si>
  <si>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</si>
  <si>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</si>
  <si>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</si>
  <si>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</si>
  <si>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</si>
  <si>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</si>
  <si>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</si>
  <si>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</si>
  <si>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</si>
  <si>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</si>
  <si>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</si>
  <si>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</si>
  <si>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</si>
  <si>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</si>
  <si>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</si>
  <si>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</si>
  <si>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</si>
  <si>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</si>
  <si>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</si>
  <si>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</si>
  <si>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</si>
  <si>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</si>
  <si>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</si>
  <si>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</si>
  <si>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</si>
  <si>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</si>
  <si>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</si>
  <si>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</si>
  <si>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</si>
  <si>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</si>
  <si>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</si>
  <si>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</si>
  <si>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</si>
  <si>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</si>
  <si>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</si>
  <si>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</si>
  <si>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</si>
  <si>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</si>
  <si>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</si>
  <si>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</si>
  <si>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</si>
  <si>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</si>
  <si>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</si>
  <si>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</si>
  <si>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</si>
  <si>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</si>
  <si>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</si>
  <si>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</si>
  <si>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</si>
  <si>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</si>
  <si>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</si>
  <si>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</si>
  <si>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</si>
  <si>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</si>
  <si>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</si>
  <si>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</si>
  <si>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</si>
  <si>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</si>
  <si>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</si>
  <si>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</si>
  <si>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</si>
  <si>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</si>
  <si>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</si>
  <si>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</si>
  <si>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</si>
  <si>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</si>
  <si>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</si>
  <si>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</si>
  <si>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</si>
  <si>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</si>
  <si>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</si>
  <si>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</si>
  <si>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</si>
  <si>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</si>
  <si>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</si>
  <si>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</si>
  <si>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</si>
  <si>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</si>
  <si>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</si>
  <si>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</si>
  <si>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</si>
  <si>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</si>
  <si>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</si>
  <si>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</si>
  <si>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</si>
  <si>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</si>
  <si>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</si>
  <si>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</si>
  <si>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</si>
  <si>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</si>
  <si>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</si>
  <si>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</si>
  <si>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</si>
  <si>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</si>
  <si>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</si>
  <si>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</si>
  <si>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</si>
  <si>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</si>
  <si>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</si>
  <si>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</si>
  <si>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</si>
  <si>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</si>
  <si>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</si>
  <si>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</si>
  <si>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</si>
  <si>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</si>
  <si>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</si>
  <si>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</si>
  <si>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</si>
  <si>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</si>
  <si>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</si>
  <si>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</si>
  <si>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</si>
  <si>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</si>
  <si>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</si>
  <si>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</si>
  <si>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</si>
  <si>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</si>
  <si>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</si>
  <si>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</si>
  <si>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</si>
  <si>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</si>
  <si>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</si>
  <si>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</si>
  <si>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</si>
  <si>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</si>
  <si>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</si>
  <si>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</si>
  <si>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</si>
  <si>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</si>
  <si>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</si>
  <si>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</si>
  <si>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</si>
  <si>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</si>
  <si>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</si>
  <si>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</si>
  <si>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</si>
  <si>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</si>
  <si>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</si>
  <si>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</si>
  <si>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</si>
  <si>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</si>
  <si>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</si>
  <si>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</si>
  <si>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</si>
  <si>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</si>
  <si>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</si>
  <si>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</si>
  <si>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</si>
  <si>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</si>
  <si>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</si>
  <si>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</si>
  <si>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</si>
  <si>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</si>
  <si>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</si>
  <si>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</si>
  <si>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</si>
  <si>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</si>
  <si>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</si>
  <si>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</si>
  <si>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</si>
  <si>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</si>
  <si>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</si>
  <si>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</si>
  <si>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</si>
  <si>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</si>
  <si>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</si>
  <si>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</si>
  <si>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</si>
  <si>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</si>
  <si>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</si>
  <si>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</si>
  <si>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</si>
  <si>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</si>
  <si>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</si>
  <si>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</si>
  <si>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</si>
  <si>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</si>
  <si>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</si>
  <si>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</si>
  <si>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</si>
  <si>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</si>
  <si>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</si>
  <si>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</si>
  <si>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</si>
  <si>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</si>
  <si>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</si>
  <si>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</si>
  <si>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</si>
  <si>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</si>
  <si>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</si>
  <si>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</si>
  <si>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</si>
  <si>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</si>
  <si>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</si>
  <si>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</si>
  <si>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</si>
  <si>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</si>
  <si>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</si>
  <si>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</si>
  <si>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</si>
  <si>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</si>
  <si>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</si>
  <si>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</si>
  <si>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</si>
  <si>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</si>
  <si>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</si>
  <si>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</si>
  <si>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</si>
  <si>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</si>
  <si>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</si>
  <si>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</si>
  <si>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</si>
  <si>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</si>
  <si>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</si>
  <si>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</si>
  <si>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</si>
  <si>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</si>
  <si>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</si>
  <si>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</si>
  <si>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</si>
  <si>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</si>
  <si>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</si>
  <si>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</si>
  <si>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</si>
  <si>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</si>
  <si>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</si>
  <si>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</si>
  <si>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</si>
  <si>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</si>
  <si>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</si>
  <si>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</si>
  <si>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</si>
  <si>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</si>
  <si>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</si>
  <si>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</si>
  <si>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</si>
  <si>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</si>
  <si>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</si>
  <si>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</si>
  <si>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</si>
  <si>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</si>
  <si>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</si>
  <si>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</si>
  <si>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</si>
  <si>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</si>
  <si>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</si>
  <si>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</si>
  <si>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</si>
  <si>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</si>
  <si>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</si>
  <si>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</si>
  <si>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</si>
  <si>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</si>
  <si>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</si>
  <si>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</si>
  <si>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</si>
  <si>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</si>
  <si>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</si>
  <si>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</si>
  <si>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</si>
  <si>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</si>
  <si>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</si>
  <si>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</si>
  <si>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</si>
  <si>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</si>
  <si>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</si>
  <si>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</si>
  <si>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</si>
  <si>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</si>
  <si>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</si>
  <si>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</si>
  <si>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</si>
  <si>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</si>
  <si>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</si>
  <si>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</si>
  <si>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</si>
  <si>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</si>
  <si>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</si>
  <si>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</si>
  <si>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</si>
  <si>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</si>
  <si>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</si>
  <si>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</si>
  <si>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</si>
  <si>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</si>
  <si>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</si>
  <si>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</si>
  <si>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</si>
  <si>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</si>
  <si>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</si>
  <si>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</si>
  <si>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</si>
  <si>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</si>
  <si>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</si>
  <si>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</si>
  <si>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</si>
  <si>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</si>
  <si>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</si>
  <si>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</si>
  <si>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</si>
  <si>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</si>
  <si>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</si>
  <si>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</si>
  <si>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</si>
  <si>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</si>
  <si>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</si>
  <si>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</si>
  <si>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</si>
  <si>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</si>
  <si>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</si>
  <si>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</si>
  <si>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</si>
  <si>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</si>
  <si>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</si>
  <si>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</si>
  <si>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</si>
  <si>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</si>
  <si>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</si>
  <si>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</si>
  <si>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</si>
  <si>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</si>
  <si>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</si>
  <si>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</si>
  <si>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</si>
  <si>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</si>
  <si>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</si>
  <si>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</si>
  <si>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</si>
  <si>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</si>
  <si>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</si>
  <si>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</si>
  <si>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</si>
  <si>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</si>
  <si>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</si>
  <si>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</si>
  <si>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</si>
  <si>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</si>
  <si>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</si>
  <si>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</si>
  <si>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</si>
  <si>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</si>
  <si>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</si>
  <si>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</si>
  <si>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</si>
  <si>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</si>
  <si>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</si>
  <si>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</si>
  <si>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</si>
  <si>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</si>
  <si>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</si>
  <si>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</si>
  <si>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</si>
  <si>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</si>
  <si>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</si>
  <si>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</si>
  <si>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</si>
  <si>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</si>
  <si>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</si>
  <si>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</si>
  <si>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</si>
  <si>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</si>
  <si>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</si>
  <si>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</si>
  <si>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</si>
  <si>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</si>
  <si>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</si>
  <si>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</si>
  <si>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</si>
  <si>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</si>
  <si>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</si>
  <si>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</si>
  <si>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</si>
  <si>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</si>
  <si>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</si>
  <si>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</si>
  <si>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</si>
  <si>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</si>
  <si>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</si>
  <si>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</si>
  <si>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</si>
  <si>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</si>
  <si>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</si>
  <si>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</si>
  <si>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</si>
  <si>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</si>
  <si>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</si>
  <si>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</si>
  <si>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</si>
  <si>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</si>
  <si>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</si>
  <si>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</si>
  <si>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</si>
  <si>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</si>
  <si>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</si>
  <si>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</si>
  <si>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</si>
  <si>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</si>
  <si>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</si>
  <si>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</si>
  <si>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</si>
  <si>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</si>
  <si>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</si>
  <si>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</si>
  <si>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</si>
  <si>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</si>
  <si>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</si>
  <si>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</si>
  <si>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</si>
  <si>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</si>
  <si>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</si>
  <si>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</si>
  <si>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</si>
  <si>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</si>
  <si>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</si>
  <si>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</si>
  <si>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</si>
  <si>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</si>
  <si>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</si>
  <si>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</si>
  <si>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</si>
  <si>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</si>
  <si>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</si>
  <si>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</si>
  <si>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</si>
  <si>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</si>
  <si>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</si>
  <si>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</si>
  <si>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</si>
  <si>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</si>
  <si>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</si>
  <si>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</si>
  <si>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</si>
  <si>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</si>
  <si>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</si>
  <si>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</si>
  <si>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</si>
  <si>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</si>
  <si>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</si>
  <si>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</si>
  <si>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</si>
  <si>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</si>
  <si>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</si>
  <si>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</si>
  <si>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</si>
  <si>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</si>
  <si>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</si>
  <si>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</si>
  <si>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</si>
  <si>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</si>
  <si>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</si>
  <si>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</si>
  <si>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</si>
  <si>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</si>
  <si>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</si>
  <si>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</si>
  <si>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</si>
  <si>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</si>
  <si>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</si>
  <si>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</si>
  <si>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</si>
  <si>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</si>
  <si>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</si>
  <si>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</si>
  <si>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</si>
  <si>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</si>
  <si>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</si>
  <si>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</si>
  <si>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</si>
  <si>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</si>
  <si>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</si>
  <si>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</si>
  <si>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</si>
  <si>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</si>
  <si>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</si>
  <si>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</si>
  <si>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</si>
  <si>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</si>
  <si>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</si>
  <si>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</si>
  <si>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</si>
  <si>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</si>
  <si>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</si>
  <si>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</si>
  <si>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</si>
  <si>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</si>
  <si>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</si>
  <si>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</si>
  <si>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</si>
  <si>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</si>
  <si>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</si>
  <si>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</si>
  <si>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</si>
  <si>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</si>
  <si>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</si>
  <si>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</si>
  <si>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</si>
  <si>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</si>
  <si>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</si>
  <si>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</si>
  <si>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</si>
  <si>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</si>
  <si>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</si>
  <si>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</si>
  <si>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</si>
  <si>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</si>
  <si>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</si>
  <si>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</si>
  <si>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</si>
  <si>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</si>
  <si>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</si>
  <si>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</si>
  <si>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</si>
  <si>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</si>
  <si>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</si>
  <si>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</si>
  <si>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</si>
  <si>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</si>
  <si>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</si>
  <si>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</si>
  <si>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</si>
  <si>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</si>
  <si>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</si>
  <si>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</si>
  <si>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</si>
  <si>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</si>
  <si>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</si>
  <si>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</si>
  <si>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</si>
  <si>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</si>
  <si>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</si>
  <si>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</si>
  <si>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</si>
  <si>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</si>
  <si>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</si>
  <si>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</si>
  <si>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</si>
  <si>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</si>
  <si>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</si>
  <si>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</si>
  <si>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</si>
  <si>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</si>
  <si>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</si>
  <si>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</si>
  <si>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</si>
  <si>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</si>
  <si>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</si>
  <si>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</si>
  <si>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</si>
  <si>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</si>
  <si>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</si>
  <si>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</si>
  <si>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</si>
  <si>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</si>
  <si>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</si>
  <si>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</si>
  <si>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</si>
  <si>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</si>
  <si>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</si>
  <si>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</si>
  <si>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</si>
  <si>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</si>
  <si>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</si>
  <si>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</si>
  <si>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</si>
  <si>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</si>
  <si>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</si>
  <si>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</si>
  <si>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</si>
  <si>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</si>
  <si>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</si>
  <si>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</si>
  <si>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</si>
  <si>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</si>
  <si>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</si>
  <si>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</si>
  <si>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</si>
  <si>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</si>
  <si>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</si>
  <si>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</si>
  <si>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</si>
  <si>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</si>
  <si>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</si>
  <si>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</si>
  <si>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</si>
  <si>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</si>
  <si>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</si>
  <si>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</si>
  <si>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</si>
  <si>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</si>
  <si>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</si>
  <si>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</si>
  <si>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</si>
  <si>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</si>
  <si>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</si>
  <si>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</si>
  <si>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</si>
  <si>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</si>
  <si>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</si>
  <si>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</si>
  <si>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</si>
  <si>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</si>
  <si>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</si>
  <si>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</si>
  <si>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</si>
  <si>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</si>
  <si>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</si>
  <si>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</si>
  <si>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</si>
  <si>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</si>
  <si>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</si>
  <si>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</si>
  <si>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</si>
  <si>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</si>
  <si>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</si>
  <si>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</si>
  <si>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</si>
  <si>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</si>
  <si>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</si>
  <si>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</si>
  <si>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</si>
  <si>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</si>
  <si>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</si>
  <si>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</si>
  <si>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</si>
  <si>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</si>
  <si>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</si>
  <si>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</si>
  <si>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</si>
  <si>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</si>
  <si>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</si>
  <si>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</si>
  <si>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</si>
  <si>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</si>
  <si>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</si>
  <si>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</si>
  <si>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</si>
  <si>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</si>
  <si>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</si>
  <si>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</si>
  <si>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</si>
  <si>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</si>
  <si>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</si>
  <si>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</si>
  <si>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</si>
  <si>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</si>
  <si>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</si>
  <si>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</si>
  <si>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</si>
  <si>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</si>
  <si>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</si>
  <si>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</si>
  <si>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</si>
  <si>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</si>
  <si>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</si>
  <si>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</si>
  <si>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</si>
  <si>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</si>
  <si>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</si>
  <si>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</si>
  <si>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</si>
  <si>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</si>
  <si>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</si>
  <si>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</si>
  <si>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</si>
  <si>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</si>
  <si>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</si>
  <si>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</si>
  <si>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</si>
  <si>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</si>
  <si>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</si>
  <si>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</si>
  <si>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</si>
  <si>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</si>
  <si>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</si>
  <si>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</si>
  <si>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</si>
  <si>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</si>
  <si>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</si>
  <si>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</si>
  <si>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</si>
  <si>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</si>
  <si>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</si>
  <si>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</si>
  <si>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</si>
  <si>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</si>
  <si>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</si>
  <si>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</si>
  <si>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</si>
  <si>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</si>
  <si>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</si>
  <si>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</si>
  <si>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</si>
  <si>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</si>
  <si>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</si>
  <si>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</si>
  <si>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</si>
  <si>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</si>
  <si>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</si>
  <si>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</si>
  <si>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</si>
  <si>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</si>
  <si>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</si>
  <si>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</si>
  <si>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</si>
  <si>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</si>
  <si>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</si>
  <si>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</si>
  <si>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</si>
  <si>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</si>
  <si>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</si>
  <si>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</si>
  <si>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</si>
  <si>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</si>
  <si>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</si>
  <si>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</si>
  <si>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</si>
  <si>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</si>
  <si>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</si>
  <si>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</si>
  <si>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</si>
  <si>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</si>
  <si>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</si>
  <si>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</si>
  <si>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</si>
  <si>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</si>
  <si>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</si>
  <si>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</si>
  <si>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</si>
  <si>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</si>
  <si>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</si>
  <si>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</si>
  <si>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</si>
  <si>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</si>
  <si>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</si>
  <si>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</si>
  <si>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</si>
  <si>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</si>
  <si>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</si>
  <si>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</si>
  <si>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</si>
  <si>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</si>
  <si>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</si>
  <si>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</si>
  <si>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</si>
  <si>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</si>
  <si>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</si>
  <si>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</si>
  <si>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</si>
  <si>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</si>
  <si>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</si>
  <si>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</si>
  <si>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</si>
  <si>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</si>
  <si>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</si>
  <si>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</si>
  <si>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</si>
  <si>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</si>
  <si>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</si>
  <si>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</si>
  <si>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</si>
  <si>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</si>
  <si>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</si>
  <si>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</si>
  <si>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</si>
  <si>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</si>
  <si>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</si>
  <si>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</si>
  <si>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</si>
  <si>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</si>
  <si>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</si>
  <si>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</si>
  <si>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</si>
  <si>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</si>
  <si>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</si>
  <si>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</si>
  <si>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</si>
  <si>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</si>
  <si>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</si>
  <si>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</si>
  <si>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</si>
  <si>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</si>
  <si>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</si>
  <si>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</si>
  <si>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</si>
  <si>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</si>
  <si>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</si>
  <si>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</si>
  <si>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</si>
  <si>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</si>
  <si>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</si>
  <si>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</si>
  <si>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</si>
  <si>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</si>
  <si>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</si>
  <si>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</si>
  <si>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</si>
  <si>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</si>
  <si>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</si>
  <si>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</si>
  <si>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</si>
  <si>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</si>
  <si>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</si>
  <si>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</si>
  <si>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</si>
  <si>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</si>
  <si>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</si>
  <si>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</si>
  <si>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</si>
  <si>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</si>
  <si>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</si>
  <si>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</si>
  <si>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</si>
  <si>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</si>
  <si>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</si>
  <si>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</si>
  <si>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</si>
  <si>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</si>
  <si>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</si>
  <si>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</si>
  <si>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</si>
  <si>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</si>
  <si>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</si>
  <si>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</si>
  <si>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</si>
  <si>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</si>
  <si>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</si>
  <si>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</si>
  <si>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</si>
  <si>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</si>
  <si>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</si>
  <si>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</si>
  <si>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</si>
  <si>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</si>
  <si>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</si>
  <si>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</si>
  <si>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</si>
  <si>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</si>
  <si>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</si>
  <si>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</si>
  <si>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</si>
  <si>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</si>
  <si>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</si>
  <si>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</si>
  <si>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</si>
  <si>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</si>
  <si>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</si>
  <si>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</si>
  <si>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</si>
  <si>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</si>
  <si>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</si>
  <si>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</si>
  <si>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</si>
  <si>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</si>
  <si>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</si>
  <si>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</si>
  <si>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</si>
  <si>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</si>
  <si>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</si>
  <si>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</si>
  <si>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</si>
  <si>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</si>
  <si>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</si>
  <si>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</si>
  <si>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</si>
  <si>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</si>
  <si>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</si>
  <si>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</si>
  <si>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</si>
  <si>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</si>
  <si>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</si>
  <si>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</si>
  <si>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</si>
  <si>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</si>
  <si>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</si>
  <si>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</si>
  <si>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</si>
  <si>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</si>
  <si>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</si>
  <si>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</si>
  <si>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</si>
  <si>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</si>
  <si>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</si>
  <si>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</si>
  <si>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</si>
  <si>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</si>
  <si>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</si>
  <si>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</si>
  <si>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</si>
  <si>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</si>
  <si>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</si>
  <si>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</si>
  <si>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</si>
  <si>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</si>
  <si>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</si>
  <si>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</si>
  <si>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</si>
  <si>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</si>
  <si>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</si>
  <si>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</si>
  <si>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</si>
  <si>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</si>
  <si>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</si>
  <si>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</si>
  <si>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</si>
  <si>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</si>
  <si>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</si>
  <si>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</si>
  <si>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</si>
  <si>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</si>
  <si>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</si>
  <si>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</si>
  <si>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</si>
  <si>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</si>
  <si>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</si>
  <si>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</si>
  <si>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</si>
  <si>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</si>
  <si>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</si>
  <si>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</si>
  <si>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</si>
  <si>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</si>
  <si>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</si>
  <si>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</si>
  <si>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</si>
  <si>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</si>
  <si>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</si>
  <si>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</si>
  <si>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</si>
  <si>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</si>
  <si>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</si>
  <si>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</si>
  <si>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</si>
  <si>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</si>
  <si>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</si>
  <si>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</si>
  <si>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</si>
  <si>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</si>
  <si>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</si>
  <si>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</si>
  <si>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</si>
  <si>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</si>
  <si>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</si>
  <si>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</si>
  <si>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</si>
  <si>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</si>
  <si>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</si>
  <si>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</si>
  <si>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</si>
  <si>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</si>
  <si>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</si>
  <si>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</si>
  <si>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</si>
  <si>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</si>
  <si>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</si>
  <si>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</si>
  <si>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</si>
  <si>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</si>
  <si>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</si>
  <si>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</si>
  <si>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</si>
  <si>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</si>
  <si>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</si>
  <si>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</si>
  <si>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</si>
  <si>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</si>
  <si>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</si>
  <si>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</si>
  <si>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</si>
  <si>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</si>
  <si>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</si>
  <si>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</si>
  <si>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</si>
  <si>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</si>
  <si>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</si>
  <si>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</si>
  <si>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</si>
  <si>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</si>
  <si>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</si>
  <si>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</si>
  <si>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</si>
  <si>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</si>
  <si>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</si>
  <si>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</si>
  <si>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</si>
  <si>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</si>
  <si>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</si>
  <si>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</si>
  <si>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</si>
  <si>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</si>
  <si>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</si>
  <si>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</si>
  <si>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</si>
  <si>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</si>
  <si>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</si>
  <si>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</si>
  <si>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</si>
  <si>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</si>
  <si>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</si>
  <si>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</si>
  <si>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</si>
  <si>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</si>
  <si>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</si>
  <si>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</si>
  <si>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</si>
  <si>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</si>
  <si>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</si>
  <si>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</si>
  <si>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</si>
  <si>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</si>
  <si>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</si>
  <si>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</si>
  <si>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</si>
  <si>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</si>
  <si>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</si>
  <si>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</si>
  <si>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</si>
  <si>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</si>
  <si>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</si>
  <si>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</si>
  <si>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</si>
  <si>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</si>
  <si>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</si>
  <si>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</si>
  <si>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</si>
  <si>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</si>
  <si>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</si>
  <si>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</si>
  <si>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</si>
  <si>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</si>
  <si>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</si>
  <si>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</si>
  <si>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</si>
  <si>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</si>
  <si>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</si>
  <si>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</si>
  <si>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</si>
  <si>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</si>
  <si>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</si>
  <si>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</si>
  <si>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</si>
  <si>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</si>
  <si>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</si>
  <si>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</si>
  <si>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</si>
  <si>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</si>
  <si>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</si>
  <si>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</si>
  <si>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</si>
  <si>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</si>
  <si>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</si>
  <si>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</si>
  <si>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</si>
  <si>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</si>
  <si>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</si>
  <si>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</si>
  <si>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</si>
  <si>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</si>
  <si>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</si>
  <si>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</si>
  <si>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</si>
  <si>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</si>
  <si>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</si>
  <si>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</si>
  <si>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</si>
  <si>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</si>
  <si>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</si>
  <si>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</si>
  <si>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</si>
  <si>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</si>
  <si>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</si>
  <si>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</si>
  <si>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</si>
  <si>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</si>
  <si>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</si>
  <si>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</si>
  <si>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</si>
  <si>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</si>
  <si>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</si>
  <si>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</si>
  <si>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</si>
  <si>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</si>
  <si>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</si>
  <si>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</si>
  <si>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</si>
  <si>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</si>
  <si>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</si>
  <si>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</si>
  <si>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</si>
  <si>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</si>
  <si>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</si>
  <si>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</si>
  <si>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</si>
  <si>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</si>
  <si>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</si>
  <si>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</si>
  <si>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</si>
  <si>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</si>
  <si>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</si>
  <si>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</si>
  <si>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</si>
  <si>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</si>
  <si>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</si>
  <si>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</si>
  <si>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</si>
  <si>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</si>
  <si>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</si>
  <si>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</si>
  <si>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</si>
  <si>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</si>
  <si>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</si>
  <si>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</si>
  <si>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</si>
  <si>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</si>
  <si>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</si>
  <si>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</si>
  <si>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</si>
  <si>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</si>
  <si>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</si>
  <si>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</si>
  <si>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</si>
  <si>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</si>
  <si>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</si>
  <si>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</si>
  <si>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</si>
  <si>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</si>
  <si>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</si>
  <si>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</si>
  <si>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</si>
  <si>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</si>
  <si>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</si>
  <si>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</si>
  <si>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</si>
  <si>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</si>
  <si>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</si>
  <si>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</si>
  <si>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</si>
  <si>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</si>
  <si>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</si>
  <si>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</si>
  <si>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</si>
  <si>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</si>
  <si>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</si>
  <si>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</si>
  <si>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</si>
  <si>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</si>
  <si>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</si>
  <si>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</si>
  <si>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</si>
  <si>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</si>
  <si>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</si>
  <si>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</si>
  <si>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</si>
  <si>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</si>
  <si>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</si>
  <si>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</si>
  <si>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</si>
  <si>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</si>
  <si>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</si>
  <si>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</si>
  <si>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</si>
  <si>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</si>
  <si>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</si>
  <si>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</si>
  <si>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</si>
  <si>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</si>
  <si>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</si>
  <si>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</si>
  <si>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</si>
  <si>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</si>
  <si>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</si>
  <si>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</si>
  <si>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</si>
  <si>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</si>
  <si>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</si>
  <si>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</si>
  <si>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</si>
  <si>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</si>
  <si>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</si>
  <si>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</si>
  <si>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</si>
  <si>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</si>
  <si>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</si>
  <si>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</si>
  <si>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</si>
  <si>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</si>
  <si>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</si>
  <si>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</si>
  <si>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</si>
  <si>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</si>
  <si>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</si>
  <si>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</si>
  <si>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</si>
  <si>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</si>
  <si>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</si>
  <si>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</si>
  <si>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</si>
  <si>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</si>
  <si>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</si>
  <si>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</si>
  <si>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</si>
  <si>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</si>
  <si>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</si>
  <si>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</si>
  <si>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</si>
  <si>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</si>
  <si>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</si>
  <si>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</si>
  <si>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</si>
  <si>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</si>
  <si>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</si>
  <si>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</si>
  <si>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</si>
  <si>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</si>
  <si>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</si>
  <si>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</si>
  <si>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</si>
  <si>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</si>
  <si>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</si>
  <si>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</si>
  <si>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</si>
  <si>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</si>
  <si>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</si>
  <si>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</si>
  <si>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</si>
  <si>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</si>
  <si>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</si>
  <si>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</si>
  <si>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</si>
  <si>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</si>
  <si>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</si>
  <si>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</si>
  <si>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</si>
  <si>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</si>
  <si>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</si>
  <si>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</si>
  <si>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</si>
  <si>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</si>
  <si>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</si>
  <si>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</si>
  <si>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</si>
  <si>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</si>
  <si>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</si>
  <si>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</si>
  <si>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</si>
  <si>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</si>
  <si>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</si>
  <si>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</si>
  <si>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</si>
  <si>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</si>
  <si>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</si>
  <si>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</si>
  <si>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</si>
  <si>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</si>
  <si>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</si>
  <si>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</si>
  <si>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</si>
  <si>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</si>
  <si>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</si>
  <si>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</si>
  <si>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</si>
  <si>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</si>
  <si>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</si>
  <si>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</si>
  <si>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</si>
  <si>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</si>
  <si>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</si>
  <si>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</si>
  <si>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</si>
  <si>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</si>
  <si>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</si>
  <si>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</si>
  <si>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</si>
  <si>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</si>
  <si>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</si>
  <si>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</si>
  <si>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</si>
  <si>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</si>
  <si>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</si>
  <si>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</si>
  <si>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</si>
  <si>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</si>
  <si>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</si>
  <si>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</si>
  <si>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</si>
  <si>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</si>
  <si>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</si>
  <si>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</si>
  <si>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</si>
  <si>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</si>
  <si>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</si>
  <si>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</si>
  <si>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</si>
  <si>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</si>
  <si>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</si>
  <si>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</si>
  <si>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</si>
  <si>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</si>
  <si>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</si>
  <si>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</si>
  <si>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</si>
  <si>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</si>
  <si>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</si>
  <si>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</si>
  <si>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</si>
  <si>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</si>
  <si>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</si>
  <si>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</si>
  <si>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</si>
  <si>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</si>
  <si>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</si>
  <si>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</si>
  <si>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</si>
  <si>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</si>
  <si>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</si>
  <si>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</si>
  <si>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</si>
  <si>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</si>
  <si>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</si>
  <si>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</si>
  <si>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</si>
  <si>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</si>
  <si>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</si>
  <si>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</si>
  <si>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</si>
  <si>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</si>
  <si>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</si>
  <si>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</si>
  <si>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</si>
  <si>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</si>
  <si>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</si>
  <si>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</si>
  <si>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</si>
  <si>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</si>
  <si>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</si>
  <si>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</si>
  <si>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</si>
  <si>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</si>
  <si>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</si>
  <si>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</si>
  <si>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</si>
  <si>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</si>
  <si>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</si>
  <si>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</si>
  <si>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</si>
  <si>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</si>
  <si>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</si>
  <si>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</si>
  <si>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</si>
  <si>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</si>
  <si>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</si>
  <si>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</si>
  <si>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</si>
  <si>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</si>
  <si>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</si>
  <si>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</si>
  <si>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</si>
  <si>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</si>
  <si>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</si>
  <si>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</si>
  <si>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</si>
  <si>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</si>
  <si>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</si>
  <si>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</si>
  <si>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</si>
  <si>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</si>
  <si>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</si>
  <si>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</si>
  <si>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</si>
  <si>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</si>
  <si>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</si>
  <si>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</si>
  <si>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</si>
  <si>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</si>
  <si>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</si>
  <si>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</si>
  <si>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</si>
  <si>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</si>
  <si>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</si>
  <si>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</si>
  <si>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</si>
  <si>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</si>
  <si>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</si>
  <si>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</si>
  <si>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</si>
  <si>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</si>
  <si>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</si>
  <si>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</si>
  <si>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</si>
  <si>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</si>
  <si>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</si>
  <si>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</si>
  <si>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</si>
  <si>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</si>
  <si>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</si>
  <si>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</si>
  <si>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</si>
  <si>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</si>
  <si>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</si>
  <si>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</si>
  <si>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</si>
  <si>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</si>
  <si>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</si>
  <si>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</si>
  <si>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</si>
  <si>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</si>
  <si>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</si>
  <si>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</si>
  <si>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</si>
  <si>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</si>
  <si>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</si>
  <si>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</si>
  <si>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</si>
  <si>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</si>
  <si>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</si>
  <si>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</si>
  <si>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</si>
  <si>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</si>
  <si>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</si>
  <si>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</si>
  <si>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</si>
  <si>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</si>
  <si>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</si>
  <si>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</si>
  <si>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</si>
  <si>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</si>
  <si>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</si>
  <si>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</si>
  <si>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</si>
  <si>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</si>
  <si>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</si>
  <si>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</si>
  <si>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</si>
  <si>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</si>
  <si>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</si>
  <si>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</si>
  <si>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</si>
  <si>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</si>
  <si>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</si>
  <si>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</si>
  <si>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</si>
  <si>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</si>
  <si>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</si>
  <si>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</si>
  <si>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</si>
  <si>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</si>
  <si>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</si>
  <si>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</si>
  <si>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</si>
  <si>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</si>
  <si>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</si>
  <si>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</si>
  <si>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</si>
  <si>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</si>
  <si>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</si>
  <si>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</si>
  <si>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</si>
  <si>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</si>
  <si>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</si>
  <si>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</si>
  <si>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</si>
  <si>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</si>
  <si>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</si>
  <si>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</si>
  <si>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</si>
  <si>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</si>
  <si>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</si>
  <si>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</si>
  <si>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</si>
  <si>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</si>
  <si>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</si>
  <si>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</si>
  <si>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</si>
  <si>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</si>
  <si>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</si>
  <si>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</si>
  <si>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</si>
  <si>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</si>
  <si>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</si>
  <si>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</si>
  <si>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</si>
  <si>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</si>
  <si>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</si>
  <si>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</si>
  <si>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</si>
  <si>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</si>
  <si>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</si>
  <si>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</si>
  <si>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</si>
  <si>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</si>
  <si>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</si>
  <si>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</si>
  <si>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</si>
  <si>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</si>
  <si>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</si>
  <si>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</si>
  <si>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</si>
  <si>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</si>
  <si>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</si>
  <si>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</si>
  <si>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</si>
  <si>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</si>
  <si>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</si>
  <si>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</si>
  <si>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</si>
  <si>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</si>
  <si>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</si>
  <si>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</si>
  <si>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</si>
  <si>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</si>
  <si>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</si>
  <si>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</si>
  <si>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</si>
  <si>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</si>
  <si>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</si>
  <si>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</si>
  <si>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</si>
  <si>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</si>
  <si>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</si>
  <si>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</si>
  <si>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</si>
  <si>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</si>
  <si>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</si>
  <si>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</si>
  <si>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</si>
  <si>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</si>
  <si>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</si>
  <si>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</si>
  <si>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</si>
  <si>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</si>
  <si>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</si>
  <si>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</si>
  <si>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</si>
  <si>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</si>
  <si>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</si>
  <si>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</si>
  <si>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</si>
  <si>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</si>
  <si>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</si>
  <si>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</si>
  <si>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</si>
  <si>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</si>
  <si>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</si>
  <si>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</si>
  <si>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</si>
  <si>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</si>
  <si>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</si>
  <si>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</si>
  <si>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</si>
  <si>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</si>
  <si>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</si>
  <si>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</si>
  <si>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</si>
  <si>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</si>
  <si>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</si>
  <si>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</si>
  <si>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</si>
  <si>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</si>
  <si>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</si>
  <si>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</si>
  <si>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</si>
  <si>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</si>
  <si>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</si>
  <si>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</si>
  <si>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</si>
  <si>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</si>
  <si>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</si>
  <si>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</si>
  <si>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</si>
  <si>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</si>
  <si>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</si>
  <si>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</si>
  <si>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</si>
  <si>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</si>
  <si>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</si>
  <si>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</si>
  <si>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</si>
  <si>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</si>
  <si>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</si>
  <si>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</si>
  <si>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</si>
  <si>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</si>
  <si>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</si>
  <si>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</si>
  <si>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</si>
  <si>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</si>
  <si>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</si>
  <si>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</si>
  <si>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</si>
  <si>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</si>
  <si>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</si>
  <si>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</si>
  <si>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</si>
  <si>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</si>
  <si>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</si>
  <si>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</si>
  <si>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</si>
  <si>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</si>
  <si>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</si>
  <si>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</si>
  <si>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</si>
  <si>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</si>
  <si>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</si>
  <si>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</si>
  <si>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</si>
  <si>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</si>
  <si>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</si>
  <si>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</si>
  <si>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</si>
  <si>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</si>
  <si>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</si>
  <si>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</si>
  <si>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</si>
  <si>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</si>
  <si>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</si>
  <si>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</si>
  <si>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</si>
  <si>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</si>
  <si>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</si>
  <si>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</si>
  <si>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</si>
  <si>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</si>
  <si>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</si>
  <si>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</si>
  <si>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</si>
  <si>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</si>
  <si>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</si>
  <si>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</si>
  <si>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</si>
  <si>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</si>
  <si>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</si>
  <si>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</si>
  <si>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</si>
  <si>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</si>
  <si>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</si>
  <si>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</si>
  <si>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</si>
  <si>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</si>
  <si>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</si>
  <si>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</si>
  <si>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</si>
  <si>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</si>
  <si>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</si>
  <si>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</si>
  <si>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</si>
  <si>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</si>
  <si>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</si>
  <si>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</si>
  <si>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</si>
  <si>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</si>
  <si>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</si>
  <si>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</si>
  <si>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</si>
  <si>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</si>
  <si>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</si>
  <si>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</si>
  <si>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</si>
  <si>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</si>
  <si>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</si>
  <si>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</si>
  <si>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</si>
  <si>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</si>
  <si>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</si>
  <si>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</si>
  <si>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</si>
  <si>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</si>
  <si>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</si>
  <si>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</si>
  <si>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</si>
  <si>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</si>
  <si>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</si>
  <si>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</si>
  <si>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</si>
  <si>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</si>
  <si>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</si>
  <si>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</si>
  <si>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</si>
  <si>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</si>
  <si>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</si>
  <si>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</si>
  <si>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</si>
  <si>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</si>
  <si>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</si>
  <si>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</si>
  <si>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</si>
  <si>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</si>
  <si>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</si>
  <si>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</si>
  <si>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</si>
  <si>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</si>
  <si>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</si>
  <si>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</si>
  <si>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</si>
  <si>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</si>
  <si>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</si>
  <si>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</si>
  <si>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</si>
  <si>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</si>
  <si>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</si>
  <si>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</si>
  <si>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</si>
  <si>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</si>
  <si>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</si>
  <si>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</si>
  <si>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</si>
  <si>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</si>
  <si>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</si>
  <si>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</si>
  <si>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</si>
  <si>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</si>
  <si>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</si>
  <si>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</si>
  <si>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</si>
  <si>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</si>
  <si>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</si>
  <si>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</si>
  <si>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</si>
  <si>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</si>
  <si>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</si>
  <si>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</si>
  <si>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</si>
  <si>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</si>
  <si>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</si>
  <si>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</si>
  <si>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</si>
  <si>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</si>
  <si>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</si>
  <si>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</si>
  <si>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</si>
  <si>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</si>
  <si>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</si>
  <si>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</si>
  <si>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</si>
  <si>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</si>
  <si>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</si>
  <si>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</si>
  <si>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</si>
  <si>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</si>
  <si>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</si>
  <si>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</si>
  <si>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</si>
  <si>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</si>
  <si>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</si>
  <si>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</si>
  <si>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</si>
  <si>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</si>
  <si>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</si>
  <si>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</si>
  <si>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</si>
  <si>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</si>
  <si>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</si>
  <si>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</si>
  <si>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</si>
  <si>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</si>
  <si>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</si>
  <si>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</si>
  <si>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</si>
  <si>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</si>
  <si>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</si>
  <si>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</si>
  <si>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</si>
  <si>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</si>
  <si>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</si>
  <si>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</si>
  <si>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</si>
  <si>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</si>
  <si>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</si>
  <si>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</si>
  <si>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</si>
  <si>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</si>
  <si>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</si>
  <si>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</si>
  <si>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</si>
  <si>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</si>
  <si>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</si>
  <si>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</si>
  <si>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</si>
  <si>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</si>
  <si>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</si>
  <si>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</si>
  <si>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</si>
  <si>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</si>
  <si>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</si>
  <si>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</si>
  <si>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</si>
  <si>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</si>
  <si>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</si>
  <si>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</si>
  <si>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</si>
  <si>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</si>
  <si>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</si>
  <si>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</si>
  <si>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</si>
  <si>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</si>
  <si>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</si>
  <si>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</si>
  <si>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</si>
  <si>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</si>
  <si>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</si>
  <si>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</si>
  <si>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</si>
  <si>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</si>
  <si>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</si>
  <si>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</si>
  <si>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</si>
  <si>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</si>
  <si>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</si>
  <si>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</si>
  <si>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</si>
  <si>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</si>
  <si>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</si>
  <si>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</si>
  <si>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</si>
  <si>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</si>
  <si>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</si>
  <si>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</si>
  <si>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</si>
  <si>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</si>
  <si>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</si>
  <si>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</si>
  <si>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</si>
  <si>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</si>
  <si>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</si>
  <si>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</si>
  <si>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</si>
  <si>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</si>
  <si>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</si>
  <si>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</si>
  <si>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</si>
  <si>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</si>
  <si>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</si>
  <si>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</si>
  <si>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</si>
  <si>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</si>
  <si>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</si>
  <si>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</si>
  <si>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</si>
  <si>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</si>
  <si>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</si>
  <si>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</si>
  <si>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</si>
  <si>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</si>
  <si>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</si>
  <si>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</si>
  <si>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</si>
  <si>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</si>
  <si>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</si>
  <si>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</si>
  <si>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</si>
  <si>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</si>
  <si>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</si>
  <si>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</si>
  <si>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</si>
  <si>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</si>
  <si>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</si>
  <si>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</si>
  <si>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</si>
  <si>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</si>
  <si>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</si>
  <si>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</si>
  <si>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</si>
  <si>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</si>
  <si>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</si>
  <si>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</si>
  <si>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</si>
  <si>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</si>
  <si>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</si>
  <si>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</si>
  <si>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</si>
  <si>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</si>
  <si>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</si>
  <si>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</si>
  <si>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</si>
  <si>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</si>
  <si>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</si>
  <si>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</si>
  <si>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</si>
  <si>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</si>
  <si>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</si>
  <si>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</si>
  <si>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</si>
  <si>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</si>
  <si>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</si>
  <si>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</si>
  <si>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</si>
  <si>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</si>
  <si>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</si>
  <si>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</si>
  <si>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</si>
  <si>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</si>
  <si>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</si>
  <si>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</si>
  <si>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</si>
  <si>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</si>
  <si>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</si>
  <si>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</si>
  <si>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</si>
  <si>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</si>
  <si>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</si>
  <si>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</si>
  <si>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</si>
  <si>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</si>
  <si>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MARION</t>
  </si>
  <si>
    <t>129 N. DOUGLAS</t>
  </si>
  <si>
    <t>CENTRALIA</t>
  </si>
  <si>
    <t>branon@ccs133.com</t>
  </si>
  <si>
    <t>TIM BRANON</t>
  </si>
  <si>
    <t>618-532-9821</t>
  </si>
  <si>
    <t>618-533-2219</t>
  </si>
  <si>
    <t>x</t>
  </si>
  <si>
    <t>General Obligation Limited School Bonds, Series 2013</t>
  </si>
  <si>
    <t>Taxable Limited Working Cash Bonds, Series 2015</t>
  </si>
  <si>
    <t>BB Community Leasing Services, Inc.</t>
  </si>
  <si>
    <t>Bus Lease</t>
  </si>
  <si>
    <t>M2 Lease Funds LLC</t>
  </si>
  <si>
    <t>Lighting Lease</t>
  </si>
  <si>
    <t>ED-Support Services-Business-Purchased Service</t>
  </si>
  <si>
    <t>GreatAmerica Financial</t>
  </si>
  <si>
    <t>Da-Com Corporation</t>
  </si>
  <si>
    <t>Security Alarm</t>
  </si>
  <si>
    <t>XT Solutions</t>
  </si>
  <si>
    <t>Regional Office of Education #13</t>
  </si>
  <si>
    <t>Egyptian Area Schools Benefit Trust</t>
  </si>
  <si>
    <t>Southern Illinois School District Coop Buying Program</t>
  </si>
  <si>
    <t>Illinois Public Risk Fund-FY 2019;  Prairie State Insurance Coop FY 2020 and 2021</t>
  </si>
  <si>
    <t>Kaskaskia Special Education District 801</t>
  </si>
  <si>
    <t>Page 10, Lind 74 - Safe and Alternative School</t>
  </si>
  <si>
    <t>Page 10 Line 107 - Education - Erate $8,449; Workers Compensation $2,840; Stipends $1,575; Refunds &amp; Reimbursements $1,357</t>
  </si>
  <si>
    <t>Page 16, Line 73 - Crossing Guard</t>
  </si>
  <si>
    <t>Page 18, Line 171 - Bond Fees</t>
  </si>
  <si>
    <t>Page 20, Line 278 - Crossing Guard Benefits</t>
  </si>
  <si>
    <t>Page 12, Line 168 - Healthy Community Grant</t>
  </si>
  <si>
    <t>Audit Check - Item 8 - Page 24 schedule of bonds payable doesn't agree to pages 5, 8, and 18 because of bus lease and lighting lease</t>
  </si>
  <si>
    <t xml:space="preserve">                                                     proceeds that are included on the summary page 7 as other sources and bus lease payments are in the</t>
  </si>
  <si>
    <t xml:space="preserve">                                                     Transportation Fund.</t>
  </si>
  <si>
    <t>The District has a separate bookkeeper and Treasurer to segregate the accounting duties to provide additional internal controls.</t>
  </si>
  <si>
    <t>There are no questioned costs related to this finding.</t>
  </si>
  <si>
    <t>The District hired a new bookkeeper in July 2019 and the procedures established in the past for the bookkeeper and the Treasurer to reconcile their individual records was not performed by the bookkeeper.</t>
  </si>
  <si>
    <t>The District bookkeeper did not balance the accounting records with the Treasurer's accounting records for any month during the fiscal year 2020.  This weakens the effect of having two separate employees performing duties.</t>
  </si>
  <si>
    <t>The bookkeeper should reconcile the Treasurer's monthly report with the balance sheet and the bank reconciliation in the accounting system on a timely basis each month.  The Superintendent should review the reconciliation each month to make sure that the procedure is being followed.  The review should be documented by dating and initialing the reconciliations.</t>
  </si>
  <si>
    <t>This happened because of the errors in the accounting system and the fact that a timely reconciliation by the bookkeeper was not performed to find the corrections and transactions that needed to be entered.</t>
  </si>
  <si>
    <t>The bookkeeper should reconcile the Treasurer's monthly report with the balance sheet and the bank reconciliation in the accounting system on a timely basis each month so that in insures that all transactions are entered and corrections can be made if needed.  The Superintendent should review the reconciliation each month to make sure that the procedure is being followed.  The review should be documented by dating and initialing the reconciliations.</t>
  </si>
  <si>
    <t>Individual funds should maintain a positive balance in a common bank account.  Interfund loans or permanent transfers should be authorized by the Board as necessary to maintain the positive balances.</t>
  </si>
  <si>
    <t>The District maintains a common checking account for all District funds.  The accounting records are maintained to account for each fund's portion of the common bank account balance.  The Transportation Fund had negative balances during the fiscal year.</t>
  </si>
  <si>
    <t>The District was not monitoring the balance in the Transportation Fund and having the Board approve interfund loans or transfers on a timely basis.</t>
  </si>
  <si>
    <t>The Board authorized a permanent transfer in May, 2020 to bring the balance in the Transportation Fund to a positive balance.  In the future the above recommendation will be followed to maintain a positive balance each month.</t>
  </si>
  <si>
    <t>The Transportation Fund had a negative balance in the checking account in February through April 2020.</t>
  </si>
  <si>
    <t xml:space="preserve">x </t>
  </si>
  <si>
    <t>AEP Energy</t>
  </si>
  <si>
    <t>Village of Central City-School Resource Officer</t>
  </si>
  <si>
    <t>This weakened the internal control so that the possibility exists that unintentional or intentional errors or misappropriations may occur and not be detected and corrected by the District in a timely manner.</t>
  </si>
  <si>
    <t>The balances on the monthly Treasurer's report, balance sheet, and bank reconciliation should all agree to each other.</t>
  </si>
  <si>
    <t>The Transportation Fund used cash from other funds that was not authorized by the Board.</t>
  </si>
  <si>
    <t>The District should monitor monthly individual cash balances and have the Board authorize interfund loans or transfers at any time that an individual fund negative balance is anticipated.</t>
  </si>
  <si>
    <t>None of the monthly Treasurer's reports agreed to the balance sheet and bank reconciliation.  The total cash didn't agree and some of the individual funds were incorrect.  This occurred because the bookkeeper wasn't reconciling with the Treasurer on a monthly basis, not all of the transactions were entered, interest income was not recorded for five months during the year, transactions were entered in the incorrect fund, and the accounting software was converted to a new system in November in which not all of the transactions converted properly.</t>
  </si>
  <si>
    <t xml:space="preserve">The cash balances in total and by fund in the accounting system were not correct for any month during the year.  The Treasurer's report was correct in total, but some of the individual funds were incorrect.  </t>
  </si>
  <si>
    <t>The District Superintendent will personally review the reconciliations for each month to make sure that the Treasurer's Monthly Report, the Bookkeeper's Monthly Balance Sheet and the Bank's Monthly Reconciliation Statement are all in agreement. If these three reports are not all in agreement with each other, then the Superintendent will work with the District Bookkeeper and the District Treasurer in order to address those transactions and balances that do not coincide.  Once all three of the monthly reports are reconciled, balanced and in agreement, the Superintendent will then initial the Bookkeeper's Monthly Balance Sheet to confirm that all three reports have been reviewed and approved by the Superintendent.</t>
  </si>
  <si>
    <t xml:space="preserve">   Central City 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</si>
</sst>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54" fillId="0" borderId="0" xfId="3" applyFont="1" applyAlignment="1" applyProtection="1">
      <alignment horizontal="center"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1200150</xdr:colOff>
          <xdr:row>8</xdr:row>
          <xdr:rowOff>28575</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1400-000001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5</xdr:col>
          <xdr:colOff>485775</xdr:colOff>
          <xdr:row>9</xdr:row>
          <xdr:rowOff>28575</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14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401</v>
      </c>
      <c r="J1" s="2080"/>
      <c r="K1" s="2080"/>
      <c r="L1" s="2080"/>
      <c r="M1" s="2080"/>
      <c r="N1" s="2080"/>
      <c r="O1" s="2080"/>
      <c r="P1" s="2080"/>
      <c r="Q1" s="2080"/>
      <c r="R1" s="2080"/>
      <c r="S1" s="2080"/>
    </row>
    <row r="2" spans="1:32" ht="12" customHeight="1" x14ac:dyDescent="0.2">
      <c r="A2" s="1830" t="str">
        <f>"Due to ISBE on "</f>
        <v xml:space="preserve">Due to ISBE on </v>
      </c>
      <c r="B2" s="2122">
        <f>+'AFR20'!F4</f>
        <v>44151</v>
      </c>
      <c r="C2" s="2122"/>
      <c r="D2" s="2123"/>
      <c r="I2" s="2081" t="s">
        <v>2002</v>
      </c>
      <c r="J2" s="2080"/>
      <c r="K2" s="2080"/>
      <c r="L2" s="2080"/>
      <c r="M2" s="2080"/>
      <c r="N2" s="2080"/>
      <c r="O2" s="2080"/>
      <c r="P2" s="2080"/>
      <c r="Q2" s="2080"/>
      <c r="R2" s="2080"/>
      <c r="S2" s="2080"/>
    </row>
    <row r="3" spans="1:32" ht="12" customHeight="1" x14ac:dyDescent="0.2">
      <c r="A3" s="1833"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520</v>
      </c>
      <c r="J4" s="2080"/>
      <c r="K4" s="2080"/>
      <c r="L4" s="2080"/>
      <c r="M4" s="2080"/>
      <c r="N4" s="2080"/>
      <c r="O4" s="2080"/>
      <c r="P4" s="2080"/>
      <c r="Q4" s="2080"/>
      <c r="R4" s="2080"/>
      <c r="S4" s="2080"/>
    </row>
    <row r="5" spans="1:32" ht="14.1" customHeight="1" x14ac:dyDescent="0.2">
      <c r="B5" s="101" t="s">
        <v>2050</v>
      </c>
      <c r="C5" s="26" t="s">
        <v>903</v>
      </c>
      <c r="D5" s="81"/>
      <c r="E5" s="81"/>
      <c r="H5" s="38"/>
      <c r="I5" s="2089" t="s">
        <v>674</v>
      </c>
      <c r="J5" s="2088"/>
      <c r="K5" s="2088"/>
      <c r="L5" s="2088"/>
      <c r="M5" s="2088"/>
      <c r="N5" s="2088"/>
      <c r="O5" s="2088"/>
      <c r="P5" s="2088"/>
      <c r="Q5" s="2088"/>
      <c r="R5" s="2088"/>
      <c r="S5" s="2088"/>
      <c r="AF5" s="1826"/>
    </row>
    <row r="6" spans="1:32" ht="14.1" customHeight="1" x14ac:dyDescent="0.2">
      <c r="B6" s="101"/>
      <c r="C6" s="26" t="s">
        <v>904</v>
      </c>
      <c r="D6" s="81"/>
      <c r="E6" s="81"/>
      <c r="I6" s="2087" t="s">
        <v>876</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668</v>
      </c>
      <c r="J9" s="2085"/>
      <c r="K9" s="2085"/>
      <c r="L9" s="2085"/>
      <c r="M9" s="2085"/>
      <c r="N9" s="2085"/>
      <c r="O9" s="2085"/>
      <c r="P9" s="2085"/>
      <c r="Q9" s="2085"/>
      <c r="R9" s="2085"/>
      <c r="S9" s="2086"/>
      <c r="T9" s="2137" t="s">
        <v>529</v>
      </c>
      <c r="U9" s="2138"/>
      <c r="V9" s="2138"/>
      <c r="W9" s="2138"/>
      <c r="X9" s="2138"/>
      <c r="Y9" s="2138"/>
      <c r="Z9" s="2138"/>
      <c r="AA9" s="2139"/>
    </row>
    <row r="10" spans="1:32" ht="13.5" customHeight="1" x14ac:dyDescent="0.2">
      <c r="A10" s="2144" t="s">
        <v>669</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948</v>
      </c>
      <c r="B11" s="2148"/>
      <c r="C11" s="2148"/>
      <c r="D11" s="2148"/>
      <c r="E11" s="2148"/>
      <c r="F11" s="2148"/>
      <c r="G11" s="2148"/>
      <c r="H11" s="2149"/>
      <c r="I11" s="27"/>
      <c r="J11" s="71"/>
      <c r="K11" s="27"/>
      <c r="O11" s="144" t="s">
        <v>2050</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0">
        <v>13058133002</v>
      </c>
      <c r="B13" s="2101"/>
      <c r="C13" s="2101"/>
      <c r="D13" s="2101"/>
      <c r="E13" s="2101"/>
      <c r="F13" s="2101"/>
      <c r="G13" s="2101"/>
      <c r="H13" s="2102"/>
      <c r="I13" s="31"/>
      <c r="J13" s="30"/>
      <c r="K13" s="28"/>
      <c r="L13" s="30"/>
      <c r="M13" s="30"/>
      <c r="N13" s="30"/>
      <c r="O13" s="30"/>
      <c r="P13" s="30"/>
      <c r="Q13" s="30"/>
      <c r="R13" s="30"/>
      <c r="S13" s="30"/>
      <c r="T13" s="2106" t="s">
        <v>2051</v>
      </c>
      <c r="U13" s="2107"/>
      <c r="V13" s="2107"/>
      <c r="W13" s="2107"/>
      <c r="X13" s="2107"/>
      <c r="Y13" s="2108"/>
      <c r="Z13" s="2108"/>
      <c r="AA13" s="210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3" t="s">
        <v>2069</v>
      </c>
      <c r="B15" s="2104"/>
      <c r="C15" s="2104"/>
      <c r="D15" s="2104"/>
      <c r="E15" s="2104"/>
      <c r="F15" s="2104"/>
      <c r="G15" s="2104"/>
      <c r="H15" s="2105"/>
      <c r="T15" s="2110" t="s">
        <v>2052</v>
      </c>
      <c r="U15" s="2067"/>
      <c r="V15" s="2067"/>
      <c r="W15" s="2067"/>
      <c r="X15" s="2067"/>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3" t="s">
        <v>2124</v>
      </c>
      <c r="B17" s="2074"/>
      <c r="C17" s="2074"/>
      <c r="D17" s="2074"/>
      <c r="E17" s="2074"/>
      <c r="F17" s="2074"/>
      <c r="G17" s="2074"/>
      <c r="H17" s="2099"/>
      <c r="T17" s="2117" t="s">
        <v>2053</v>
      </c>
      <c r="U17" s="2118"/>
      <c r="V17" s="2118"/>
      <c r="W17" s="2118"/>
      <c r="X17" s="2118"/>
      <c r="Y17" s="2118"/>
      <c r="Z17" s="2118"/>
      <c r="AA17" s="2119"/>
    </row>
    <row r="18" spans="1:27" ht="13.5" customHeight="1" x14ac:dyDescent="0.2">
      <c r="A18" s="82" t="s">
        <v>526</v>
      </c>
      <c r="B18" s="73"/>
      <c r="C18" s="69"/>
      <c r="D18" s="73"/>
      <c r="E18" s="73"/>
      <c r="F18" s="73"/>
      <c r="G18" s="73"/>
      <c r="H18" s="53"/>
      <c r="I18" s="2098" t="s">
        <v>670</v>
      </c>
      <c r="J18" s="2049"/>
      <c r="K18" s="2049"/>
      <c r="L18" s="2049"/>
      <c r="M18" s="2049"/>
      <c r="N18" s="2049"/>
      <c r="O18" s="2049"/>
      <c r="P18" s="2049"/>
      <c r="Q18" s="2049"/>
      <c r="R18" s="2049"/>
      <c r="S18" s="2050"/>
      <c r="T18" s="82" t="s">
        <v>705</v>
      </c>
      <c r="U18" s="48"/>
      <c r="V18" s="69"/>
      <c r="W18" s="47"/>
      <c r="X18" s="82" t="s">
        <v>263</v>
      </c>
      <c r="Y18" s="78"/>
      <c r="Z18" s="154" t="s">
        <v>671</v>
      </c>
      <c r="AA18" s="44"/>
    </row>
    <row r="19" spans="1:27" ht="13.5" customHeight="1" x14ac:dyDescent="0.2">
      <c r="A19" s="2103" t="s">
        <v>2070</v>
      </c>
      <c r="B19" s="2059"/>
      <c r="C19" s="2059"/>
      <c r="D19" s="2059"/>
      <c r="E19" s="2059"/>
      <c r="F19" s="2059"/>
      <c r="G19" s="2059"/>
      <c r="H19" s="2039"/>
      <c r="I19" s="30"/>
      <c r="J19" s="96"/>
      <c r="K19" s="40"/>
      <c r="L19" s="38"/>
      <c r="M19" s="109" t="s">
        <v>311</v>
      </c>
      <c r="P19" s="27"/>
      <c r="Q19" s="27"/>
      <c r="R19" s="27"/>
      <c r="S19" s="31"/>
      <c r="T19" s="2103" t="s">
        <v>2054</v>
      </c>
      <c r="U19" s="2038"/>
      <c r="V19" s="2038"/>
      <c r="W19" s="2039"/>
      <c r="X19" s="2115" t="s">
        <v>2055</v>
      </c>
      <c r="Y19" s="2116"/>
      <c r="Z19" s="2113">
        <v>62870</v>
      </c>
      <c r="AA19" s="211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7" t="s">
        <v>2071</v>
      </c>
      <c r="B21" s="2038"/>
      <c r="C21" s="2038"/>
      <c r="D21" s="2038"/>
      <c r="E21" s="2038"/>
      <c r="F21" s="2038"/>
      <c r="G21" s="2038"/>
      <c r="H21" s="2039"/>
      <c r="I21" s="2093" t="s">
        <v>672</v>
      </c>
      <c r="J21" s="2088"/>
      <c r="K21" s="2088"/>
      <c r="L21" s="2088"/>
      <c r="M21" s="2088"/>
      <c r="N21" s="2088"/>
      <c r="O21" s="2088"/>
      <c r="P21" s="2088"/>
      <c r="Q21" s="2088"/>
      <c r="R21" s="2088"/>
      <c r="S21" s="2094"/>
      <c r="T21" s="2128" t="s">
        <v>2056</v>
      </c>
      <c r="U21" s="2129"/>
      <c r="V21" s="2129"/>
      <c r="W21" s="2129"/>
      <c r="X21" s="2134"/>
      <c r="Y21" s="2135"/>
      <c r="Z21" s="2135"/>
      <c r="AA21" s="2136"/>
    </row>
    <row r="22" spans="1:27" ht="13.5" customHeight="1" x14ac:dyDescent="0.2">
      <c r="A22" s="84" t="s">
        <v>527</v>
      </c>
      <c r="B22" s="56"/>
      <c r="C22" s="56"/>
      <c r="D22" s="56"/>
      <c r="E22" s="56"/>
      <c r="F22" s="56"/>
      <c r="G22" s="56"/>
      <c r="H22" s="57"/>
      <c r="I22" s="2095" t="s">
        <v>1411</v>
      </c>
      <c r="J22" s="2096"/>
      <c r="K22" s="2096"/>
      <c r="L22" s="2096"/>
      <c r="M22" s="2096"/>
      <c r="N22" s="2096"/>
      <c r="O22" s="2096"/>
      <c r="P22" s="2096"/>
      <c r="Q22" s="2096"/>
      <c r="R22" s="2096"/>
      <c r="S22" s="2097"/>
      <c r="T22" s="82" t="s">
        <v>1498</v>
      </c>
      <c r="U22" s="48"/>
      <c r="V22" s="69"/>
      <c r="W22" s="48"/>
      <c r="X22" s="155" t="s">
        <v>1306</v>
      </c>
      <c r="Z22" s="43"/>
      <c r="AA22" s="44"/>
    </row>
    <row r="23" spans="1:27" ht="13.5" customHeight="1" x14ac:dyDescent="0.2">
      <c r="A23" s="2090" t="s">
        <v>2072</v>
      </c>
      <c r="B23" s="2091"/>
      <c r="C23" s="2091"/>
      <c r="D23" s="2091"/>
      <c r="E23" s="2091"/>
      <c r="F23" s="2091"/>
      <c r="G23" s="2091"/>
      <c r="H23" s="2092"/>
      <c r="T23" s="2073" t="s">
        <v>2057</v>
      </c>
      <c r="U23" s="2127"/>
      <c r="V23" s="2127"/>
      <c r="W23" s="2127"/>
      <c r="X23" s="2131">
        <v>44530</v>
      </c>
      <c r="Y23" s="2132"/>
      <c r="Z23" s="2132"/>
      <c r="AA23" s="2133"/>
    </row>
    <row r="24" spans="1:27" ht="14.1" customHeight="1" x14ac:dyDescent="0.2">
      <c r="A24" s="85" t="s">
        <v>671</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527</v>
      </c>
      <c r="U24" s="103"/>
      <c r="V24" s="103"/>
      <c r="W24" s="103"/>
      <c r="X24" s="104"/>
      <c r="Y24" s="104"/>
      <c r="Z24" s="104"/>
      <c r="AA24" s="105"/>
    </row>
    <row r="25" spans="1:27" ht="14.1" customHeight="1" x14ac:dyDescent="0.2">
      <c r="A25" s="2037">
        <v>62801</v>
      </c>
      <c r="B25" s="2038"/>
      <c r="C25" s="2038"/>
      <c r="D25" s="2038"/>
      <c r="E25" s="2038"/>
      <c r="F25" s="2038"/>
      <c r="G25" s="2038"/>
      <c r="H25" s="2039"/>
      <c r="I25" s="110"/>
      <c r="J25" s="2062"/>
      <c r="K25" s="2062"/>
      <c r="L25" s="2062"/>
      <c r="M25" s="2062"/>
      <c r="N25" s="2062"/>
      <c r="O25" s="2062"/>
      <c r="P25" s="2062"/>
      <c r="Q25" s="2062"/>
      <c r="R25" s="2062"/>
      <c r="S25" s="2063"/>
      <c r="T25" s="2124" t="s">
        <v>2058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8" t="s">
        <v>1493</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2050</v>
      </c>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144" t="s">
        <v>2050</v>
      </c>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3" t="s">
        <v>2073</v>
      </c>
      <c r="B38" s="2074"/>
      <c r="C38" s="2074"/>
      <c r="D38" s="2074"/>
      <c r="E38" s="2074"/>
      <c r="F38" s="2038"/>
      <c r="G38" s="2038"/>
      <c r="H38" s="2039"/>
      <c r="I38" s="2066"/>
      <c r="J38" s="2067"/>
      <c r="K38" s="2067"/>
      <c r="L38" s="2067"/>
      <c r="M38" s="2067"/>
      <c r="N38" s="2067"/>
      <c r="O38" s="2067"/>
      <c r="P38" s="2068"/>
      <c r="Q38" s="2068"/>
      <c r="R38" s="2068"/>
      <c r="S38" s="2069"/>
      <c r="T38" s="2110" t="s">
        <v>2059</v>
      </c>
      <c r="U38" s="2067"/>
      <c r="V38" s="2067"/>
      <c r="W38" s="2067"/>
      <c r="X38" s="2068"/>
      <c r="Y38" s="2068"/>
      <c r="Z38" s="2068"/>
      <c r="AA38" s="2069"/>
    </row>
    <row r="39" spans="1:27" ht="12" customHeight="1" x14ac:dyDescent="0.2">
      <c r="A39" s="2043" t="s">
        <v>527</v>
      </c>
      <c r="B39" s="2044"/>
      <c r="C39" s="69"/>
      <c r="D39" s="66"/>
      <c r="E39" s="66"/>
      <c r="F39" s="76"/>
      <c r="G39" s="66"/>
      <c r="H39" s="53"/>
      <c r="I39" s="2043" t="s">
        <v>527</v>
      </c>
      <c r="J39" s="2044"/>
      <c r="K39" s="2044"/>
      <c r="L39" s="2044"/>
      <c r="M39" s="2044"/>
      <c r="N39" s="64"/>
      <c r="O39" s="69"/>
      <c r="P39" s="69"/>
      <c r="Q39" s="75"/>
      <c r="R39" s="69"/>
      <c r="S39" s="53"/>
      <c r="T39" s="69" t="s">
        <v>527</v>
      </c>
      <c r="U39" s="48"/>
      <c r="V39" s="69"/>
      <c r="W39" s="47"/>
      <c r="X39" s="75"/>
      <c r="Y39" s="43"/>
      <c r="Z39" s="43"/>
      <c r="AA39" s="44"/>
    </row>
    <row r="40" spans="1:27" ht="13.5" customHeight="1" x14ac:dyDescent="0.2">
      <c r="A40" s="2051" t="s">
        <v>2072</v>
      </c>
      <c r="B40" s="2052"/>
      <c r="C40" s="2053"/>
      <c r="D40" s="2053"/>
      <c r="E40" s="2053"/>
      <c r="F40" s="2054"/>
      <c r="G40" s="2054"/>
      <c r="H40" s="2055"/>
      <c r="I40" s="2076"/>
      <c r="J40" s="2077"/>
      <c r="K40" s="2077"/>
      <c r="L40" s="2077"/>
      <c r="M40" s="2077"/>
      <c r="N40" s="2077"/>
      <c r="O40" s="2077"/>
      <c r="P40" s="2077"/>
      <c r="Q40" s="2077"/>
      <c r="R40" s="2077"/>
      <c r="S40" s="2078"/>
      <c r="T40" s="2076" t="s">
        <v>2060</v>
      </c>
      <c r="U40" s="2130"/>
      <c r="V40" s="2077"/>
      <c r="W40" s="2077"/>
      <c r="X40" s="2077"/>
      <c r="Y40" s="2077"/>
      <c r="Z40" s="2077"/>
      <c r="AA40" s="207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5" t="s">
        <v>2074</v>
      </c>
      <c r="B42" s="2057"/>
      <c r="C42" s="2058"/>
      <c r="D42" s="2056" t="s">
        <v>2075</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I42" sqref="I42:O4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8"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3"/>
      <c r="C3" s="1294"/>
      <c r="D3" s="1295" t="s">
        <v>254</v>
      </c>
      <c r="E3" s="1294"/>
      <c r="F3" s="1295" t="s">
        <v>255</v>
      </c>
    </row>
    <row r="4" spans="1:8" ht="13.7" customHeight="1" x14ac:dyDescent="0.2">
      <c r="A4" s="579" t="s">
        <v>1144</v>
      </c>
      <c r="B4" s="1720">
        <f>'Revenues 9-14'!C5</f>
        <v>206928</v>
      </c>
      <c r="C4" s="1721"/>
      <c r="D4" s="1722">
        <f>B4-C4</f>
        <v>206928</v>
      </c>
      <c r="E4" s="1721">
        <v>214353</v>
      </c>
      <c r="F4" s="1722">
        <f>E4-C4</f>
        <v>214353</v>
      </c>
    </row>
    <row r="5" spans="1:8" ht="13.7" customHeight="1" x14ac:dyDescent="0.2">
      <c r="A5" s="579" t="s">
        <v>864</v>
      </c>
      <c r="B5" s="1723">
        <f>'Revenues 9-14'!D5</f>
        <v>30221</v>
      </c>
      <c r="C5" s="1663"/>
      <c r="D5" s="1724">
        <f t="shared" ref="D5:D18" si="0">B5-C5</f>
        <v>30221</v>
      </c>
      <c r="E5" s="1663">
        <v>31307</v>
      </c>
      <c r="F5" s="1724">
        <f>E5-C5</f>
        <v>31307</v>
      </c>
    </row>
    <row r="6" spans="1:8" ht="13.7" customHeight="1" x14ac:dyDescent="0.2">
      <c r="A6" s="579" t="s">
        <v>407</v>
      </c>
      <c r="B6" s="1723">
        <f>'Revenues 9-14'!E5</f>
        <v>74753</v>
      </c>
      <c r="C6" s="1663"/>
      <c r="D6" s="1724">
        <f t="shared" si="0"/>
        <v>74753</v>
      </c>
      <c r="E6" s="1663">
        <v>75042</v>
      </c>
      <c r="F6" s="1724">
        <f t="shared" ref="F6:F18" si="1">E6-C6</f>
        <v>75042</v>
      </c>
    </row>
    <row r="7" spans="1:8" ht="13.7" customHeight="1" x14ac:dyDescent="0.2">
      <c r="A7" s="579" t="s">
        <v>154</v>
      </c>
      <c r="B7" s="1723">
        <f>'Revenues 9-14'!F5</f>
        <v>19882</v>
      </c>
      <c r="C7" s="1663"/>
      <c r="D7" s="1724">
        <f t="shared" si="0"/>
        <v>19882</v>
      </c>
      <c r="E7" s="1663">
        <v>20598</v>
      </c>
      <c r="F7" s="1724">
        <f t="shared" si="1"/>
        <v>20598</v>
      </c>
    </row>
    <row r="8" spans="1:8" ht="13.7" customHeight="1" x14ac:dyDescent="0.2">
      <c r="A8" s="579" t="s">
        <v>1168</v>
      </c>
      <c r="B8" s="1723">
        <f>'Revenues 9-14'!G5</f>
        <v>40994</v>
      </c>
      <c r="C8" s="1663"/>
      <c r="D8" s="1724">
        <f t="shared" si="0"/>
        <v>40994</v>
      </c>
      <c r="E8" s="1663">
        <v>42468</v>
      </c>
      <c r="F8" s="1724">
        <f t="shared" si="1"/>
        <v>42468</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0</v>
      </c>
      <c r="C10" s="1663"/>
      <c r="D10" s="1724">
        <f t="shared" si="0"/>
        <v>0</v>
      </c>
      <c r="E10" s="1663"/>
      <c r="F10" s="1724">
        <f t="shared" si="1"/>
        <v>0</v>
      </c>
    </row>
    <row r="11" spans="1:8" x14ac:dyDescent="0.2">
      <c r="A11" s="579" t="s">
        <v>405</v>
      </c>
      <c r="B11" s="1723">
        <f>'Revenues 9-14'!J5</f>
        <v>12568</v>
      </c>
      <c r="C11" s="1663"/>
      <c r="D11" s="1724">
        <f t="shared" si="0"/>
        <v>12568</v>
      </c>
      <c r="E11" s="1663">
        <v>13021</v>
      </c>
      <c r="F11" s="1724">
        <f t="shared" si="1"/>
        <v>13021</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929</v>
      </c>
      <c r="B13" s="1723">
        <f>SUM('Revenues 9-14'!C6:D6)</f>
        <v>0</v>
      </c>
      <c r="C13" s="1663"/>
      <c r="D13" s="1724">
        <f t="shared" si="0"/>
        <v>0</v>
      </c>
      <c r="E13" s="1663"/>
      <c r="F13" s="1724">
        <f t="shared" si="1"/>
        <v>0</v>
      </c>
    </row>
    <row r="14" spans="1:8" ht="13.7" customHeight="1" x14ac:dyDescent="0.2">
      <c r="A14" s="579" t="s">
        <v>406</v>
      </c>
      <c r="B14" s="1723">
        <f>SUM('Revenues 9-14'!C7:D7,'Revenues 9-14'!F7:H7)</f>
        <v>0</v>
      </c>
      <c r="C14" s="1663"/>
      <c r="D14" s="1724">
        <f t="shared" si="0"/>
        <v>0</v>
      </c>
      <c r="E14" s="1663"/>
      <c r="F14" s="1724">
        <f t="shared" si="1"/>
        <v>0</v>
      </c>
    </row>
    <row r="15" spans="1:8" ht="13.7" customHeight="1" x14ac:dyDescent="0.2">
      <c r="A15" s="579" t="s">
        <v>1147</v>
      </c>
      <c r="B15" s="1723">
        <f>SUM('Revenues 9-14'!D9:E9,'Revenues 9-14'!H9)</f>
        <v>0</v>
      </c>
      <c r="C15" s="1663"/>
      <c r="D15" s="1724">
        <f t="shared" si="0"/>
        <v>0</v>
      </c>
      <c r="E15" s="1663"/>
      <c r="F15" s="1724">
        <f t="shared" si="1"/>
        <v>0</v>
      </c>
    </row>
    <row r="16" spans="1:8" ht="13.7" customHeight="1" x14ac:dyDescent="0.2">
      <c r="A16" s="579" t="s">
        <v>1148</v>
      </c>
      <c r="B16" s="1723">
        <f>'Revenues 9-14'!G8</f>
        <v>24566</v>
      </c>
      <c r="C16" s="1663"/>
      <c r="D16" s="1724">
        <f t="shared" si="0"/>
        <v>24566</v>
      </c>
      <c r="E16" s="1663">
        <v>25449</v>
      </c>
      <c r="F16" s="1724">
        <f t="shared" si="1"/>
        <v>25449</v>
      </c>
    </row>
    <row r="17" spans="1:6" ht="13.7" customHeight="1" x14ac:dyDescent="0.2">
      <c r="A17" s="579" t="s">
        <v>1149</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1" t="s">
        <v>1150</v>
      </c>
      <c r="B19" s="1725">
        <f>SUM(B4:B18)</f>
        <v>409912</v>
      </c>
      <c r="C19" s="1725">
        <f>SUM(C4:C18)</f>
        <v>0</v>
      </c>
      <c r="D19" s="1725">
        <f>SUM(D4:D18)</f>
        <v>409912</v>
      </c>
      <c r="E19" s="1725">
        <f>SUM(E4:E18)</f>
        <v>422238</v>
      </c>
      <c r="F19" s="1725">
        <f>SUM(F4:F18)</f>
        <v>422238</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2" colorId="8" zoomScale="110" zoomScaleNormal="110" workbookViewId="0">
      <selection activeCell="I42" sqref="I42:O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624</v>
      </c>
      <c r="B1" s="2308"/>
      <c r="C1" s="585"/>
    </row>
    <row r="2" spans="1:7" ht="33.75" x14ac:dyDescent="0.2">
      <c r="A2" s="2315" t="s">
        <v>1778</v>
      </c>
      <c r="B2" s="231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7" t="s">
        <v>1103</v>
      </c>
      <c r="B3" s="2318"/>
      <c r="C3" s="2311"/>
      <c r="D3" s="2312"/>
      <c r="E3" s="2312"/>
      <c r="F3" s="2313"/>
    </row>
    <row r="4" spans="1:7" ht="12.75" customHeight="1" thickBot="1" x14ac:dyDescent="0.25">
      <c r="A4" s="2305" t="s">
        <v>625</v>
      </c>
      <c r="B4" s="2306"/>
      <c r="C4" s="1655"/>
      <c r="D4" s="1655"/>
      <c r="E4" s="1655"/>
      <c r="F4" s="1731">
        <f>SUM(C4+D4)-E4</f>
        <v>0</v>
      </c>
    </row>
    <row r="5" spans="1:7" ht="15.75" customHeight="1" thickTop="1" x14ac:dyDescent="0.2">
      <c r="A5" s="2309" t="s">
        <v>1100</v>
      </c>
      <c r="B5" s="2304"/>
      <c r="C5" s="2298"/>
      <c r="D5" s="2299"/>
      <c r="E5" s="2299"/>
      <c r="F5" s="230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1146</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01" t="s">
        <v>626</v>
      </c>
      <c r="B15" s="2302"/>
      <c r="C15" s="1731">
        <f>SUM(C6:C14)</f>
        <v>0</v>
      </c>
      <c r="D15" s="1731">
        <f>SUM(D6:D14)</f>
        <v>0</v>
      </c>
      <c r="E15" s="1731">
        <f>SUM(E6:E14)</f>
        <v>0</v>
      </c>
      <c r="F15" s="1731">
        <f>SUM(F6:F14)</f>
        <v>0</v>
      </c>
      <c r="G15" s="473"/>
    </row>
    <row r="16" spans="1:7" s="197" customFormat="1" ht="15.75" customHeight="1" thickTop="1" x14ac:dyDescent="0.2">
      <c r="A16" s="2314" t="s">
        <v>1101</v>
      </c>
      <c r="B16" s="2304"/>
      <c r="C16" s="2298"/>
      <c r="D16" s="2299"/>
      <c r="E16" s="2299"/>
      <c r="F16" s="2300"/>
    </row>
    <row r="17" spans="1:11" ht="12.75" customHeight="1" thickBot="1" x14ac:dyDescent="0.25">
      <c r="A17" s="2296" t="s">
        <v>64</v>
      </c>
      <c r="B17" s="2297"/>
      <c r="C17" s="1732"/>
      <c r="D17" s="1663"/>
      <c r="E17" s="1732"/>
      <c r="F17" s="1731">
        <f>SUM(C17+D17)-E17</f>
        <v>0</v>
      </c>
    </row>
    <row r="18" spans="1:11" ht="12.75" customHeight="1" thickTop="1" thickBot="1" x14ac:dyDescent="0.25">
      <c r="A18" s="2296" t="s">
        <v>6</v>
      </c>
      <c r="B18" s="2297"/>
      <c r="C18" s="1732"/>
      <c r="D18" s="1663"/>
      <c r="E18" s="1732"/>
      <c r="F18" s="1731">
        <f>SUM(C18+D18)-E18</f>
        <v>0</v>
      </c>
    </row>
    <row r="19" spans="1:11" ht="12.75" customHeight="1" thickTop="1" thickBot="1" x14ac:dyDescent="0.25">
      <c r="A19" s="2296" t="s">
        <v>384</v>
      </c>
      <c r="B19" s="2297"/>
      <c r="C19" s="1732"/>
      <c r="D19" s="1663"/>
      <c r="E19" s="1732"/>
      <c r="F19" s="1731">
        <f>SUM(C19+D19)-E19</f>
        <v>0</v>
      </c>
    </row>
    <row r="20" spans="1:11" ht="12.75" customHeight="1" thickTop="1" thickBot="1" x14ac:dyDescent="0.25">
      <c r="A20" s="2296" t="s">
        <v>444</v>
      </c>
      <c r="B20" s="2297"/>
      <c r="C20" s="1732"/>
      <c r="D20" s="1663"/>
      <c r="E20" s="1732"/>
      <c r="F20" s="1731">
        <f>SUM(C20+D20)-E20</f>
        <v>0</v>
      </c>
    </row>
    <row r="21" spans="1:11" ht="14.25" thickTop="1" thickBot="1" x14ac:dyDescent="0.25">
      <c r="A21" s="2301" t="s">
        <v>627</v>
      </c>
      <c r="B21" s="2302"/>
      <c r="C21" s="1731">
        <f>SUM(C17:C20)</f>
        <v>0</v>
      </c>
      <c r="D21" s="1731">
        <f>SUM(D17:D20)</f>
        <v>0</v>
      </c>
      <c r="E21" s="1731">
        <f>SUM(E17:E20)</f>
        <v>0</v>
      </c>
      <c r="F21" s="1731">
        <f>SUM(F17:F20)</f>
        <v>0</v>
      </c>
      <c r="G21" s="473"/>
    </row>
    <row r="22" spans="1:11" ht="15.75" customHeight="1" thickTop="1" x14ac:dyDescent="0.2">
      <c r="A22" s="2303" t="s">
        <v>1102</v>
      </c>
      <c r="B22" s="2304"/>
      <c r="C22" s="2298"/>
      <c r="D22" s="2299"/>
      <c r="E22" s="2299"/>
      <c r="F22" s="2300"/>
    </row>
    <row r="23" spans="1:11" ht="13.5" thickBot="1" x14ac:dyDescent="0.25">
      <c r="A23" s="2305" t="s">
        <v>628</v>
      </c>
      <c r="B23" s="2306"/>
      <c r="C23" s="1655"/>
      <c r="D23" s="1655"/>
      <c r="E23" s="1655"/>
      <c r="F23" s="1731">
        <f>SUM(C23+D23)-E23</f>
        <v>0</v>
      </c>
      <c r="G23" s="473"/>
    </row>
    <row r="24" spans="1:11" ht="15.75" customHeight="1" thickTop="1" x14ac:dyDescent="0.2">
      <c r="A24" s="2303" t="s">
        <v>2005</v>
      </c>
      <c r="B24" s="2304"/>
      <c r="C24" s="2298"/>
      <c r="D24" s="2299"/>
      <c r="E24" s="2299"/>
      <c r="F24" s="2300"/>
    </row>
    <row r="25" spans="1:11" ht="13.5" thickBot="1" x14ac:dyDescent="0.25">
      <c r="A25" s="2305" t="s">
        <v>2006</v>
      </c>
      <c r="B25" s="2306"/>
      <c r="C25" s="1655"/>
      <c r="D25" s="1655"/>
      <c r="E25" s="1655"/>
      <c r="F25" s="1731">
        <f>SUM(C25+D25)-E25</f>
        <v>0</v>
      </c>
      <c r="G25" s="473"/>
    </row>
    <row r="26" spans="1:11" ht="15.75" customHeight="1" thickTop="1" x14ac:dyDescent="0.2">
      <c r="A26" s="2309" t="s">
        <v>651</v>
      </c>
      <c r="B26" s="2304"/>
      <c r="C26" s="589"/>
      <c r="D26" s="589"/>
      <c r="E26" s="589"/>
      <c r="F26" s="590"/>
    </row>
    <row r="27" spans="1:11" ht="13.5" thickBot="1" x14ac:dyDescent="0.25">
      <c r="A27" s="2301" t="s">
        <v>1060</v>
      </c>
      <c r="B27" s="2302"/>
      <c r="C27" s="1663"/>
      <c r="D27" s="1663"/>
      <c r="E27" s="1663"/>
      <c r="F27" s="1731">
        <f>SUM(C27+D27)-E27</f>
        <v>0</v>
      </c>
      <c r="G27" s="473"/>
    </row>
    <row r="28" spans="1:11" ht="7.5" customHeight="1" thickTop="1" x14ac:dyDescent="0.2">
      <c r="A28" s="489"/>
    </row>
    <row r="29" spans="1:11" ht="23.25" customHeight="1" x14ac:dyDescent="0.2">
      <c r="A29" s="2307" t="s">
        <v>577</v>
      </c>
      <c r="B29" s="2308"/>
      <c r="C29" s="591"/>
      <c r="D29" s="591"/>
      <c r="E29" s="591"/>
      <c r="F29" s="591"/>
      <c r="G29" s="591"/>
      <c r="H29" s="591"/>
      <c r="I29" s="591"/>
      <c r="J29" s="591"/>
    </row>
    <row r="30" spans="1:11" ht="33.75" x14ac:dyDescent="0.2">
      <c r="A30" s="1296" t="s">
        <v>1061</v>
      </c>
      <c r="B30" s="592" t="s">
        <v>1113</v>
      </c>
      <c r="C30" s="592" t="s">
        <v>578</v>
      </c>
      <c r="D30" s="592" t="s">
        <v>1653</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2077</v>
      </c>
      <c r="B32" s="595">
        <v>41334</v>
      </c>
      <c r="C32" s="1733">
        <v>155000</v>
      </c>
      <c r="D32" s="1734">
        <v>4</v>
      </c>
      <c r="E32" s="1733">
        <v>17000</v>
      </c>
      <c r="F32" s="1733"/>
      <c r="G32" s="1733"/>
      <c r="H32" s="1733">
        <v>17000</v>
      </c>
      <c r="I32" s="1735">
        <f>((E32+F32)-H32)+G32</f>
        <v>0</v>
      </c>
      <c r="J32" s="1733">
        <v>0</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2078</v>
      </c>
      <c r="B34" s="595">
        <v>42129</v>
      </c>
      <c r="C34" s="1733">
        <v>300000</v>
      </c>
      <c r="D34" s="1734">
        <v>1</v>
      </c>
      <c r="E34" s="1733">
        <v>300000</v>
      </c>
      <c r="F34" s="1733"/>
      <c r="G34" s="1733"/>
      <c r="H34" s="1733">
        <v>41000</v>
      </c>
      <c r="I34" s="1735">
        <f t="shared" si="1"/>
        <v>259000</v>
      </c>
      <c r="J34" s="1733">
        <v>176022</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t="s">
        <v>2079</v>
      </c>
      <c r="B36" s="595">
        <v>43731</v>
      </c>
      <c r="C36" s="1733">
        <v>176832</v>
      </c>
      <c r="D36" s="1734">
        <v>7</v>
      </c>
      <c r="E36" s="1733"/>
      <c r="F36" s="1733">
        <v>176832</v>
      </c>
      <c r="G36" s="1733"/>
      <c r="H36" s="1733">
        <v>36385</v>
      </c>
      <c r="I36" s="1735">
        <f t="shared" si="1"/>
        <v>140447</v>
      </c>
      <c r="J36" s="1733">
        <v>140447</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t="s">
        <v>2081</v>
      </c>
      <c r="B38" s="595">
        <v>43791</v>
      </c>
      <c r="C38" s="1733">
        <v>67818</v>
      </c>
      <c r="D38" s="1738">
        <v>8</v>
      </c>
      <c r="E38" s="1739"/>
      <c r="F38" s="1739">
        <v>67818</v>
      </c>
      <c r="G38" s="1739"/>
      <c r="H38" s="1739">
        <v>19469</v>
      </c>
      <c r="I38" s="1735">
        <f t="shared" si="1"/>
        <v>48349</v>
      </c>
      <c r="J38" s="1740">
        <v>48349</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699650</v>
      </c>
      <c r="D49" s="1741"/>
      <c r="E49" s="1735">
        <f t="shared" ref="E49:J49" si="2">SUM(E31:E48)</f>
        <v>317000</v>
      </c>
      <c r="F49" s="1735">
        <f t="shared" si="2"/>
        <v>244650</v>
      </c>
      <c r="G49" s="1735">
        <f t="shared" si="2"/>
        <v>0</v>
      </c>
      <c r="H49" s="1735">
        <f t="shared" si="2"/>
        <v>113854</v>
      </c>
      <c r="I49" s="1735">
        <f t="shared" si="2"/>
        <v>447796</v>
      </c>
      <c r="J49" s="1735">
        <f t="shared" si="2"/>
        <v>364818</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0" t="s">
        <v>579</v>
      </c>
      <c r="C52" s="2291"/>
      <c r="D52" s="2291"/>
      <c r="E52" s="603" t="s">
        <v>839</v>
      </c>
      <c r="F52" s="2292" t="s">
        <v>2080</v>
      </c>
      <c r="G52" s="2293"/>
      <c r="H52" s="596"/>
      <c r="I52" s="596"/>
      <c r="J52" s="600"/>
    </row>
    <row r="53" spans="1:11" ht="11.25" customHeight="1" x14ac:dyDescent="0.2">
      <c r="A53" s="604" t="s">
        <v>906</v>
      </c>
      <c r="B53" s="605" t="s">
        <v>944</v>
      </c>
      <c r="C53" s="600"/>
      <c r="D53" s="597"/>
      <c r="E53" s="603" t="s">
        <v>493</v>
      </c>
      <c r="F53" s="2294" t="s">
        <v>2082</v>
      </c>
      <c r="G53" s="2295"/>
      <c r="H53" s="596"/>
      <c r="I53" s="596"/>
      <c r="J53" s="600"/>
    </row>
    <row r="54" spans="1:11" ht="11.25" customHeight="1" x14ac:dyDescent="0.2">
      <c r="A54" s="606" t="s">
        <v>907</v>
      </c>
      <c r="B54" s="601" t="s">
        <v>945</v>
      </c>
      <c r="C54" s="600"/>
      <c r="D54" s="597"/>
      <c r="E54" s="603" t="s">
        <v>494</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42" sqref="I42:O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850</v>
      </c>
      <c r="B1" s="2320"/>
      <c r="C1" s="2320"/>
      <c r="D1" s="2320"/>
      <c r="E1" s="2320"/>
      <c r="F1" s="2320"/>
      <c r="G1" s="2321"/>
      <c r="H1" s="1297"/>
      <c r="I1" s="614"/>
      <c r="J1" s="400"/>
    </row>
    <row r="2" spans="1:11" ht="26.25" x14ac:dyDescent="0.2">
      <c r="A2" s="2338" t="s">
        <v>1657</v>
      </c>
      <c r="B2" s="2339"/>
      <c r="C2" s="2339"/>
      <c r="D2" s="2339"/>
      <c r="E2" s="2340"/>
      <c r="F2" s="615" t="s">
        <v>897</v>
      </c>
      <c r="G2" s="616" t="s">
        <v>1654</v>
      </c>
      <c r="H2" s="616" t="s">
        <v>406</v>
      </c>
      <c r="I2" s="616" t="s">
        <v>1147</v>
      </c>
      <c r="J2" s="616" t="s">
        <v>1788</v>
      </c>
      <c r="K2" s="616" t="s">
        <v>137</v>
      </c>
    </row>
    <row r="3" spans="1:11" x14ac:dyDescent="0.2">
      <c r="A3" s="2341" t="str">
        <f>"Cash Basis Fund Balance as of July 1, "&amp;'AFR20'!E2-1</f>
        <v>Cash Basis Fund Balance as of July 1, 2019</v>
      </c>
      <c r="B3" s="2342"/>
      <c r="C3" s="2342"/>
      <c r="D3" s="2342"/>
      <c r="E3" s="2343"/>
      <c r="F3" s="617"/>
      <c r="G3" s="1743">
        <v>0</v>
      </c>
      <c r="H3" s="1743">
        <v>0</v>
      </c>
      <c r="I3" s="1743">
        <v>0</v>
      </c>
      <c r="J3" s="1744">
        <v>0</v>
      </c>
      <c r="K3" s="1744">
        <v>0</v>
      </c>
    </row>
    <row r="4" spans="1:11" x14ac:dyDescent="0.2">
      <c r="A4" s="2344" t="s">
        <v>365</v>
      </c>
      <c r="B4" s="2345"/>
      <c r="C4" s="2345"/>
      <c r="D4" s="2345"/>
      <c r="E4" s="2291"/>
      <c r="F4" s="620"/>
      <c r="G4" s="1745"/>
      <c r="H4" s="1746"/>
      <c r="I4" s="1745"/>
      <c r="J4" s="1747"/>
      <c r="K4" s="1747"/>
    </row>
    <row r="5" spans="1:11" x14ac:dyDescent="0.2">
      <c r="A5" s="2322" t="s">
        <v>1059</v>
      </c>
      <c r="B5" s="2323"/>
      <c r="C5" s="2323"/>
      <c r="D5" s="2323"/>
      <c r="E5" s="2324"/>
      <c r="F5" s="622" t="s">
        <v>842</v>
      </c>
      <c r="G5" s="1748"/>
      <c r="H5" s="1743"/>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row>
    <row r="10" spans="1:11" x14ac:dyDescent="0.2">
      <c r="A10" s="2322" t="s">
        <v>1789</v>
      </c>
      <c r="B10" s="2323"/>
      <c r="C10" s="2323"/>
      <c r="D10" s="2323"/>
      <c r="E10" s="2325"/>
      <c r="F10" s="633" t="s">
        <v>856</v>
      </c>
      <c r="G10" s="1752"/>
      <c r="H10" s="1753"/>
      <c r="I10" s="1743"/>
      <c r="J10" s="1744"/>
      <c r="K10" s="1744"/>
    </row>
    <row r="11" spans="1:11" x14ac:dyDescent="0.2">
      <c r="A11" s="2322" t="s">
        <v>159</v>
      </c>
      <c r="B11" s="2323"/>
      <c r="C11" s="2323"/>
      <c r="D11" s="2323"/>
      <c r="E11" s="2324"/>
      <c r="F11" s="622" t="s">
        <v>846</v>
      </c>
      <c r="G11" s="1748"/>
      <c r="H11" s="1743"/>
      <c r="I11" s="1743"/>
      <c r="J11" s="1744"/>
      <c r="K11" s="1750"/>
    </row>
    <row r="12" spans="1:11" ht="13.5" thickBot="1" x14ac:dyDescent="0.25">
      <c r="A12" s="2349" t="s">
        <v>898</v>
      </c>
      <c r="B12" s="2350"/>
      <c r="C12" s="2350"/>
      <c r="D12" s="2350"/>
      <c r="E12" s="2351"/>
      <c r="F12" s="1432"/>
      <c r="G12" s="1754">
        <f>SUM(G5:G11)</f>
        <v>0</v>
      </c>
      <c r="H12" s="1754">
        <f>SUM(H5:H11)</f>
        <v>0</v>
      </c>
      <c r="I12" s="1754">
        <f>SUM(I5:I11)</f>
        <v>0</v>
      </c>
      <c r="J12" s="1754">
        <f>SUM(J5:J11)</f>
        <v>0</v>
      </c>
      <c r="K12" s="1754">
        <f>SUM(K5:K11)</f>
        <v>0</v>
      </c>
    </row>
    <row r="13" spans="1:11" ht="13.5" thickTop="1" x14ac:dyDescent="0.2">
      <c r="A13" s="2346" t="s">
        <v>366</v>
      </c>
      <c r="B13" s="2347"/>
      <c r="C13" s="2347"/>
      <c r="D13" s="2347"/>
      <c r="E13" s="2348"/>
      <c r="F13" s="634"/>
      <c r="G13" s="1755"/>
      <c r="H13" s="1756"/>
      <c r="I13" s="1757"/>
      <c r="J13" s="1757"/>
      <c r="K13" s="1757"/>
    </row>
    <row r="14" spans="1:11" x14ac:dyDescent="0.2">
      <c r="A14" s="2329" t="s">
        <v>452</v>
      </c>
      <c r="B14" s="2329"/>
      <c r="C14" s="2329"/>
      <c r="D14" s="2329"/>
      <c r="E14" s="2330"/>
      <c r="F14" s="635" t="s">
        <v>848</v>
      </c>
      <c r="G14" s="1752"/>
      <c r="H14" s="1743"/>
      <c r="I14" s="1748"/>
      <c r="J14" s="1750"/>
      <c r="K14" s="1744"/>
    </row>
    <row r="15" spans="1:11" x14ac:dyDescent="0.2">
      <c r="A15" s="2323" t="s">
        <v>4</v>
      </c>
      <c r="B15" s="2323"/>
      <c r="C15" s="2323"/>
      <c r="D15" s="2323"/>
      <c r="E15" s="2324"/>
      <c r="F15" s="635" t="s">
        <v>849</v>
      </c>
      <c r="G15" s="1748"/>
      <c r="H15" s="1743"/>
      <c r="I15" s="1743"/>
      <c r="J15" s="1744"/>
      <c r="K15" s="1744"/>
    </row>
    <row r="16" spans="1:11" x14ac:dyDescent="0.2">
      <c r="A16" s="2323" t="s">
        <v>294</v>
      </c>
      <c r="B16" s="2323"/>
      <c r="C16" s="2323"/>
      <c r="D16" s="2323"/>
      <c r="E16" s="2324"/>
      <c r="F16" s="635" t="s">
        <v>916</v>
      </c>
      <c r="G16" s="1749"/>
      <c r="H16" s="1745"/>
      <c r="I16" s="1745"/>
      <c r="J16" s="1747"/>
      <c r="K16" s="1747"/>
    </row>
    <row r="17" spans="1:15" x14ac:dyDescent="0.2">
      <c r="A17" s="2356" t="s">
        <v>928</v>
      </c>
      <c r="B17" s="2356"/>
      <c r="C17" s="2356"/>
      <c r="D17" s="2356"/>
      <c r="E17" s="2357"/>
      <c r="F17" s="636"/>
      <c r="G17" s="1758"/>
      <c r="H17" s="1759"/>
      <c r="I17" s="1759"/>
      <c r="J17" s="1760"/>
      <c r="K17" s="1761"/>
    </row>
    <row r="18" spans="1:15" x14ac:dyDescent="0.2">
      <c r="A18" s="2333" t="s">
        <v>364</v>
      </c>
      <c r="B18" s="2334"/>
      <c r="C18" s="2334"/>
      <c r="D18" s="2334"/>
      <c r="E18" s="2335"/>
      <c r="F18" s="635" t="s">
        <v>925</v>
      </c>
      <c r="G18" s="1752"/>
      <c r="H18" s="1752"/>
      <c r="I18" s="1752"/>
      <c r="J18" s="1744"/>
      <c r="K18" s="1762"/>
    </row>
    <row r="19" spans="1:15" ht="21.75" customHeight="1" x14ac:dyDescent="0.2">
      <c r="A19" s="2331" t="s">
        <v>1785</v>
      </c>
      <c r="B19" s="2331"/>
      <c r="C19" s="2331"/>
      <c r="D19" s="2331"/>
      <c r="E19" s="2332"/>
      <c r="F19" s="635" t="s">
        <v>926</v>
      </c>
      <c r="G19" s="1752"/>
      <c r="H19" s="1752"/>
      <c r="I19" s="1752"/>
      <c r="J19" s="1744"/>
      <c r="K19" s="1762"/>
    </row>
    <row r="20" spans="1:15" x14ac:dyDescent="0.2">
      <c r="A20" s="2333" t="s">
        <v>1790</v>
      </c>
      <c r="B20" s="2334"/>
      <c r="C20" s="2334"/>
      <c r="D20" s="2334"/>
      <c r="E20" s="2335"/>
      <c r="F20" s="635" t="s">
        <v>927</v>
      </c>
      <c r="G20" s="1752"/>
      <c r="H20" s="1752"/>
      <c r="I20" s="1752"/>
      <c r="J20" s="1744"/>
      <c r="K20" s="1762"/>
    </row>
    <row r="21" spans="1:15" ht="13.5" thickBot="1" x14ac:dyDescent="0.25">
      <c r="A21" s="2352" t="s">
        <v>632</v>
      </c>
      <c r="B21" s="2352"/>
      <c r="C21" s="2352"/>
      <c r="D21" s="2352"/>
      <c r="E21" s="2352"/>
      <c r="F21" s="1433"/>
      <c r="G21" s="1759"/>
      <c r="H21" s="1763"/>
      <c r="I21" s="1763"/>
      <c r="J21" s="1764">
        <f>SUM(J18:J20)</f>
        <v>0</v>
      </c>
      <c r="K21" s="1760"/>
    </row>
    <row r="22" spans="1:15" ht="13.5" thickTop="1" x14ac:dyDescent="0.2">
      <c r="A22" s="2323" t="s">
        <v>1791</v>
      </c>
      <c r="B22" s="2323"/>
      <c r="C22" s="2323"/>
      <c r="D22" s="2323"/>
      <c r="E22" s="2324"/>
      <c r="F22" s="635" t="s">
        <v>856</v>
      </c>
      <c r="G22" s="1752"/>
      <c r="H22" s="1743"/>
      <c r="I22" s="1743"/>
      <c r="J22" s="1765"/>
      <c r="K22" s="1744"/>
    </row>
    <row r="23" spans="1:15" ht="13.5" thickBot="1" x14ac:dyDescent="0.25">
      <c r="A23" s="2353" t="s">
        <v>899</v>
      </c>
      <c r="B23" s="2352"/>
      <c r="C23" s="2352"/>
      <c r="D23" s="2352"/>
      <c r="E23" s="2352"/>
      <c r="F23" s="1435"/>
      <c r="G23" s="1754">
        <f>SUM(G14:G16,G21,G22)</f>
        <v>0</v>
      </c>
      <c r="H23" s="1754">
        <f>SUM(H14:H16,H21,H22)</f>
        <v>0</v>
      </c>
      <c r="I23" s="1754">
        <f>SUM(I14:I16,I21,I22)</f>
        <v>0</v>
      </c>
      <c r="J23" s="1754">
        <f>SUM(J14:J16,J21,J22)</f>
        <v>0</v>
      </c>
      <c r="K23" s="1754">
        <f>SUM(K14:K16,K21,K22)</f>
        <v>0</v>
      </c>
      <c r="M23" s="1845"/>
      <c r="N23" s="1845"/>
      <c r="O23" s="1845"/>
    </row>
    <row r="24" spans="1:15" ht="14.25" thickTop="1" thickBot="1" x14ac:dyDescent="0.25">
      <c r="A24" s="2354" t="str">
        <f>"Ending Cash Basis Fund Balance as of June 30, "&amp;'AFR20'!E2</f>
        <v>Ending Cash Basis Fund Balance as of June 30, 2020</v>
      </c>
      <c r="B24" s="2355"/>
      <c r="C24" s="2355"/>
      <c r="D24" s="2355"/>
      <c r="E24" s="2355"/>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6"/>
      <c r="I31" s="2327"/>
      <c r="J31" s="2327"/>
      <c r="K31" s="2327"/>
    </row>
    <row r="32" spans="1:15" x14ac:dyDescent="0.2">
      <c r="A32" s="649"/>
      <c r="B32" s="232"/>
      <c r="C32" s="232"/>
      <c r="D32" s="232"/>
      <c r="E32" s="645"/>
      <c r="F32" s="651" t="s">
        <v>536</v>
      </c>
      <c r="G32" s="618"/>
      <c r="H32" s="2328"/>
      <c r="I32" s="2327"/>
      <c r="J32" s="2327"/>
      <c r="K32" s="2327"/>
    </row>
    <row r="33" spans="1:11" ht="1.5" customHeight="1" x14ac:dyDescent="0.2">
      <c r="A33" s="652" t="s">
        <v>1158</v>
      </c>
      <c r="B33" s="341"/>
      <c r="C33" s="341"/>
      <c r="D33" s="341"/>
      <c r="E33" s="341"/>
      <c r="F33" s="341"/>
      <c r="G33" s="653"/>
      <c r="H33" s="2328"/>
      <c r="I33" s="2327"/>
      <c r="J33" s="2327"/>
      <c r="K33" s="2327"/>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3" t="s">
        <v>537</v>
      </c>
      <c r="B41" s="2336"/>
      <c r="C41" s="2336"/>
      <c r="D41" s="2336"/>
      <c r="E41" s="2336"/>
      <c r="F41" s="233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1786</v>
      </c>
      <c r="B46" s="382" t="s">
        <v>1655</v>
      </c>
    </row>
    <row r="47" spans="1:11" s="663" customFormat="1" ht="12.75" customHeight="1" x14ac:dyDescent="0.2">
      <c r="A47" s="661"/>
      <c r="B47" s="662" t="s">
        <v>1656</v>
      </c>
      <c r="E47" s="662"/>
      <c r="K47" s="664"/>
    </row>
    <row r="48" spans="1:11" ht="12.75" customHeight="1" x14ac:dyDescent="0.2">
      <c r="A48" s="1299"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42" sqref="I42:O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1874</v>
      </c>
      <c r="B1" s="2361"/>
      <c r="C1" s="2362"/>
      <c r="D1" s="666"/>
      <c r="E1" s="667"/>
      <c r="F1" s="667"/>
      <c r="G1" s="668"/>
      <c r="H1" s="669"/>
      <c r="I1" s="670"/>
      <c r="J1" s="2358"/>
      <c r="K1" s="2359"/>
      <c r="L1" s="2359"/>
    </row>
    <row r="2" spans="1:14" ht="69.75" customHeight="1" x14ac:dyDescent="0.2">
      <c r="A2" s="671" t="s">
        <v>1658</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885</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886</v>
      </c>
      <c r="B5" s="679">
        <v>221</v>
      </c>
      <c r="C5" s="1769">
        <v>13324</v>
      </c>
      <c r="D5" s="1769"/>
      <c r="E5" s="1769"/>
      <c r="F5" s="1764">
        <f>(C5+D5)-E5</f>
        <v>13324</v>
      </c>
      <c r="G5" s="676"/>
      <c r="H5" s="680"/>
      <c r="I5" s="680"/>
      <c r="J5" s="680"/>
      <c r="K5" s="637"/>
      <c r="L5" s="1441">
        <f>F5-K5</f>
        <v>13324</v>
      </c>
    </row>
    <row r="6" spans="1:14" ht="14.25" thickTop="1" thickBot="1" x14ac:dyDescent="0.25">
      <c r="A6" s="629" t="s">
        <v>1106</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1107</v>
      </c>
      <c r="B8" s="679">
        <v>231</v>
      </c>
      <c r="C8" s="1770">
        <v>4673095</v>
      </c>
      <c r="D8" s="1770">
        <v>214077</v>
      </c>
      <c r="E8" s="1770">
        <v>28562</v>
      </c>
      <c r="F8" s="1764">
        <f>(C8+D8)-E8</f>
        <v>4858610</v>
      </c>
      <c r="G8" s="681">
        <v>50</v>
      </c>
      <c r="H8" s="619">
        <v>2334121</v>
      </c>
      <c r="I8" s="619">
        <v>104974</v>
      </c>
      <c r="J8" s="619">
        <v>18024</v>
      </c>
      <c r="K8" s="1441">
        <f>(H8+I8)-J8</f>
        <v>2421071</v>
      </c>
      <c r="L8" s="1441">
        <f>F8-K8</f>
        <v>2437539</v>
      </c>
    </row>
    <row r="9" spans="1:14" ht="14.25" thickTop="1" thickBot="1" x14ac:dyDescent="0.25">
      <c r="A9" s="629" t="s">
        <v>1108</v>
      </c>
      <c r="B9" s="679">
        <v>232</v>
      </c>
      <c r="C9" s="1744"/>
      <c r="D9" s="1744"/>
      <c r="E9" s="1744"/>
      <c r="F9" s="1764">
        <f>(C9+D9)-E9</f>
        <v>0</v>
      </c>
      <c r="G9" s="681">
        <v>20</v>
      </c>
      <c r="H9" s="619"/>
      <c r="I9" s="619"/>
      <c r="J9" s="619"/>
      <c r="K9" s="1441">
        <f>(H9+I9)-J9</f>
        <v>0</v>
      </c>
      <c r="L9" s="1441">
        <f>F9-K9</f>
        <v>0</v>
      </c>
    </row>
    <row r="10" spans="1:14" ht="24" thickTop="1" thickBot="1" x14ac:dyDescent="0.25">
      <c r="A10" s="682" t="s">
        <v>1109</v>
      </c>
      <c r="B10" s="679">
        <v>240</v>
      </c>
      <c r="C10" s="1771">
        <v>114361</v>
      </c>
      <c r="D10" s="1771"/>
      <c r="E10" s="1771">
        <v>11245</v>
      </c>
      <c r="F10" s="1772">
        <f>(C10+D10)-E10</f>
        <v>103116</v>
      </c>
      <c r="G10" s="681">
        <v>20</v>
      </c>
      <c r="H10" s="683">
        <v>82147</v>
      </c>
      <c r="I10" s="683">
        <v>4216</v>
      </c>
      <c r="J10" s="683">
        <v>11245</v>
      </c>
      <c r="K10" s="1441">
        <f>(H10+I10)-J10</f>
        <v>75118</v>
      </c>
      <c r="L10" s="1441">
        <f>F10-K10</f>
        <v>27998</v>
      </c>
    </row>
    <row r="11" spans="1:14" ht="13.5" thickTop="1" x14ac:dyDescent="0.2">
      <c r="A11" s="1366" t="s">
        <v>1125</v>
      </c>
      <c r="B11" s="1364">
        <v>250</v>
      </c>
      <c r="C11" s="1751"/>
      <c r="D11" s="1751"/>
      <c r="E11" s="1751"/>
      <c r="F11" s="1750"/>
      <c r="G11" s="681"/>
      <c r="H11" s="632"/>
      <c r="I11" s="632"/>
      <c r="J11" s="632"/>
      <c r="K11" s="624"/>
      <c r="L11" s="624"/>
    </row>
    <row r="12" spans="1:14" ht="13.5" thickBot="1" x14ac:dyDescent="0.25">
      <c r="A12" s="684" t="s">
        <v>1110</v>
      </c>
      <c r="B12" s="679">
        <v>251</v>
      </c>
      <c r="C12" s="1770">
        <v>416875</v>
      </c>
      <c r="D12" s="1770">
        <v>213696</v>
      </c>
      <c r="E12" s="1770">
        <v>184273</v>
      </c>
      <c r="F12" s="1764">
        <f>(C12+D12)-E12</f>
        <v>446298</v>
      </c>
      <c r="G12" s="681">
        <v>10</v>
      </c>
      <c r="H12" s="619">
        <v>280987</v>
      </c>
      <c r="I12" s="619">
        <v>31929</v>
      </c>
      <c r="J12" s="619">
        <v>176747</v>
      </c>
      <c r="K12" s="1441">
        <f>(H12+I12)-J12</f>
        <v>136169</v>
      </c>
      <c r="L12" s="1441">
        <f>F12-K12</f>
        <v>310129</v>
      </c>
    </row>
    <row r="13" spans="1:14" ht="14.25" thickTop="1" thickBot="1" x14ac:dyDescent="0.25">
      <c r="A13" s="684" t="s">
        <v>1111</v>
      </c>
      <c r="B13" s="679">
        <v>252</v>
      </c>
      <c r="C13" s="1770">
        <v>91840</v>
      </c>
      <c r="D13" s="1770">
        <v>176832</v>
      </c>
      <c r="E13" s="1770"/>
      <c r="F13" s="1764">
        <f>(C13+D13)-E13</f>
        <v>268672</v>
      </c>
      <c r="G13" s="681">
        <v>5</v>
      </c>
      <c r="H13" s="619">
        <v>91840</v>
      </c>
      <c r="I13" s="619">
        <v>26525</v>
      </c>
      <c r="J13" s="619"/>
      <c r="K13" s="1441">
        <f>(H13+I13)-J13</f>
        <v>118365</v>
      </c>
      <c r="L13" s="1441">
        <f>F13-K13</f>
        <v>150307</v>
      </c>
    </row>
    <row r="14" spans="1:14" ht="14.25" thickTop="1" thickBot="1" x14ac:dyDescent="0.25">
      <c r="A14" s="684" t="s">
        <v>1112</v>
      </c>
      <c r="B14" s="679">
        <v>253</v>
      </c>
      <c r="C14" s="1744">
        <v>3147</v>
      </c>
      <c r="D14" s="1744"/>
      <c r="E14" s="1744"/>
      <c r="F14" s="1764">
        <f>(C14+D14)-E14</f>
        <v>3147</v>
      </c>
      <c r="G14" s="681">
        <v>3</v>
      </c>
      <c r="H14" s="619">
        <v>3147</v>
      </c>
      <c r="I14" s="619"/>
      <c r="J14" s="619"/>
      <c r="K14" s="1441">
        <f>(H14+I14)-J14</f>
        <v>3147</v>
      </c>
      <c r="L14" s="1441">
        <f>F14-K14</f>
        <v>0</v>
      </c>
    </row>
    <row r="15" spans="1:14" ht="15" customHeight="1" thickTop="1" thickBot="1" x14ac:dyDescent="0.25">
      <c r="A15" s="1365" t="s">
        <v>524</v>
      </c>
      <c r="B15" s="1364">
        <v>260</v>
      </c>
      <c r="C15" s="1770"/>
      <c r="D15" s="1770"/>
      <c r="E15" s="1770"/>
      <c r="F15" s="1764">
        <f>(C15+D15)-E15</f>
        <v>0</v>
      </c>
      <c r="G15" s="685" t="s">
        <v>856</v>
      </c>
      <c r="H15" s="632"/>
      <c r="I15" s="632"/>
      <c r="J15" s="632"/>
      <c r="K15" s="632"/>
      <c r="L15" s="1441">
        <f>F15-K15</f>
        <v>0</v>
      </c>
    </row>
    <row r="16" spans="1:14" ht="15" customHeight="1" thickTop="1" thickBot="1" x14ac:dyDescent="0.25">
      <c r="A16" s="1437" t="s">
        <v>637</v>
      </c>
      <c r="B16" s="1438">
        <v>200</v>
      </c>
      <c r="C16" s="1764">
        <f>SUM(C3,C5:C6,C8:C10,C12:C15)</f>
        <v>5312642</v>
      </c>
      <c r="D16" s="1764">
        <f>SUM(D3,D5:D6,D8:D10,D12:D15)</f>
        <v>604605</v>
      </c>
      <c r="E16" s="1764">
        <f>SUM(E3,E5:E6,E8:E10,E12:E15)</f>
        <v>224080</v>
      </c>
      <c r="F16" s="1764">
        <f>SUM(F3,F5:F6,F8:F10,F12:F15)</f>
        <v>5693167</v>
      </c>
      <c r="G16" s="681"/>
      <c r="H16" s="1434">
        <f>SUM(H3,H6,H8:H10,H12:H14,)</f>
        <v>2792242</v>
      </c>
      <c r="I16" s="1434">
        <f>SUM(I3,I6,I8:I10,I12:I14,)</f>
        <v>167644</v>
      </c>
      <c r="J16" s="1434">
        <f>SUM(J3,J6,J8:J10,J12:J14,)</f>
        <v>206016</v>
      </c>
      <c r="K16" s="1434">
        <f>(H16+I16)-J16</f>
        <v>2753870</v>
      </c>
      <c r="L16" s="1434">
        <f>F16-K16</f>
        <v>2939297</v>
      </c>
    </row>
    <row r="17" spans="1:12" ht="15" customHeight="1" thickTop="1" thickBot="1" x14ac:dyDescent="0.25">
      <c r="A17" s="1367" t="s">
        <v>287</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167644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42" sqref="I42:O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473</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2"/>
      <c r="B5" s="2373"/>
      <c r="C5" s="2373"/>
      <c r="D5" s="2373"/>
      <c r="E5" s="2373"/>
      <c r="F5" s="2373"/>
    </row>
    <row r="6" spans="1:9" ht="13.5" customHeight="1" thickBot="1" x14ac:dyDescent="0.25">
      <c r="A6" s="2363" t="s">
        <v>1094</v>
      </c>
      <c r="B6" s="2364"/>
      <c r="C6" s="2364"/>
      <c r="D6" s="2364"/>
      <c r="E6" s="2364"/>
      <c r="F6" s="2365"/>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3">
        <f>'Expenditures 15-22'!K114</f>
        <v>2548193</v>
      </c>
      <c r="G8" s="701"/>
    </row>
    <row r="9" spans="1:9" x14ac:dyDescent="0.2">
      <c r="A9" s="705" t="s">
        <v>456</v>
      </c>
      <c r="B9" s="706" t="s">
        <v>1847</v>
      </c>
      <c r="C9" s="707"/>
      <c r="D9" s="705" t="s">
        <v>497</v>
      </c>
      <c r="E9" s="704"/>
      <c r="F9" s="1774">
        <f>'Expenditures 15-22'!K151</f>
        <v>416414</v>
      </c>
      <c r="G9" s="708"/>
    </row>
    <row r="10" spans="1:9" x14ac:dyDescent="0.2">
      <c r="A10" s="705" t="s">
        <v>495</v>
      </c>
      <c r="B10" s="706" t="s">
        <v>1848</v>
      </c>
      <c r="C10" s="707"/>
      <c r="D10" s="705" t="s">
        <v>497</v>
      </c>
      <c r="E10" s="704"/>
      <c r="F10" s="1774">
        <f>'Expenditures 15-22'!K174</f>
        <v>99319</v>
      </c>
      <c r="G10" s="708"/>
    </row>
    <row r="11" spans="1:9" x14ac:dyDescent="0.2">
      <c r="A11" s="705" t="s">
        <v>457</v>
      </c>
      <c r="B11" s="706" t="s">
        <v>1849</v>
      </c>
      <c r="C11" s="707"/>
      <c r="D11" s="705" t="s">
        <v>497</v>
      </c>
      <c r="E11" s="704"/>
      <c r="F11" s="1774">
        <f>'Expenditures 15-22'!K210</f>
        <v>262004</v>
      </c>
      <c r="G11" s="708"/>
    </row>
    <row r="12" spans="1:9" x14ac:dyDescent="0.2">
      <c r="A12" s="705" t="s">
        <v>458</v>
      </c>
      <c r="B12" s="706" t="s">
        <v>1850</v>
      </c>
      <c r="C12" s="707"/>
      <c r="D12" s="705" t="s">
        <v>497</v>
      </c>
      <c r="E12" s="704"/>
      <c r="F12" s="1774">
        <f>'Expenditures 15-22'!K295</f>
        <v>94087</v>
      </c>
      <c r="G12" s="708"/>
    </row>
    <row r="13" spans="1:9" x14ac:dyDescent="0.2">
      <c r="A13" s="705" t="s">
        <v>106</v>
      </c>
      <c r="B13" s="706" t="s">
        <v>1851</v>
      </c>
      <c r="C13" s="707"/>
      <c r="D13" s="705" t="s">
        <v>497</v>
      </c>
      <c r="E13" s="704"/>
      <c r="F13" s="1774">
        <f>'Expenditures 15-22'!K342</f>
        <v>4418</v>
      </c>
      <c r="G13" s="709"/>
    </row>
    <row r="14" spans="1:9" ht="12" customHeight="1" thickBot="1" x14ac:dyDescent="0.25">
      <c r="A14" s="1442"/>
      <c r="B14" s="1443"/>
      <c r="C14" s="1444"/>
      <c r="D14" s="1445" t="s">
        <v>497</v>
      </c>
      <c r="E14" s="1446" t="s">
        <v>951</v>
      </c>
      <c r="F14" s="1775">
        <f>SUM(F8:F13)</f>
        <v>3424435</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1087</v>
      </c>
      <c r="B29" s="706" t="s">
        <v>804</v>
      </c>
      <c r="C29" s="716">
        <f>'Revenues 9-14'!B149</f>
        <v>3410</v>
      </c>
      <c r="D29" s="717" t="str">
        <f>'Revenues 9-14'!A149</f>
        <v>Adult Ed (from ICCB)</v>
      </c>
      <c r="E29" s="704"/>
      <c r="F29" s="1781">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2">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1451</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1">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1456</v>
      </c>
      <c r="C52" s="724" t="str">
        <f>'Expenditures 15-22'!B75</f>
        <v>3000</v>
      </c>
      <c r="D52" s="723" t="s">
        <v>445</v>
      </c>
      <c r="E52" s="704"/>
      <c r="F52" s="1781">
        <f>'Expenditures 15-22'!K75-SUM('Expenditures 15-22'!G75,'Expenditures 15-22'!I75)</f>
        <v>19812</v>
      </c>
      <c r="G52" s="701"/>
    </row>
    <row r="53" spans="1:7" x14ac:dyDescent="0.2">
      <c r="A53" s="705" t="s">
        <v>455</v>
      </c>
      <c r="B53" s="705" t="s">
        <v>1457</v>
      </c>
      <c r="C53" s="724">
        <f>'Expenditures 15-22'!B102</f>
        <v>4000</v>
      </c>
      <c r="D53" s="723" t="str">
        <f>'Expenditures 15-22'!A102</f>
        <v>Total Payments to Other Govt Units</v>
      </c>
      <c r="E53" s="704"/>
      <c r="F53" s="1781">
        <f>'Expenditures 15-22'!K102</f>
        <v>154675</v>
      </c>
      <c r="G53" s="701"/>
    </row>
    <row r="54" spans="1:7" x14ac:dyDescent="0.2">
      <c r="A54" s="705" t="s">
        <v>455</v>
      </c>
      <c r="B54" s="705" t="s">
        <v>1458</v>
      </c>
      <c r="C54" s="724" t="s">
        <v>974</v>
      </c>
      <c r="D54" s="720" t="s">
        <v>1085</v>
      </c>
      <c r="E54" s="704"/>
      <c r="F54" s="1781">
        <f>'Expenditures 15-22'!G114</f>
        <v>42818</v>
      </c>
      <c r="G54" s="701"/>
    </row>
    <row r="55" spans="1:7" x14ac:dyDescent="0.2">
      <c r="A55" s="705" t="s">
        <v>455</v>
      </c>
      <c r="B55" s="705" t="s">
        <v>1459</v>
      </c>
      <c r="C55" s="724" t="s">
        <v>974</v>
      </c>
      <c r="D55" s="720" t="s">
        <v>287</v>
      </c>
      <c r="E55" s="704"/>
      <c r="F55" s="1781">
        <f>'Expenditures 15-22'!I114</f>
        <v>0</v>
      </c>
      <c r="G55" s="701"/>
    </row>
    <row r="56" spans="1:7" x14ac:dyDescent="0.2">
      <c r="A56" s="705" t="s">
        <v>456</v>
      </c>
      <c r="B56" s="705" t="s">
        <v>1460</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1085</v>
      </c>
      <c r="E58" s="704"/>
      <c r="F58" s="1783">
        <f>'Expenditures 15-22'!G151</f>
        <v>384955</v>
      </c>
      <c r="G58" s="701"/>
    </row>
    <row r="59" spans="1:7" x14ac:dyDescent="0.2">
      <c r="A59" s="728" t="s">
        <v>456</v>
      </c>
      <c r="B59" s="692" t="s">
        <v>1854</v>
      </c>
      <c r="C59" s="729" t="s">
        <v>974</v>
      </c>
      <c r="D59" s="692" t="s">
        <v>287</v>
      </c>
      <c r="F59" s="1784">
        <f>'Expenditures 15-22'!I151</f>
        <v>0</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77469</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36385</v>
      </c>
      <c r="G64" s="701"/>
    </row>
    <row r="65" spans="1:9" x14ac:dyDescent="0.2">
      <c r="A65" s="705" t="s">
        <v>457</v>
      </c>
      <c r="B65" s="705" t="s">
        <v>1860</v>
      </c>
      <c r="C65" s="721" t="s">
        <v>974</v>
      </c>
      <c r="D65" s="720" t="s">
        <v>1085</v>
      </c>
      <c r="E65" s="704"/>
      <c r="F65" s="1781">
        <f>'Expenditures 15-22'!G210</f>
        <v>176832</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0</v>
      </c>
      <c r="G67" s="701"/>
    </row>
    <row r="68" spans="1:9" x14ac:dyDescent="0.2">
      <c r="A68" s="705" t="s">
        <v>458</v>
      </c>
      <c r="B68" s="705" t="s">
        <v>1461</v>
      </c>
      <c r="C68" s="721" t="str">
        <f>'Expenditures 15-22'!B218</f>
        <v>1225</v>
      </c>
      <c r="D68" s="727" t="str">
        <f>'Expenditures 15-22'!A218</f>
        <v>Special Education Programs - Pre-K</v>
      </c>
      <c r="E68" s="704"/>
      <c r="F68" s="1781">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0</v>
      </c>
      <c r="G71" s="701"/>
    </row>
    <row r="72" spans="1:9" x14ac:dyDescent="0.2">
      <c r="A72" s="705" t="s">
        <v>458</v>
      </c>
      <c r="B72" s="705" t="s">
        <v>1866</v>
      </c>
      <c r="C72" s="721">
        <f>'Expenditures 15-22'!B280</f>
        <v>3000</v>
      </c>
      <c r="D72" s="712" t="s">
        <v>445</v>
      </c>
      <c r="E72" s="704"/>
      <c r="F72" s="178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1469</v>
      </c>
      <c r="E74" s="704"/>
      <c r="F74" s="1785">
        <f>'Expenditures 15-22'!K334</f>
        <v>0</v>
      </c>
      <c r="G74" s="701"/>
    </row>
    <row r="75" spans="1:9" x14ac:dyDescent="0.2">
      <c r="A75" s="705" t="s">
        <v>2007</v>
      </c>
      <c r="B75" s="705" t="s">
        <v>2008</v>
      </c>
      <c r="C75" s="721" t="s">
        <v>974</v>
      </c>
      <c r="D75" s="722" t="s">
        <v>1085</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2"/>
      <c r="B77" s="1447"/>
      <c r="C77" s="1444"/>
      <c r="D77" s="1448" t="s">
        <v>2010</v>
      </c>
      <c r="E77" s="1446" t="s">
        <v>951</v>
      </c>
      <c r="F77" s="1786">
        <f>SUM(F18:F76)</f>
        <v>892946</v>
      </c>
      <c r="G77" s="701"/>
    </row>
    <row r="78" spans="1:9" s="728" customFormat="1" ht="12" customHeight="1" thickTop="1" thickBot="1" x14ac:dyDescent="0.25">
      <c r="A78" s="1449"/>
      <c r="B78" s="1447"/>
      <c r="C78" s="1444"/>
      <c r="D78" s="1448" t="s">
        <v>2011</v>
      </c>
      <c r="E78" s="1446"/>
      <c r="F78" s="1787">
        <f>(F14-F77)</f>
        <v>2531489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369.5</v>
      </c>
      <c r="G79" s="733"/>
      <c r="H79" s="705"/>
      <c r="I79" s="705"/>
    </row>
    <row r="80" spans="1:9" s="728" customFormat="1" ht="12" customHeight="1" thickBot="1" x14ac:dyDescent="0.25">
      <c r="A80" s="1451"/>
      <c r="B80" s="1447"/>
      <c r="C80" s="1444"/>
      <c r="D80" s="1448" t="s">
        <v>2012</v>
      </c>
      <c r="E80" s="1446" t="s">
        <v>951</v>
      </c>
      <c r="F80" s="1789">
        <f>IF(F79&gt;0,F78/F79," Complete Line 79")</f>
        <v>6851.1204330175915</v>
      </c>
      <c r="G80" s="705"/>
    </row>
    <row r="81" spans="1:7" s="728" customFormat="1" ht="8.25" customHeight="1" thickTop="1" x14ac:dyDescent="0.2">
      <c r="A81" s="734"/>
      <c r="B81" s="705"/>
      <c r="C81" s="707"/>
      <c r="D81" s="735"/>
      <c r="E81" s="704"/>
      <c r="F81" s="1790"/>
      <c r="G81" s="705"/>
    </row>
    <row r="82" spans="1:7" s="728" customFormat="1" ht="12" thickBot="1" x14ac:dyDescent="0.25">
      <c r="A82" s="2363" t="s">
        <v>1095</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0</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20884</v>
      </c>
      <c r="G95" s="745"/>
    </row>
    <row r="96" spans="1:7" x14ac:dyDescent="0.2">
      <c r="A96" s="741" t="s">
        <v>139</v>
      </c>
      <c r="B96" s="741" t="s">
        <v>174</v>
      </c>
      <c r="C96" s="743">
        <v>1700</v>
      </c>
      <c r="D96" s="751" t="str">
        <f>'Revenues 9-14'!A82</f>
        <v>Total District/School Activity Income</v>
      </c>
      <c r="E96" s="739"/>
      <c r="F96" s="1792">
        <f>SUM('Revenues 9-14'!C82,'Revenues 9-14'!D82)</f>
        <v>0</v>
      </c>
      <c r="G96" s="745"/>
    </row>
    <row r="97" spans="1:7" x14ac:dyDescent="0.2">
      <c r="A97" s="741" t="s">
        <v>455</v>
      </c>
      <c r="B97" s="741" t="s">
        <v>175</v>
      </c>
      <c r="C97" s="743">
        <f>'Revenues 9-14'!B84</f>
        <v>1811</v>
      </c>
      <c r="D97" s="744" t="str">
        <f>'Revenues 9-14'!A84</f>
        <v>Rentals - Regular Textbooks</v>
      </c>
      <c r="E97" s="739"/>
      <c r="F97" s="1792">
        <f>'Revenues 9-14'!C84</f>
        <v>3001</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13650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1909</v>
      </c>
      <c r="C106" s="746">
        <v>3100</v>
      </c>
      <c r="D106" s="752" t="str">
        <f>'Revenues 9-14'!A132</f>
        <v>Total Special Education</v>
      </c>
      <c r="E106" s="739"/>
      <c r="F106" s="1792">
        <f>SUM('Revenues 9-14'!C132:D132,'Revenues 9-14'!F132)</f>
        <v>15336</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2870</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30026</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48688</v>
      </c>
      <c r="G121" s="763"/>
    </row>
    <row r="122" spans="1:7" x14ac:dyDescent="0.2">
      <c r="A122" s="760" t="s">
        <v>496</v>
      </c>
      <c r="B122" s="760" t="s">
        <v>1925</v>
      </c>
      <c r="C122" s="761">
        <f>'Revenues 9-14'!B168</f>
        <v>3999</v>
      </c>
      <c r="D122" s="762" t="s">
        <v>539</v>
      </c>
      <c r="E122" s="764"/>
      <c r="F122" s="1792">
        <f>SUM('Revenues 9-14'!C168:G168,'Revenues 9-14'!J168)</f>
        <v>23307</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10016</v>
      </c>
      <c r="G125" s="763"/>
    </row>
    <row r="126" spans="1:7" x14ac:dyDescent="0.2">
      <c r="A126" s="760" t="s">
        <v>658</v>
      </c>
      <c r="B126" s="760" t="s">
        <v>1929</v>
      </c>
      <c r="C126" s="765">
        <v>4200</v>
      </c>
      <c r="D126" s="762" t="str">
        <f>'Revenues 9-14'!A198</f>
        <v>Total Food Service</v>
      </c>
      <c r="E126" s="739"/>
      <c r="F126" s="1792">
        <f>SUM('Revenues 9-14'!C198,'Revenues 9-14'!G198)</f>
        <v>273556</v>
      </c>
      <c r="G126" s="763"/>
    </row>
    <row r="127" spans="1:7" x14ac:dyDescent="0.2">
      <c r="A127" s="760" t="s">
        <v>662</v>
      </c>
      <c r="B127" s="760" t="s">
        <v>1930</v>
      </c>
      <c r="C127" s="765">
        <v>4300</v>
      </c>
      <c r="D127" s="766" t="str">
        <f>'Revenues 9-14'!A204</f>
        <v>Total Title I</v>
      </c>
      <c r="E127" s="739"/>
      <c r="F127" s="1792">
        <f>SUM('Revenues 9-14'!C204,'Revenues 9-14'!D204,'Revenues 9-14'!F204,'Revenues 9-14'!G204)</f>
        <v>104375</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10205</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11836</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1399</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1409</v>
      </c>
      <c r="D159" s="774" t="s">
        <v>1410</v>
      </c>
      <c r="E159" s="775"/>
      <c r="F159" s="1792">
        <f>SUM('Revenues 9-14'!C253)</f>
        <v>0</v>
      </c>
      <c r="G159" s="738"/>
    </row>
    <row r="160" spans="1:7" s="703" customFormat="1" x14ac:dyDescent="0.2">
      <c r="A160" s="771" t="s">
        <v>496</v>
      </c>
      <c r="B160" s="772" t="s">
        <v>1952</v>
      </c>
      <c r="C160" s="773" t="s">
        <v>1448</v>
      </c>
      <c r="D160" s="774" t="s">
        <v>1449</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17364</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5588</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17672</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1884</v>
      </c>
      <c r="C172" s="1530">
        <v>3100</v>
      </c>
      <c r="D172" s="1531" t="s">
        <v>1886</v>
      </c>
      <c r="E172" s="739"/>
      <c r="F172" s="1793">
        <v>105880</v>
      </c>
      <c r="G172" s="760"/>
    </row>
    <row r="173" spans="1:7" x14ac:dyDescent="0.2">
      <c r="A173" s="1528" t="s">
        <v>658</v>
      </c>
      <c r="B173" s="1529" t="s">
        <v>1884</v>
      </c>
      <c r="C173" s="1530">
        <v>3300</v>
      </c>
      <c r="D173" s="1531" t="s">
        <v>1887</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2015</v>
      </c>
      <c r="E175" s="1455" t="s">
        <v>951</v>
      </c>
      <c r="F175" s="1795">
        <f>SUM(F85:F133,F158:F173)</f>
        <v>714254</v>
      </c>
    </row>
    <row r="176" spans="1:7" ht="12" customHeight="1" x14ac:dyDescent="0.2">
      <c r="A176" s="1442"/>
      <c r="B176" s="1452"/>
      <c r="C176" s="1453"/>
      <c r="D176" s="1454" t="s">
        <v>2013</v>
      </c>
      <c r="E176" s="1455"/>
      <c r="F176" s="1792">
        <f>'PCTC-OEPP 27-28'!F78-F175</f>
        <v>1817235</v>
      </c>
    </row>
    <row r="177" spans="1:9" ht="12" customHeight="1" x14ac:dyDescent="0.2">
      <c r="A177" s="1442"/>
      <c r="B177" s="1452"/>
      <c r="C177" s="1453"/>
      <c r="D177" s="1454" t="s">
        <v>1793</v>
      </c>
      <c r="E177" s="1455"/>
      <c r="F177" s="1792">
        <f>'Cap Outlay Deprec 26'!I18</f>
        <v>167644</v>
      </c>
    </row>
    <row r="178" spans="1:9" ht="12" customHeight="1" x14ac:dyDescent="0.2">
      <c r="A178" s="1442"/>
      <c r="B178" s="1452"/>
      <c r="C178" s="1453"/>
      <c r="D178" s="1454" t="s">
        <v>2014</v>
      </c>
      <c r="E178" s="1455"/>
      <c r="F178" s="1792">
        <f>F176+F177</f>
        <v>1984879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369.5</v>
      </c>
      <c r="G179" s="763"/>
      <c r="I179" s="701"/>
    </row>
    <row r="180" spans="1:9" ht="12" customHeight="1" thickBot="1" x14ac:dyDescent="0.25">
      <c r="A180" s="1442"/>
      <c r="B180" s="1456"/>
      <c r="C180" s="1453"/>
      <c r="D180" s="1454" t="s">
        <v>2016</v>
      </c>
      <c r="E180" s="1455" t="s">
        <v>1527</v>
      </c>
      <c r="F180" s="1797">
        <f>F178/F179</f>
        <v>5371.7970230040592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3" zoomScaleNormal="100" workbookViewId="0">
      <selection activeCell="I42" sqref="I42:O42"/>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1806</v>
      </c>
      <c r="B1" s="1859"/>
      <c r="C1" s="1860"/>
      <c r="D1" s="1860"/>
      <c r="E1" s="1860"/>
      <c r="F1" s="1860"/>
    </row>
    <row r="2" spans="1:6" x14ac:dyDescent="0.25">
      <c r="A2" s="1862"/>
      <c r="B2" s="1863"/>
      <c r="C2" s="1911" t="s">
        <v>2002</v>
      </c>
      <c r="D2" s="1862"/>
      <c r="E2" s="1862"/>
      <c r="F2" s="1862"/>
    </row>
    <row r="3" spans="1:6" ht="5.25" customHeight="1" x14ac:dyDescent="0.25">
      <c r="A3" s="1864"/>
      <c r="B3" s="1865"/>
      <c r="C3" s="1864"/>
      <c r="D3" s="1864"/>
      <c r="E3" s="1864"/>
      <c r="F3" s="1864"/>
    </row>
    <row r="4" spans="1:6" ht="18.75" customHeight="1" x14ac:dyDescent="0.25">
      <c r="A4" s="2377" t="s">
        <v>1794</v>
      </c>
      <c r="B4" s="2378"/>
      <c r="C4" s="2378"/>
      <c r="D4" s="2378"/>
      <c r="E4" s="2378"/>
      <c r="F4" s="2379"/>
    </row>
    <row r="5" spans="1:6" x14ac:dyDescent="0.25">
      <c r="A5" s="2380"/>
      <c r="B5" s="2381"/>
      <c r="C5" s="2381"/>
      <c r="D5" s="2381"/>
      <c r="E5" s="2381"/>
      <c r="F5" s="2382"/>
    </row>
    <row r="6" spans="1:6" ht="18.75" x14ac:dyDescent="0.25">
      <c r="A6" s="1866" t="s">
        <v>1795</v>
      </c>
      <c r="B6" s="1867"/>
      <c r="C6" s="1868"/>
      <c r="D6" s="1868"/>
      <c r="E6" s="1868"/>
      <c r="F6" s="1869"/>
    </row>
    <row r="7" spans="1:6" ht="47.25" customHeight="1" x14ac:dyDescent="0.25">
      <c r="A7" s="2383" t="s">
        <v>1984</v>
      </c>
      <c r="B7" s="2384"/>
      <c r="C7" s="2384"/>
      <c r="D7" s="2384"/>
      <c r="E7" s="2384"/>
      <c r="F7" s="2385"/>
    </row>
    <row r="8" spans="1:6" ht="20.25" customHeight="1" x14ac:dyDescent="0.25">
      <c r="A8" s="1900" t="s">
        <v>1986</v>
      </c>
      <c r="B8" s="1901"/>
      <c r="C8" s="1901"/>
      <c r="D8" s="1901"/>
      <c r="E8" s="1870"/>
      <c r="F8" s="1871"/>
    </row>
    <row r="9" spans="1:6" ht="18" customHeight="1" x14ac:dyDescent="0.25">
      <c r="A9" s="1872" t="s">
        <v>1983</v>
      </c>
      <c r="B9" s="1874"/>
      <c r="C9" s="1874"/>
      <c r="D9" s="1874"/>
      <c r="E9" s="1870"/>
      <c r="F9" s="1871"/>
    </row>
    <row r="10" spans="1:6" ht="15.75" customHeight="1" x14ac:dyDescent="0.25">
      <c r="A10" s="2386" t="s">
        <v>1980</v>
      </c>
      <c r="B10" s="2387"/>
      <c r="C10" s="2387"/>
      <c r="D10" s="2387"/>
      <c r="E10" s="2387"/>
      <c r="F10" s="2388"/>
    </row>
    <row r="11" spans="1:6" ht="33" customHeight="1" x14ac:dyDescent="0.25">
      <c r="A11" s="2383" t="s">
        <v>1985</v>
      </c>
      <c r="B11" s="2384"/>
      <c r="C11" s="2384"/>
      <c r="D11" s="2384"/>
      <c r="E11" s="2384"/>
      <c r="F11" s="2385"/>
    </row>
    <row r="12" spans="1:6" ht="15" customHeight="1" x14ac:dyDescent="0.25">
      <c r="A12" s="1872" t="s">
        <v>1981</v>
      </c>
      <c r="B12" s="1873"/>
      <c r="C12" s="1874"/>
      <c r="D12" s="1874"/>
      <c r="E12" s="1874"/>
      <c r="F12" s="1875"/>
    </row>
    <row r="13" spans="1:6" ht="17.25" customHeight="1" x14ac:dyDescent="0.25">
      <c r="A13" s="2383" t="s">
        <v>1982</v>
      </c>
      <c r="B13" s="2384"/>
      <c r="C13" s="2384"/>
      <c r="D13" s="2384"/>
      <c r="E13" s="2384"/>
      <c r="F13" s="2385"/>
    </row>
    <row r="14" spans="1:6" ht="15" customHeight="1" x14ac:dyDescent="0.25">
      <c r="A14" s="1872" t="s">
        <v>1799</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5" t="s">
        <v>1798</v>
      </c>
      <c r="C17" s="1880" t="s">
        <v>1796</v>
      </c>
      <c r="D17" s="1881">
        <v>500000</v>
      </c>
      <c r="E17" s="1881" t="str">
        <f>IF(D17&lt;25000,D17,"25,000")</f>
        <v>25,000</v>
      </c>
      <c r="F17" s="1882">
        <f>IF(D17&gt;=25000,(D17-E17),"0")</f>
        <v>475000</v>
      </c>
    </row>
    <row r="18" spans="1:7" x14ac:dyDescent="0.25">
      <c r="A18" s="2034" t="s">
        <v>2083</v>
      </c>
      <c r="B18" s="1906">
        <v>102540300</v>
      </c>
      <c r="C18" s="2035" t="s">
        <v>2084</v>
      </c>
      <c r="D18" s="1884">
        <v>4199</v>
      </c>
      <c r="E18" s="1904">
        <f t="shared" ref="E18:E33" si="0">IF(D18&lt;25000,D18,"25,000")</f>
        <v>4199</v>
      </c>
      <c r="F18" s="1904" t="str">
        <f t="shared" ref="F18:F33" si="1">IF(D18&gt;=25000,(D18-E18),"0")</f>
        <v>0</v>
      </c>
      <c r="G18" s="1885"/>
    </row>
    <row r="19" spans="1:7" x14ac:dyDescent="0.25">
      <c r="A19" s="2034" t="s">
        <v>2083</v>
      </c>
      <c r="B19" s="1906">
        <v>102540300</v>
      </c>
      <c r="C19" s="2035" t="s">
        <v>2085</v>
      </c>
      <c r="D19" s="1884">
        <v>2276</v>
      </c>
      <c r="E19" s="1904">
        <f t="shared" si="0"/>
        <v>2276</v>
      </c>
      <c r="F19" s="1904" t="str">
        <f t="shared" si="1"/>
        <v>0</v>
      </c>
    </row>
    <row r="20" spans="1:7" x14ac:dyDescent="0.25">
      <c r="A20" s="2034" t="s">
        <v>2083</v>
      </c>
      <c r="B20" s="1906">
        <v>102540300</v>
      </c>
      <c r="C20" s="2035" t="s">
        <v>2086</v>
      </c>
      <c r="D20" s="1884">
        <v>1140</v>
      </c>
      <c r="E20" s="1904">
        <f t="shared" si="0"/>
        <v>1140</v>
      </c>
      <c r="F20" s="1904" t="str">
        <f t="shared" si="1"/>
        <v>0</v>
      </c>
    </row>
    <row r="21" spans="1:7" x14ac:dyDescent="0.25">
      <c r="A21" s="2034" t="s">
        <v>2083</v>
      </c>
      <c r="B21" s="1906">
        <v>102540300</v>
      </c>
      <c r="C21" s="2035" t="s">
        <v>2087</v>
      </c>
      <c r="D21" s="1884">
        <v>2700</v>
      </c>
      <c r="E21" s="1904">
        <f t="shared" si="0"/>
        <v>2700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10315</v>
      </c>
      <c r="E36" s="1891">
        <f>SUM(E18:E35)</f>
        <v>10315</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I42" sqref="I42:O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9" t="s">
        <v>1659</v>
      </c>
      <c r="B5" s="2390"/>
      <c r="C5" s="2390"/>
      <c r="D5" s="2390"/>
      <c r="E5" s="2390"/>
      <c r="F5" s="2390"/>
      <c r="G5" s="239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1893</v>
      </c>
      <c r="B10" s="803"/>
      <c r="C10" s="807"/>
      <c r="D10" s="804"/>
      <c r="E10" s="1799">
        <v>142386</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15315</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1597588</v>
      </c>
      <c r="F19" s="1801"/>
      <c r="G19" s="1803">
        <f>'Expenditures 15-22'!K33-SUM('Expenditures 15-22'!G33,'Expenditures 15-22'!I33)+'Expenditures 15-22'!D229</f>
        <v>1597588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100465</v>
      </c>
      <c r="F21" s="1804"/>
      <c r="G21" s="1807">
        <f>'Expenditures 15-22'!K42-SUM('Expenditures 15-22'!G42,'Expenditures 15-22'!I42)+'Expenditures 15-22'!K120-SUM('Expenditures 15-22'!G120,'Expenditures 15-22'!I120)+'Expenditures 15-22'!K180-SUM('Expenditures 15-22'!G180,'Expenditures 15-22'!I180)+'Expenditures 15-22'!D238</f>
        <v>100465</v>
      </c>
      <c r="H21" s="817"/>
      <c r="I21" s="157"/>
    </row>
    <row r="22" spans="1:9" s="542" customFormat="1" ht="12" customHeight="1" x14ac:dyDescent="0.2">
      <c r="A22" s="824" t="s">
        <v>559</v>
      </c>
      <c r="B22" s="825"/>
      <c r="C22" s="823">
        <v>2200</v>
      </c>
      <c r="D22" s="1804"/>
      <c r="E22" s="1806">
        <f>'Expenditures 15-22'!K47-SUM('Expenditures 15-22'!G47,'Expenditures 15-22'!I47)+'Expenditures 15-22'!D243</f>
        <v>14899</v>
      </c>
      <c r="F22" s="1804"/>
      <c r="G22" s="1807">
        <f>'Expenditures 15-22'!K47-SUM('Expenditures 15-22'!G47,'Expenditures 15-22'!I47)+'Expenditures 15-22'!D243</f>
        <v>14899</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198039</v>
      </c>
      <c r="F23" s="1804"/>
      <c r="G23" s="1806">
        <f>'Expenditures 15-22'!K53-SUM('Expenditures 15-22'!G53,'Expenditures 15-22'!I53)+'Expenditures 15-22'!D257+'Expenditures 15-22'!K330-SUM('Expenditures 15-22'!G330,'Expenditures 15-22'!I330)</f>
        <v>198039</v>
      </c>
      <c r="H23" s="817"/>
      <c r="I23" s="157"/>
    </row>
    <row r="24" spans="1:9" s="542" customFormat="1" ht="12" customHeight="1" x14ac:dyDescent="0.2">
      <c r="A24" s="824" t="s">
        <v>561</v>
      </c>
      <c r="B24" s="825"/>
      <c r="C24" s="823">
        <v>2400</v>
      </c>
      <c r="D24" s="1804"/>
      <c r="E24" s="1806">
        <f>'Expenditures 15-22'!K57-SUM('Expenditures 15-22'!G57,'Expenditures 15-22'!I57)+'Expenditures 15-22'!D261</f>
        <v>0</v>
      </c>
      <c r="F24" s="1804"/>
      <c r="G24" s="1807">
        <f>'Expenditures 15-22'!K57-SUM('Expenditures 15-22'!G57,'Expenditures 15-22'!I57)+'Expenditures 15-22'!D261</f>
        <v>0</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77423</v>
      </c>
      <c r="E27" s="1806">
        <f>E8</f>
        <v>0</v>
      </c>
      <c r="F27" s="1806">
        <f>'Expenditures 15-22'!K60-SUM('Expenditures 15-22'!G60,'Expenditures 15-22'!I60)+'Expenditures 15-22'!D264-E8</f>
        <v>77423</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234447</v>
      </c>
      <c r="F28" s="1808">
        <f>'Expenditures 15-22'!K61-SUM('Expenditures 15-22'!G61,'Expenditures 15-22'!I61)+'Expenditures 15-22'!K124-SUM('Expenditures 15-22'!G124,'Expenditures 15-22'!I124)+'Expenditures 15-22'!D266-E9</f>
        <v>234447</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52382</v>
      </c>
      <c r="F29" s="1804"/>
      <c r="G29" s="1807">
        <f>'Expenditures 15-22'!K62-SUM('Expenditures 15-22'!G62,'Expenditures 15-22'!I62)+'Expenditures 15-22'!K125-SUM('Expenditures 15-22'!G125,'Expenditures 15-22'!I125)+'Expenditures 15-22'!K182-SUM('Expenditures 15-22'!G182,'Expenditures 15-22'!I182)+'Expenditures 15-22'!D267</f>
        <v>52382</v>
      </c>
      <c r="H29" s="815"/>
    </row>
    <row r="30" spans="1:9" ht="12" customHeight="1" x14ac:dyDescent="0.2">
      <c r="A30" s="824" t="s">
        <v>100</v>
      </c>
      <c r="B30" s="827"/>
      <c r="C30" s="823">
        <v>2560</v>
      </c>
      <c r="D30" s="1804"/>
      <c r="E30" s="1806">
        <f>'Expenditures 15-22'!K63-SUM('Expenditures 15-22'!G63,'Expenditures 15-22'!I63)+'Expenditures 15-22'!D268-E10</f>
        <v>77079</v>
      </c>
      <c r="F30" s="1804"/>
      <c r="G30" s="1806">
        <f>'Expenditures 15-22'!K63-SUM('Expenditures 15-22'!G63,'Expenditures 15-22'!I63)+'Expenditures 15-22'!D268-E10</f>
        <v>77079</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1051</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5576</v>
      </c>
      <c r="F38" s="1804"/>
      <c r="G38" s="1806">
        <f>'Expenditures 15-22'!K73-SUM('Expenditures 15-22'!G73,'Expenditures 15-22'!I73)+'Expenditures 15-22'!K128-SUM('Expenditures 15-22'!G128,'Expenditures 15-22'!I128)+'Expenditures 15-22'!K183-SUM('Expenditures 15-22'!G183,'Expenditures 15-22'!I183)+'Expenditures 15-22'!D278</f>
        <v>5576</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19812</v>
      </c>
      <c r="F39" s="1804"/>
      <c r="G39" s="1806">
        <f>'Expenditures 15-22'!K75-SUM('Expenditures 15-22'!G75,'Expenditures 15-22'!I75)+'Expenditures 15-22'!K130-SUM('Expenditures 15-22'!G130,'Expenditures 15-22'!I130)+'Expenditures 15-22'!K185-SUM('Expenditures 15-22'!G185,'Expenditures 15-22'!I185)+'Expenditures 15-22'!D280</f>
        <v>19812</v>
      </c>
    </row>
    <row r="40" spans="1:7" ht="12" customHeight="1" x14ac:dyDescent="0.2">
      <c r="A40" s="820" t="s">
        <v>1797</v>
      </c>
      <c r="B40" s="821"/>
      <c r="C40" s="823"/>
      <c r="D40" s="1804"/>
      <c r="E40" s="1808">
        <f>-'Contracts Paid in CY 29'!F36</f>
        <v>0</v>
      </c>
      <c r="F40" s="1804"/>
      <c r="G40" s="1808">
        <f>-'Contracts Paid in CY 29'!F36</f>
        <v>0</v>
      </c>
    </row>
    <row r="41" spans="1:7" ht="12" customHeight="1" x14ac:dyDescent="0.2">
      <c r="A41" s="828" t="s">
        <v>155</v>
      </c>
      <c r="B41" s="829"/>
      <c r="C41" s="830"/>
      <c r="D41" s="1808">
        <f>SUM(D19:D39)</f>
        <v>77423</v>
      </c>
      <c r="E41" s="1808">
        <f>SUM(E19:E40)</f>
        <v>2300287</v>
      </c>
      <c r="F41" s="1808">
        <f>SUM(F19:F39)</f>
        <v>311870</v>
      </c>
      <c r="G41" s="1808">
        <f>SUM(G19:G40)</f>
        <v>2065840</v>
      </c>
    </row>
    <row r="42" spans="1:7" x14ac:dyDescent="0.2">
      <c r="A42" s="817"/>
      <c r="B42" s="157"/>
      <c r="C42" s="831"/>
      <c r="D42" s="2392" t="s">
        <v>518</v>
      </c>
      <c r="E42" s="2393"/>
      <c r="F42" s="832" t="s">
        <v>519</v>
      </c>
      <c r="G42" s="833"/>
    </row>
    <row r="43" spans="1:7" ht="12" customHeight="1" x14ac:dyDescent="0.2">
      <c r="A43" s="817"/>
      <c r="B43" s="157"/>
      <c r="C43" s="831"/>
      <c r="D43" s="1457" t="s">
        <v>469</v>
      </c>
      <c r="E43" s="1809">
        <f>D41</f>
        <v>77423</v>
      </c>
      <c r="F43" s="1457" t="s">
        <v>469</v>
      </c>
      <c r="G43" s="1809">
        <f>F41</f>
        <v>311870</v>
      </c>
    </row>
    <row r="44" spans="1:7" ht="12" customHeight="1" x14ac:dyDescent="0.2">
      <c r="A44" s="817"/>
      <c r="B44" s="157"/>
      <c r="C44" s="831"/>
      <c r="D44" s="1457" t="s">
        <v>470</v>
      </c>
      <c r="E44" s="1809">
        <f>E41</f>
        <v>2300287</v>
      </c>
      <c r="F44" s="1457" t="s">
        <v>470</v>
      </c>
      <c r="G44" s="1809">
        <f>G41</f>
        <v>2065840</v>
      </c>
    </row>
    <row r="45" spans="1:7" ht="12" customHeight="1" x14ac:dyDescent="0.2">
      <c r="A45" s="817"/>
      <c r="B45" s="157"/>
      <c r="C45" s="157"/>
      <c r="D45" s="1458" t="s">
        <v>998</v>
      </c>
      <c r="E45" s="1810">
        <f>(E43/E44)</f>
        <v>3.3657973983246436E-2</v>
      </c>
      <c r="F45" s="1458" t="s">
        <v>998</v>
      </c>
      <c r="G45" s="1810">
        <f>(G43/G44)</f>
        <v>0.15096522479959726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I42" sqref="I42:O4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1" t="s">
        <v>1362</v>
      </c>
      <c r="B1" s="2411"/>
      <c r="C1" s="2411"/>
      <c r="D1" s="2411"/>
      <c r="E1" s="2411"/>
      <c r="F1" s="2411"/>
    </row>
    <row r="2" spans="1:15" x14ac:dyDescent="0.2">
      <c r="A2" s="1512" t="s">
        <v>1877</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2" t="s">
        <v>1528</v>
      </c>
      <c r="B5" s="2413"/>
      <c r="C5" s="2414"/>
      <c r="D5" s="2414"/>
      <c r="E5" s="2414"/>
      <c r="F5" s="2414"/>
      <c r="G5" s="1506"/>
      <c r="L5" s="1506"/>
      <c r="M5" s="1854"/>
      <c r="N5" s="1854"/>
      <c r="O5" s="1854"/>
    </row>
    <row r="6" spans="1:15" ht="12" customHeight="1" x14ac:dyDescent="0.25">
      <c r="A6" s="1479"/>
      <c r="B6" s="1480"/>
      <c r="C6" s="2415" t="str">
        <f>COVER!A17</f>
        <v xml:space="preserve">   Central City SD 133</v>
      </c>
      <c r="D6" s="2415"/>
      <c r="E6" s="2415"/>
      <c r="F6" s="1481"/>
      <c r="G6" s="1506"/>
      <c r="L6" s="1506"/>
      <c r="M6" s="1854"/>
      <c r="N6" s="1854"/>
      <c r="O6" s="1854"/>
    </row>
    <row r="7" spans="1:15" ht="11.25" customHeight="1" thickBot="1" x14ac:dyDescent="0.3">
      <c r="A7" s="1479"/>
      <c r="B7" s="1480"/>
      <c r="C7" s="2416">
        <f>COVER!A13</f>
        <v>13058133002</v>
      </c>
      <c r="D7" s="2416"/>
      <c r="E7" s="2416"/>
      <c r="F7" s="1481"/>
      <c r="G7" s="1506"/>
      <c r="L7" s="1506"/>
      <c r="M7" s="1854"/>
      <c r="N7" s="1854"/>
      <c r="O7" s="1854"/>
    </row>
    <row r="8" spans="1:15" ht="25.5" customHeight="1" thickBot="1" x14ac:dyDescent="0.25">
      <c r="A8" s="1518" t="s">
        <v>1873</v>
      </c>
      <c r="B8" s="1482"/>
      <c r="C8" s="1514" t="s">
        <v>1661</v>
      </c>
      <c r="D8" s="1513" t="s">
        <v>1662</v>
      </c>
      <c r="E8" s="1515" t="s">
        <v>1363</v>
      </c>
      <c r="F8" s="1513" t="s">
        <v>1663</v>
      </c>
      <c r="G8" s="1506"/>
      <c r="H8" s="1483" t="b">
        <v>0</v>
      </c>
      <c r="L8" s="1506"/>
      <c r="M8" s="1854"/>
      <c r="N8" s="1854"/>
      <c r="O8" s="1854"/>
    </row>
    <row r="9" spans="1:15" ht="15.75" customHeight="1" x14ac:dyDescent="0.2">
      <c r="A9" s="1484" t="s">
        <v>1524</v>
      </c>
      <c r="B9" s="1485"/>
      <c r="C9" s="1486"/>
      <c r="D9" s="1486"/>
      <c r="E9" s="1487"/>
      <c r="F9" s="1488"/>
      <c r="G9" s="1506"/>
      <c r="L9" s="1506"/>
      <c r="M9" s="1854"/>
      <c r="N9" s="1854"/>
      <c r="O9" s="1854"/>
    </row>
    <row r="10" spans="1:15" ht="27.75" customHeight="1" x14ac:dyDescent="0.2">
      <c r="A10" s="1489" t="s">
        <v>1660</v>
      </c>
      <c r="B10" s="1490"/>
      <c r="C10" s="1491"/>
      <c r="D10" s="1491"/>
      <c r="E10" s="1516" t="s">
        <v>1364</v>
      </c>
      <c r="F10" s="1517" t="s">
        <v>1365</v>
      </c>
      <c r="G10" s="1506"/>
      <c r="L10" s="1506"/>
      <c r="M10" s="1854"/>
      <c r="N10" s="1854"/>
      <c r="O10" s="1854"/>
    </row>
    <row r="11" spans="1:15" ht="12" customHeight="1" x14ac:dyDescent="0.2">
      <c r="A11" s="1492" t="s">
        <v>1366</v>
      </c>
      <c r="B11" s="1493"/>
      <c r="C11" s="1494" t="s">
        <v>2076</v>
      </c>
      <c r="D11" s="1494" t="s">
        <v>2076</v>
      </c>
      <c r="E11" s="1495" t="s">
        <v>2076</v>
      </c>
      <c r="F11" s="1496" t="s">
        <v>2088</v>
      </c>
      <c r="G11" s="1506"/>
      <c r="H11" s="1506">
        <f>IF(C11="X",5,0)</f>
        <v>5</v>
      </c>
      <c r="I11" s="1506">
        <f>IF(D11="X",5,0)</f>
        <v>5</v>
      </c>
      <c r="J11" s="1506">
        <f>IF(E11="X",5,0)</f>
        <v>5</v>
      </c>
      <c r="L11" s="1506"/>
      <c r="M11" s="1854"/>
      <c r="N11" s="1854"/>
      <c r="O11" s="1854"/>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1368</v>
      </c>
      <c r="B13" s="1493"/>
      <c r="C13" s="1494" t="s">
        <v>1158</v>
      </c>
      <c r="D13" s="1494" t="s">
        <v>1158</v>
      </c>
      <c r="E13" s="1497" t="s">
        <v>1158</v>
      </c>
      <c r="F13" s="1496" t="s">
        <v>1158</v>
      </c>
      <c r="G13" s="1506"/>
      <c r="H13" s="1506">
        <f t="shared" si="0"/>
        <v>0</v>
      </c>
      <c r="I13" s="1506">
        <f t="shared" si="1"/>
        <v>0</v>
      </c>
      <c r="J13" s="1506">
        <f t="shared" si="2"/>
        <v>0</v>
      </c>
      <c r="L13" s="1506"/>
      <c r="M13" s="1854"/>
      <c r="N13" s="1854"/>
      <c r="O13" s="1854"/>
    </row>
    <row r="14" spans="1:15" ht="12" customHeight="1" x14ac:dyDescent="0.2">
      <c r="A14" s="1492" t="s">
        <v>1369</v>
      </c>
      <c r="B14" s="1493"/>
      <c r="C14" s="1494" t="s">
        <v>2076</v>
      </c>
      <c r="D14" s="1494" t="s">
        <v>2076</v>
      </c>
      <c r="E14" s="1497" t="s">
        <v>2076</v>
      </c>
      <c r="F14" s="1496" t="s">
        <v>2089</v>
      </c>
      <c r="G14" s="1506"/>
      <c r="H14" s="1506">
        <f t="shared" si="0"/>
        <v>5</v>
      </c>
      <c r="I14" s="1506">
        <f t="shared" si="1"/>
        <v>5</v>
      </c>
      <c r="J14" s="1506">
        <f t="shared" si="2"/>
        <v>5</v>
      </c>
      <c r="L14" s="1506"/>
      <c r="M14" s="1854"/>
      <c r="N14" s="1854"/>
      <c r="O14" s="1854"/>
    </row>
    <row r="15" spans="1:15" ht="12" customHeight="1" x14ac:dyDescent="0.2">
      <c r="A15" s="1492" t="s">
        <v>1370</v>
      </c>
      <c r="B15" s="1493"/>
      <c r="C15" s="1494"/>
      <c r="D15" s="1494"/>
      <c r="E15" s="1497" t="s">
        <v>2114</v>
      </c>
      <c r="F15" s="1496" t="s">
        <v>2115</v>
      </c>
      <c r="G15" s="1506"/>
      <c r="H15" s="1506">
        <f t="shared" si="0"/>
        <v>0</v>
      </c>
      <c r="I15" s="1506">
        <f t="shared" si="1"/>
        <v>0</v>
      </c>
      <c r="J15" s="1506">
        <f t="shared" si="2"/>
        <v>0</v>
      </c>
      <c r="L15" s="1506"/>
      <c r="M15" s="1854"/>
      <c r="N15" s="1854"/>
      <c r="O15" s="1854"/>
    </row>
    <row r="16" spans="1:15" ht="12" customHeight="1" x14ac:dyDescent="0.2">
      <c r="A16" s="1492" t="s">
        <v>1371</v>
      </c>
      <c r="B16" s="1493"/>
      <c r="C16" s="1494" t="s">
        <v>2076</v>
      </c>
      <c r="D16" s="1494" t="s">
        <v>2076</v>
      </c>
      <c r="E16" s="1497" t="s">
        <v>2076</v>
      </c>
      <c r="F16" s="1496" t="s">
        <v>2090</v>
      </c>
      <c r="G16" s="1506"/>
      <c r="H16" s="1506">
        <f t="shared" si="0"/>
        <v>5</v>
      </c>
      <c r="I16" s="1506">
        <f t="shared" si="1"/>
        <v>5</v>
      </c>
      <c r="J16" s="1506">
        <f t="shared" si="2"/>
        <v>5</v>
      </c>
      <c r="L16" s="1506"/>
      <c r="M16" s="1854"/>
      <c r="N16" s="1854"/>
      <c r="O16" s="1854"/>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1509</v>
      </c>
      <c r="B19" s="1493"/>
      <c r="C19" s="1494" t="s">
        <v>2076</v>
      </c>
      <c r="D19" s="1494" t="s">
        <v>2076</v>
      </c>
      <c r="E19" s="1497" t="s">
        <v>2076</v>
      </c>
      <c r="F19" s="1496" t="s">
        <v>2091</v>
      </c>
      <c r="G19" s="1506"/>
      <c r="H19" s="1506">
        <f t="shared" si="0"/>
        <v>5</v>
      </c>
      <c r="I19" s="1506">
        <f t="shared" si="1"/>
        <v>5</v>
      </c>
      <c r="J19" s="1506">
        <f t="shared" si="2"/>
        <v>5</v>
      </c>
      <c r="L19" s="1506"/>
      <c r="M19" s="1854"/>
      <c r="N19" s="1854"/>
      <c r="O19" s="1854"/>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1514</v>
      </c>
      <c r="B24" s="1493"/>
      <c r="C24" s="1494" t="s">
        <v>2076</v>
      </c>
      <c r="D24" s="1494" t="s">
        <v>2076</v>
      </c>
      <c r="E24" s="1497" t="s">
        <v>2076</v>
      </c>
      <c r="F24" s="1496" t="s">
        <v>2088</v>
      </c>
      <c r="G24" s="1506"/>
      <c r="H24" s="1506">
        <f t="shared" si="0"/>
        <v>5</v>
      </c>
      <c r="I24" s="1506">
        <f t="shared" si="1"/>
        <v>5</v>
      </c>
      <c r="J24" s="1506">
        <f t="shared" si="2"/>
        <v>5</v>
      </c>
      <c r="L24" s="1506"/>
      <c r="M24" s="1854"/>
      <c r="N24" s="1854"/>
      <c r="O24" s="1854"/>
    </row>
    <row r="25" spans="1:15" ht="12" customHeight="1" x14ac:dyDescent="0.2">
      <c r="A25" s="1492" t="s">
        <v>1515</v>
      </c>
      <c r="B25" s="1493"/>
      <c r="C25" s="1494" t="s">
        <v>2076</v>
      </c>
      <c r="D25" s="1494" t="s">
        <v>2076</v>
      </c>
      <c r="E25" s="1497" t="s">
        <v>2076</v>
      </c>
      <c r="F25" s="1496" t="s">
        <v>2088</v>
      </c>
      <c r="G25" s="1506"/>
      <c r="H25" s="1506">
        <f t="shared" si="0"/>
        <v>5</v>
      </c>
      <c r="I25" s="1506">
        <f t="shared" si="1"/>
        <v>5</v>
      </c>
      <c r="J25" s="1506">
        <f t="shared" si="2"/>
        <v>5</v>
      </c>
      <c r="L25" s="1506"/>
      <c r="M25" s="1854"/>
      <c r="N25" s="1854"/>
      <c r="O25" s="1854"/>
    </row>
    <row r="26" spans="1:15" ht="12" customHeight="1" x14ac:dyDescent="0.2">
      <c r="A26" s="1492" t="s">
        <v>1516</v>
      </c>
      <c r="B26" s="1493"/>
      <c r="C26" s="1494" t="s">
        <v>2076</v>
      </c>
      <c r="D26" s="1494" t="s">
        <v>2076</v>
      </c>
      <c r="E26" s="1497" t="s">
        <v>2076</v>
      </c>
      <c r="F26" s="1496" t="s">
        <v>2092</v>
      </c>
      <c r="G26" s="1506"/>
      <c r="H26" s="1506">
        <f t="shared" si="0"/>
        <v>5</v>
      </c>
      <c r="I26" s="1506">
        <f t="shared" si="1"/>
        <v>5</v>
      </c>
      <c r="J26" s="1506">
        <f t="shared" si="2"/>
        <v>5</v>
      </c>
      <c r="L26" s="1506"/>
      <c r="M26" s="1854"/>
      <c r="N26" s="1854"/>
      <c r="O26" s="1854"/>
    </row>
    <row r="27" spans="1:15" ht="18.75" x14ac:dyDescent="0.2">
      <c r="A27" s="1492" t="s">
        <v>1517</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1518</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1521</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1522</v>
      </c>
      <c r="B32" s="1493"/>
      <c r="C32" s="1494"/>
      <c r="D32" s="1494"/>
      <c r="E32" s="1497" t="s">
        <v>2076</v>
      </c>
      <c r="F32" s="1496" t="s">
        <v>2116</v>
      </c>
      <c r="G32" s="1506"/>
      <c r="H32" s="1506">
        <f t="shared" si="0"/>
        <v>0</v>
      </c>
      <c r="I32" s="1506">
        <f t="shared" si="1"/>
        <v>0</v>
      </c>
      <c r="J32" s="1506">
        <f t="shared" si="2"/>
        <v>5</v>
      </c>
      <c r="L32" s="1506"/>
      <c r="M32" s="1854"/>
      <c r="N32" s="1854"/>
      <c r="O32" s="1854"/>
    </row>
    <row r="33" spans="1:15" ht="12" customHeight="1" x14ac:dyDescent="0.2">
      <c r="A33" s="1492" t="s">
        <v>1523</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40</v>
      </c>
      <c r="K34" s="1506">
        <f>SUM(H34:J34)</f>
        <v>110</v>
      </c>
      <c r="L34" s="1506"/>
      <c r="M34" s="1854"/>
      <c r="N34" s="1854"/>
      <c r="O34" s="1854"/>
    </row>
    <row r="35" spans="1:15" ht="12" customHeight="1" x14ac:dyDescent="0.2">
      <c r="A35" s="1499" t="s">
        <v>1375</v>
      </c>
      <c r="B35" s="1500"/>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1"/>
      <c r="B39" s="1501"/>
      <c r="C39" s="1501"/>
      <c r="D39" s="1501"/>
      <c r="E39" s="1501"/>
      <c r="F39" s="1501"/>
    </row>
    <row r="40" spans="1:15" s="1498" customFormat="1" ht="12" customHeight="1" x14ac:dyDescent="0.25">
      <c r="A40" s="1502" t="s">
        <v>1374</v>
      </c>
      <c r="B40" s="1503"/>
      <c r="C40" s="2406"/>
      <c r="D40" s="2406"/>
      <c r="E40" s="2406"/>
      <c r="F40" s="2407"/>
      <c r="H40" s="1507"/>
      <c r="I40" s="1507"/>
      <c r="J40" s="1507"/>
      <c r="K40" s="1507"/>
    </row>
    <row r="41" spans="1:15" s="1498" customFormat="1" ht="12" customHeight="1" x14ac:dyDescent="0.25">
      <c r="A41" s="2408"/>
      <c r="B41" s="2409"/>
      <c r="C41" s="2409"/>
      <c r="D41" s="2409"/>
      <c r="E41" s="2409"/>
      <c r="F41" s="2410"/>
      <c r="H41" s="1507"/>
      <c r="I41" s="1507"/>
      <c r="J41" s="1507"/>
      <c r="K41" s="1507"/>
    </row>
    <row r="42" spans="1:15" s="1498" customFormat="1" ht="12" customHeight="1" x14ac:dyDescent="0.25">
      <c r="A42" s="2408"/>
      <c r="B42" s="2409"/>
      <c r="C42" s="2409"/>
      <c r="D42" s="2409"/>
      <c r="E42" s="2409"/>
      <c r="F42" s="2410"/>
      <c r="H42" s="1507"/>
      <c r="I42" s="1507"/>
      <c r="J42" s="1507"/>
      <c r="K42" s="1507"/>
    </row>
    <row r="43" spans="1:15" s="1498" customFormat="1" ht="15" x14ac:dyDescent="0.25">
      <c r="A43" s="2397"/>
      <c r="B43" s="2398"/>
      <c r="C43" s="2398"/>
      <c r="D43" s="2398"/>
      <c r="E43" s="2398"/>
      <c r="F43" s="2399"/>
      <c r="H43" s="1507"/>
      <c r="I43" s="1507"/>
      <c r="J43" s="1507"/>
      <c r="K43" s="1507"/>
    </row>
    <row r="44" spans="1:15" s="1498" customFormat="1" ht="12" hidden="1" customHeight="1" x14ac:dyDescent="0.25">
      <c r="A44" s="2397"/>
      <c r="B44" s="2398"/>
      <c r="C44" s="2398"/>
      <c r="D44" s="2398"/>
      <c r="E44" s="2398"/>
      <c r="F44" s="239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42" sqref="I42:O42"/>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401</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402</v>
      </c>
      <c r="H3" s="838"/>
      <c r="I3" s="838"/>
      <c r="J3" s="838"/>
      <c r="K3" s="838"/>
      <c r="L3" s="838"/>
      <c r="M3" s="838"/>
      <c r="N3" s="1996"/>
    </row>
    <row r="4" spans="1:14" x14ac:dyDescent="0.2">
      <c r="A4" s="1995"/>
      <c r="B4" s="838"/>
      <c r="C4" s="838"/>
      <c r="D4" s="838"/>
      <c r="E4" s="838"/>
      <c r="F4" s="838"/>
      <c r="G4" s="1921" t="s">
        <v>862</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666</v>
      </c>
      <c r="B6" s="1376"/>
      <c r="C6" s="1376"/>
      <c r="D6" s="1376"/>
      <c r="E6" s="1377"/>
      <c r="F6" s="1920"/>
      <c r="G6" s="1921"/>
      <c r="H6" s="838"/>
      <c r="I6" s="1922" t="s">
        <v>1020</v>
      </c>
      <c r="J6" s="2437" t="str">
        <f>COVER!A17</f>
        <v xml:space="preserve">   Central City SD 133</v>
      </c>
      <c r="K6" s="2437"/>
      <c r="L6" s="2451"/>
      <c r="M6" s="838"/>
      <c r="N6" s="1996"/>
    </row>
    <row r="7" spans="1:14" x14ac:dyDescent="0.2">
      <c r="A7" s="2452" t="s">
        <v>863</v>
      </c>
      <c r="B7" s="2453"/>
      <c r="C7" s="2453"/>
      <c r="D7" s="2453"/>
      <c r="E7" s="2454"/>
      <c r="F7" s="839"/>
      <c r="G7" s="838"/>
      <c r="H7" s="838"/>
      <c r="I7" s="1922" t="s">
        <v>368</v>
      </c>
      <c r="J7" s="2439">
        <f>COVER!A13</f>
        <v>13058133002</v>
      </c>
      <c r="K7" s="2439"/>
      <c r="L7" s="2439"/>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6"/>
      <c r="G9" s="1856"/>
      <c r="H9" s="1856"/>
      <c r="I9" s="1927" t="s">
        <v>2018</v>
      </c>
      <c r="J9" s="1856"/>
      <c r="K9" s="1856"/>
      <c r="L9" s="1857"/>
      <c r="M9" s="838"/>
      <c r="N9" s="1996"/>
    </row>
    <row r="10" spans="1:14" x14ac:dyDescent="0.2">
      <c r="A10" s="2000"/>
      <c r="B10" s="1928"/>
      <c r="C10" s="1929"/>
      <c r="D10" s="1930"/>
      <c r="E10" s="1931" t="s">
        <v>421</v>
      </c>
      <c r="F10" s="1932" t="s">
        <v>422</v>
      </c>
      <c r="G10" s="1933" t="s">
        <v>428</v>
      </c>
      <c r="H10" s="1934"/>
      <c r="I10" s="1932" t="s">
        <v>421</v>
      </c>
      <c r="J10" s="1932" t="s">
        <v>422</v>
      </c>
      <c r="K10" s="1933" t="s">
        <v>428</v>
      </c>
      <c r="L10" s="1932"/>
      <c r="M10" s="838"/>
      <c r="N10" s="1996"/>
    </row>
    <row r="11" spans="1:14" ht="51" x14ac:dyDescent="0.2">
      <c r="A11" s="2455" t="s">
        <v>477</v>
      </c>
      <c r="B11" s="2456"/>
      <c r="C11" s="2457"/>
      <c r="D11" s="1935" t="s">
        <v>865</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812</v>
      </c>
      <c r="C12" s="842"/>
      <c r="D12" s="1939">
        <v>2320</v>
      </c>
      <c r="E12" s="1942">
        <f>'Expenditures 15-22'!K50</f>
        <v>134885</v>
      </c>
      <c r="F12" s="1940"/>
      <c r="G12" s="1966">
        <f>G68</f>
        <v>0</v>
      </c>
      <c r="H12" s="1942">
        <f t="shared" ref="H12:H18" si="0">SUM(E12:G12)</f>
        <v>134885</v>
      </c>
      <c r="I12" s="1941">
        <v>144100</v>
      </c>
      <c r="J12" s="1940"/>
      <c r="K12" s="1941"/>
      <c r="L12" s="1942">
        <f t="shared" ref="L12:L18" si="1">SUM(I12:K12)</f>
        <v>144100</v>
      </c>
      <c r="M12" s="838"/>
      <c r="N12" s="1996"/>
    </row>
    <row r="13" spans="1:14" x14ac:dyDescent="0.2">
      <c r="A13" s="2001">
        <v>2</v>
      </c>
      <c r="B13" s="1938" t="s">
        <v>42</v>
      </c>
      <c r="C13" s="842"/>
      <c r="D13" s="1939">
        <v>2330</v>
      </c>
      <c r="E13" s="1942">
        <f>'Expenditures 15-22'!K51</f>
        <v>4057</v>
      </c>
      <c r="F13" s="1940"/>
      <c r="G13" s="1966">
        <f>H68</f>
        <v>0</v>
      </c>
      <c r="H13" s="1942">
        <f t="shared" si="0"/>
        <v>4057</v>
      </c>
      <c r="I13" s="1941">
        <v>4219</v>
      </c>
      <c r="J13" s="1940"/>
      <c r="K13" s="1941"/>
      <c r="L13" s="1942">
        <f t="shared" si="1"/>
        <v>4219</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1058</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1050</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8" t="s">
        <v>7</v>
      </c>
      <c r="C18" s="2459"/>
      <c r="D18" s="2460"/>
      <c r="E18" s="1944"/>
      <c r="F18" s="1944"/>
      <c r="G18" s="1941"/>
      <c r="H18" s="1945">
        <f t="shared" si="0"/>
        <v>0</v>
      </c>
      <c r="I18" s="1941"/>
      <c r="J18" s="1941"/>
      <c r="K18" s="1941"/>
      <c r="L18" s="1942">
        <f t="shared" si="1"/>
        <v>0</v>
      </c>
      <c r="M18" s="838"/>
      <c r="N18" s="1996"/>
    </row>
    <row r="19" spans="1:14" ht="13.5" thickBot="1" x14ac:dyDescent="0.25">
      <c r="A19" s="2001">
        <v>8</v>
      </c>
      <c r="B19" s="1946" t="s">
        <v>1150</v>
      </c>
      <c r="C19" s="838"/>
      <c r="D19" s="1947"/>
      <c r="E19" s="1948">
        <f t="shared" ref="E19:L19" si="2">SUM(E12:E17)-E18</f>
        <v>138942</v>
      </c>
      <c r="F19" s="1948">
        <f t="shared" si="2"/>
        <v>0</v>
      </c>
      <c r="G19" s="1948">
        <f t="shared" ref="G19" si="3">SUM(G12:G17)-G18</f>
        <v>0</v>
      </c>
      <c r="H19" s="1948">
        <f t="shared" si="2"/>
        <v>138942</v>
      </c>
      <c r="I19" s="1948">
        <f t="shared" si="2"/>
        <v>148319</v>
      </c>
      <c r="J19" s="1948">
        <f t="shared" si="2"/>
        <v>0</v>
      </c>
      <c r="K19" s="1948">
        <f t="shared" si="2"/>
        <v>0</v>
      </c>
      <c r="L19" s="1948">
        <f t="shared" si="2"/>
        <v>148319</v>
      </c>
      <c r="M19" s="838"/>
      <c r="N19" s="1996"/>
    </row>
    <row r="20" spans="1:14" ht="13.5" thickTop="1" x14ac:dyDescent="0.2">
      <c r="A20" s="2001">
        <v>9</v>
      </c>
      <c r="B20" s="2461" t="s">
        <v>2020</v>
      </c>
      <c r="C20" s="2461"/>
      <c r="D20" s="2462"/>
      <c r="E20" s="1949"/>
      <c r="F20" s="1949"/>
      <c r="G20" s="1949"/>
      <c r="H20" s="1949"/>
      <c r="I20" s="1949"/>
      <c r="J20" s="1949"/>
      <c r="K20" s="1949"/>
      <c r="L20" s="1950">
        <f>IF(AND(H19&gt;0,L19&gt;0),(((L19-H19)/H19)),"Enter Budget Data")</f>
        <v>6.7488592362280664E-2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3"/>
      <c r="D27" s="2463"/>
      <c r="E27" s="843"/>
      <c r="F27" s="2464"/>
      <c r="G27" s="2464"/>
      <c r="H27" s="2464"/>
      <c r="I27" s="838"/>
      <c r="J27" s="838"/>
      <c r="K27" s="838"/>
      <c r="L27" s="838"/>
      <c r="M27" s="838"/>
      <c r="N27" s="1996"/>
    </row>
    <row r="28" spans="1:14" x14ac:dyDescent="0.2">
      <c r="A28" s="1995"/>
      <c r="B28" s="2005"/>
      <c r="C28" s="1955" t="s">
        <v>1025</v>
      </c>
      <c r="D28" s="844"/>
      <c r="E28" s="1956"/>
      <c r="F28" s="2465" t="s">
        <v>1491</v>
      </c>
      <c r="G28" s="2465"/>
      <c r="H28" s="2465"/>
      <c r="I28" s="838"/>
      <c r="J28" s="838"/>
      <c r="K28" s="838"/>
      <c r="L28" s="838"/>
      <c r="M28" s="838"/>
      <c r="N28" s="1996"/>
    </row>
    <row r="29" spans="1:14" x14ac:dyDescent="0.2">
      <c r="A29" s="1995"/>
      <c r="B29" s="2005"/>
      <c r="C29" s="2466"/>
      <c r="D29" s="2466"/>
      <c r="E29" s="845"/>
      <c r="F29" s="2466"/>
      <c r="G29" s="2466"/>
      <c r="H29" s="2466"/>
      <c r="I29" s="838"/>
      <c r="J29" s="838"/>
      <c r="K29" s="838"/>
      <c r="L29" s="838"/>
      <c r="M29" s="838"/>
      <c r="N29" s="1996"/>
    </row>
    <row r="30" spans="1:14" x14ac:dyDescent="0.2">
      <c r="A30" s="1995"/>
      <c r="B30" s="2005"/>
      <c r="C30" s="1958" t="s">
        <v>1543</v>
      </c>
      <c r="D30" s="838"/>
      <c r="E30" s="1957"/>
      <c r="F30" s="2450" t="s">
        <v>1492</v>
      </c>
      <c r="G30" s="2450"/>
      <c r="H30" s="2450"/>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1026</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7" t="s">
        <v>2023</v>
      </c>
      <c r="D34" s="2428"/>
      <c r="E34" s="2428"/>
      <c r="F34" s="2428"/>
      <c r="G34" s="2428"/>
      <c r="H34" s="2428"/>
      <c r="I34" s="2428"/>
      <c r="J34" s="2428"/>
      <c r="K34" s="2014"/>
      <c r="L34" s="838"/>
      <c r="M34" s="838"/>
      <c r="N34" s="1996"/>
    </row>
    <row r="35" spans="1:14" x14ac:dyDescent="0.2">
      <c r="A35" s="1995"/>
      <c r="B35" s="838"/>
      <c r="C35" s="2428"/>
      <c r="D35" s="2428"/>
      <c r="E35" s="2428"/>
      <c r="F35" s="2428"/>
      <c r="G35" s="2428"/>
      <c r="H35" s="2428"/>
      <c r="I35" s="2428"/>
      <c r="J35" s="2428"/>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7" t="s">
        <v>2024</v>
      </c>
      <c r="D37" s="2428"/>
      <c r="E37" s="2428"/>
      <c r="F37" s="2428"/>
      <c r="G37" s="2428"/>
      <c r="H37" s="2428"/>
      <c r="I37" s="2428"/>
      <c r="J37" s="2428"/>
      <c r="K37" s="2014"/>
      <c r="L37" s="2016"/>
      <c r="M37" s="838"/>
      <c r="N37" s="1996"/>
    </row>
    <row r="38" spans="1:14" x14ac:dyDescent="0.2">
      <c r="A38" s="1995"/>
      <c r="B38" s="838"/>
      <c r="C38" s="2428"/>
      <c r="D38" s="2428"/>
      <c r="E38" s="2428"/>
      <c r="F38" s="2428"/>
      <c r="G38" s="2428"/>
      <c r="H38" s="2428"/>
      <c r="I38" s="2428"/>
      <c r="J38" s="2428"/>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t="s">
        <v>2050</v>
      </c>
      <c r="C40" s="2429" t="s">
        <v>2025</v>
      </c>
      <c r="D40" s="2430"/>
      <c r="E40" s="2430"/>
      <c r="F40" s="2430"/>
      <c r="G40" s="2430"/>
      <c r="H40" s="2430"/>
      <c r="I40" s="2430"/>
      <c r="J40" s="2430"/>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1" t="s">
        <v>2026</v>
      </c>
      <c r="B43" s="2432"/>
      <c r="C43" s="2432"/>
      <c r="D43" s="2432"/>
      <c r="E43" s="2432"/>
      <c r="F43" s="2432"/>
      <c r="G43" s="2432"/>
      <c r="H43" s="2432"/>
      <c r="I43" s="2432"/>
      <c r="J43" s="2432"/>
      <c r="K43" s="2432"/>
      <c r="L43" s="2432"/>
      <c r="M43" s="2432"/>
      <c r="N43" s="2433"/>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34" t="s">
        <v>2028</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1020</v>
      </c>
      <c r="L52" s="2437" t="str">
        <f>J6</f>
        <v xml:space="preserve">   Central City SD 133</v>
      </c>
      <c r="M52" s="2437"/>
      <c r="N52" s="2438"/>
    </row>
    <row r="53" spans="1:14" x14ac:dyDescent="0.2">
      <c r="A53" s="1980"/>
      <c r="B53" s="1981"/>
      <c r="C53" s="1981"/>
      <c r="D53" s="1981"/>
      <c r="E53" s="1981"/>
      <c r="F53" s="1981"/>
      <c r="G53" s="1981"/>
      <c r="H53" s="1981"/>
      <c r="I53" s="1981"/>
      <c r="J53" s="1981"/>
      <c r="K53" s="1922" t="s">
        <v>368</v>
      </c>
      <c r="L53" s="2439">
        <f>J7</f>
        <v>13058133002</v>
      </c>
      <c r="M53" s="2439"/>
      <c r="N53" s="2440"/>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1"/>
      <c r="B55" s="2442"/>
      <c r="C55" s="2442"/>
      <c r="D55" s="1968"/>
      <c r="E55" s="1968"/>
      <c r="F55" s="1968"/>
      <c r="G55" s="2443" t="s">
        <v>2029</v>
      </c>
      <c r="H55" s="2443"/>
      <c r="I55" s="2443"/>
      <c r="J55" s="2443"/>
      <c r="K55" s="2443"/>
      <c r="L55" s="2443"/>
      <c r="M55" s="2443"/>
      <c r="N55" s="2444"/>
    </row>
    <row r="56" spans="1:14" ht="63.75" x14ac:dyDescent="0.2">
      <c r="A56" s="2445" t="s">
        <v>2030</v>
      </c>
      <c r="B56" s="2446"/>
      <c r="C56" s="2447"/>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448" t="s">
        <v>295</v>
      </c>
      <c r="B57" s="2449"/>
      <c r="C57" s="2449"/>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5" t="s">
        <v>2040</v>
      </c>
      <c r="B58" s="2426"/>
      <c r="C58" s="2426"/>
      <c r="D58" s="1965">
        <v>2362</v>
      </c>
      <c r="E58" s="1975">
        <f>'Expenditures 15-22'!K320</f>
        <v>4418</v>
      </c>
      <c r="F58" s="1970"/>
      <c r="G58" s="2029"/>
      <c r="H58" s="2030"/>
      <c r="I58" s="2030"/>
      <c r="J58" s="2030"/>
      <c r="K58" s="2030"/>
      <c r="L58" s="2030"/>
      <c r="M58" s="2030">
        <v>4418</v>
      </c>
      <c r="N58" s="1973">
        <f>IF((SUM(G58:M58))=E58,SUM(G58:M58),"Column N does not agree with Column E")</f>
        <v>4418</v>
      </c>
    </row>
    <row r="59" spans="1:14" ht="24.75" customHeight="1" x14ac:dyDescent="0.2">
      <c r="A59" s="2419" t="s">
        <v>296</v>
      </c>
      <c r="B59" s="2420"/>
      <c r="C59" s="2420"/>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9" t="s">
        <v>236</v>
      </c>
      <c r="B60" s="2420"/>
      <c r="C60" s="2420"/>
      <c r="D60" s="1965">
        <v>2364</v>
      </c>
      <c r="E60" s="1975">
        <f>'Expenditures 15-22'!K322</f>
        <v>0</v>
      </c>
      <c r="F60" s="1970"/>
      <c r="G60" s="2029"/>
      <c r="H60" s="2030"/>
      <c r="I60" s="2030"/>
      <c r="J60" s="2030"/>
      <c r="K60" s="2030"/>
      <c r="L60" s="2030"/>
      <c r="M60" s="2030"/>
      <c r="N60" s="1973">
        <f t="shared" ref="N60:N67" si="4">IF((SUM(G60:M60))=E60,SUM(G60:M60),"Column N does not agree with Column E")</f>
        <v>0</v>
      </c>
    </row>
    <row r="61" spans="1:14" ht="24.75" customHeight="1" x14ac:dyDescent="0.2">
      <c r="A61" s="2419" t="s">
        <v>696</v>
      </c>
      <c r="B61" s="2420"/>
      <c r="C61" s="2420"/>
      <c r="D61" s="1965">
        <v>2365</v>
      </c>
      <c r="E61" s="1975">
        <f>'Expenditures 15-22'!K323</f>
        <v>0</v>
      </c>
      <c r="F61" s="1970"/>
      <c r="G61" s="2029"/>
      <c r="H61" s="2030"/>
      <c r="I61" s="2030"/>
      <c r="J61" s="2030"/>
      <c r="K61" s="2030"/>
      <c r="L61" s="2030"/>
      <c r="M61" s="2030"/>
      <c r="N61" s="1973">
        <f t="shared" si="4"/>
        <v>0</v>
      </c>
    </row>
    <row r="62" spans="1:14" ht="24" customHeight="1" x14ac:dyDescent="0.2">
      <c r="A62" s="2419" t="s">
        <v>237</v>
      </c>
      <c r="B62" s="2420"/>
      <c r="C62" s="2420"/>
      <c r="D62" s="1965">
        <v>2366</v>
      </c>
      <c r="E62" s="1975">
        <f>'Expenditures 15-22'!K324</f>
        <v>0</v>
      </c>
      <c r="F62" s="1970"/>
      <c r="G62" s="2029"/>
      <c r="H62" s="2030"/>
      <c r="I62" s="2030"/>
      <c r="J62" s="2030"/>
      <c r="K62" s="2030"/>
      <c r="L62" s="2030"/>
      <c r="M62" s="2030"/>
      <c r="N62" s="1973">
        <f t="shared" si="4"/>
        <v>0</v>
      </c>
    </row>
    <row r="63" spans="1:14" ht="24" customHeight="1" x14ac:dyDescent="0.2">
      <c r="A63" s="2425" t="s">
        <v>1021</v>
      </c>
      <c r="B63" s="2426"/>
      <c r="C63" s="2426"/>
      <c r="D63" s="1965">
        <v>2367</v>
      </c>
      <c r="E63" s="1975">
        <f>'Expenditures 15-22'!K325</f>
        <v>0</v>
      </c>
      <c r="F63" s="1970"/>
      <c r="G63" s="2029"/>
      <c r="H63" s="2030"/>
      <c r="I63" s="2030"/>
      <c r="J63" s="2030"/>
      <c r="K63" s="2030"/>
      <c r="L63" s="2030"/>
      <c r="M63" s="2030"/>
      <c r="N63" s="1973">
        <f t="shared" si="4"/>
        <v>0</v>
      </c>
    </row>
    <row r="64" spans="1:14" ht="24" customHeight="1" x14ac:dyDescent="0.2">
      <c r="A64" s="2419" t="s">
        <v>1022</v>
      </c>
      <c r="B64" s="2420"/>
      <c r="C64" s="2420"/>
      <c r="D64" s="1965">
        <v>2368</v>
      </c>
      <c r="E64" s="1975">
        <f>'Expenditures 15-22'!K326</f>
        <v>0</v>
      </c>
      <c r="F64" s="1970"/>
      <c r="G64" s="2029"/>
      <c r="H64" s="2030"/>
      <c r="I64" s="2030"/>
      <c r="J64" s="2030"/>
      <c r="K64" s="2030"/>
      <c r="L64" s="2030"/>
      <c r="M64" s="2030"/>
      <c r="N64" s="1973">
        <f t="shared" si="4"/>
        <v>0</v>
      </c>
    </row>
    <row r="65" spans="1:14" ht="24" customHeight="1" x14ac:dyDescent="0.2">
      <c r="A65" s="2419" t="s">
        <v>964</v>
      </c>
      <c r="B65" s="2420"/>
      <c r="C65" s="2420"/>
      <c r="D65" s="1965">
        <v>2369</v>
      </c>
      <c r="E65" s="1975">
        <f>'Expenditures 15-22'!K327</f>
        <v>0</v>
      </c>
      <c r="F65" s="1970"/>
      <c r="G65" s="2029"/>
      <c r="H65" s="2030"/>
      <c r="I65" s="2030"/>
      <c r="J65" s="2030"/>
      <c r="K65" s="2030"/>
      <c r="L65" s="2030"/>
      <c r="M65" s="2030"/>
      <c r="N65" s="1973">
        <f t="shared" si="4"/>
        <v>0</v>
      </c>
    </row>
    <row r="66" spans="1:14" ht="24" customHeight="1" x14ac:dyDescent="0.2">
      <c r="A66" s="2419" t="s">
        <v>468</v>
      </c>
      <c r="B66" s="2420"/>
      <c r="C66" s="2420"/>
      <c r="D66" s="1965">
        <v>2371</v>
      </c>
      <c r="E66" s="1975">
        <f>'Expenditures 15-22'!K328</f>
        <v>0</v>
      </c>
      <c r="F66" s="1970"/>
      <c r="G66" s="2029"/>
      <c r="H66" s="2030"/>
      <c r="I66" s="2030"/>
      <c r="J66" s="2030"/>
      <c r="K66" s="2030"/>
      <c r="L66" s="2030"/>
      <c r="M66" s="2030"/>
      <c r="N66" s="1973">
        <f t="shared" si="4"/>
        <v>0</v>
      </c>
    </row>
    <row r="67" spans="1:14" ht="24.75" customHeight="1" x14ac:dyDescent="0.2">
      <c r="A67" s="2421" t="s">
        <v>2041</v>
      </c>
      <c r="B67" s="2422"/>
      <c r="C67" s="2422"/>
      <c r="D67" s="1967">
        <v>2372</v>
      </c>
      <c r="E67" s="1976">
        <f>'Expenditures 15-22'!K329</f>
        <v>0</v>
      </c>
      <c r="F67" s="1970"/>
      <c r="G67" s="2031"/>
      <c r="H67" s="2032"/>
      <c r="I67" s="2032"/>
      <c r="J67" s="2032"/>
      <c r="K67" s="2032"/>
      <c r="L67" s="2032"/>
      <c r="M67" s="2032"/>
      <c r="N67" s="1973">
        <f t="shared" si="4"/>
        <v>0</v>
      </c>
    </row>
    <row r="68" spans="1:14" x14ac:dyDescent="0.2">
      <c r="A68" s="2423" t="s">
        <v>1150</v>
      </c>
      <c r="B68" s="2424"/>
      <c r="C68" s="2424"/>
      <c r="D68" s="1968"/>
      <c r="E68" s="1972">
        <f>SUM(E57:E67)</f>
        <v>4418</v>
      </c>
      <c r="F68" s="1971"/>
      <c r="G68" s="1972">
        <f t="shared" ref="G68:N68" si="5">SUM(G57:G67)</f>
        <v>0</v>
      </c>
      <c r="H68" s="1972">
        <f t="shared" si="5"/>
        <v>0</v>
      </c>
      <c r="I68" s="1972">
        <f t="shared" si="5"/>
        <v>0</v>
      </c>
      <c r="J68" s="1972">
        <f t="shared" si="5"/>
        <v>0</v>
      </c>
      <c r="K68" s="1972">
        <f t="shared" si="5"/>
        <v>0</v>
      </c>
      <c r="L68" s="1972">
        <f t="shared" si="5"/>
        <v>0</v>
      </c>
      <c r="M68" s="1972">
        <f t="shared" si="5"/>
        <v>4418</v>
      </c>
      <c r="N68" s="1986">
        <f t="shared" si="5"/>
        <v>4418</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I42" sqref="I42:O4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2093</v>
      </c>
    </row>
    <row r="6" spans="1:2" x14ac:dyDescent="0.2">
      <c r="A6" s="847"/>
    </row>
    <row r="7" spans="1:2" x14ac:dyDescent="0.2">
      <c r="A7" s="847">
        <v>2</v>
      </c>
      <c r="B7" s="307" t="s">
        <v>2094</v>
      </c>
    </row>
    <row r="8" spans="1:2" x14ac:dyDescent="0.2">
      <c r="A8" s="847"/>
    </row>
    <row r="9" spans="1:2" x14ac:dyDescent="0.2">
      <c r="A9" s="847">
        <v>3</v>
      </c>
      <c r="B9" s="307" t="s">
        <v>2095</v>
      </c>
    </row>
    <row r="10" spans="1:2" x14ac:dyDescent="0.2">
      <c r="A10" s="847"/>
    </row>
    <row r="11" spans="1:2" x14ac:dyDescent="0.2">
      <c r="A11" s="847">
        <v>4</v>
      </c>
      <c r="B11" s="307" t="s">
        <v>2096</v>
      </c>
    </row>
    <row r="12" spans="1:2" x14ac:dyDescent="0.2">
      <c r="A12" s="847"/>
    </row>
    <row r="13" spans="1:2" x14ac:dyDescent="0.2">
      <c r="A13" s="847">
        <v>5</v>
      </c>
      <c r="B13" s="307" t="s">
        <v>2097</v>
      </c>
    </row>
    <row r="14" spans="1:2" x14ac:dyDescent="0.2">
      <c r="A14" s="847"/>
    </row>
    <row r="15" spans="1:2" x14ac:dyDescent="0.2">
      <c r="A15" s="847">
        <v>6</v>
      </c>
      <c r="B15" s="307" t="s">
        <v>2098</v>
      </c>
    </row>
    <row r="16" spans="1:2" x14ac:dyDescent="0.2">
      <c r="A16" s="847"/>
    </row>
    <row r="17" spans="1:2" x14ac:dyDescent="0.2">
      <c r="A17" s="847">
        <v>7</v>
      </c>
      <c r="B17" s="307" t="s">
        <v>2099</v>
      </c>
    </row>
    <row r="18" spans="1:2" x14ac:dyDescent="0.2">
      <c r="A18" s="847" t="s">
        <v>2100</v>
      </c>
    </row>
    <row r="19" spans="1:2" x14ac:dyDescent="0.2">
      <c r="A19" s="847" t="s">
        <v>2101</v>
      </c>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 xml:space="preserve">   Central City SD 133</v>
      </c>
    </row>
    <row r="65" spans="2:2" x14ac:dyDescent="0.2">
      <c r="B65" s="848">
        <f>COVER!A13</f>
        <v>13058133002</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42" sqref="I42:O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69" t="s">
        <v>1593</v>
      </c>
    </row>
    <row r="23" spans="1:5" x14ac:dyDescent="0.2">
      <c r="A23" s="163"/>
      <c r="B23" s="157" t="s">
        <v>1827</v>
      </c>
      <c r="D23" s="162" t="s">
        <v>631</v>
      </c>
      <c r="E23" s="1469" t="s">
        <v>952</v>
      </c>
    </row>
    <row r="24" spans="1:5" x14ac:dyDescent="0.2">
      <c r="A24" s="163" t="s">
        <v>1591</v>
      </c>
      <c r="C24" s="157" t="s">
        <v>1158</v>
      </c>
      <c r="D24" s="162" t="s">
        <v>1376</v>
      </c>
      <c r="E24" s="165" t="s">
        <v>953</v>
      </c>
    </row>
    <row r="25" spans="1:5" x14ac:dyDescent="0.2">
      <c r="A25" s="163" t="s">
        <v>1839</v>
      </c>
      <c r="C25" s="157" t="s">
        <v>1158</v>
      </c>
      <c r="D25" s="164" t="s">
        <v>21</v>
      </c>
      <c r="E25" s="1469" t="s">
        <v>2047</v>
      </c>
    </row>
    <row r="26" spans="1:5" x14ac:dyDescent="0.2">
      <c r="A26" s="163" t="s">
        <v>1840</v>
      </c>
      <c r="C26" s="157" t="s">
        <v>1158</v>
      </c>
      <c r="D26" s="164" t="s">
        <v>558</v>
      </c>
      <c r="E26" s="1469" t="s">
        <v>677</v>
      </c>
    </row>
    <row r="27" spans="1:5" x14ac:dyDescent="0.2">
      <c r="A27" s="163" t="s">
        <v>1841</v>
      </c>
      <c r="C27" s="157" t="s">
        <v>1158</v>
      </c>
      <c r="D27" s="164" t="s">
        <v>552</v>
      </c>
      <c r="E27" s="1469" t="s">
        <v>1349</v>
      </c>
    </row>
    <row r="28" spans="1:5" x14ac:dyDescent="0.2">
      <c r="A28" s="163" t="s">
        <v>1843</v>
      </c>
      <c r="D28" s="164" t="s">
        <v>678</v>
      </c>
      <c r="E28" s="1469" t="s">
        <v>1358</v>
      </c>
    </row>
    <row r="29" spans="1:5" x14ac:dyDescent="0.2">
      <c r="A29" s="163" t="s">
        <v>1844</v>
      </c>
      <c r="D29" s="164" t="s">
        <v>1377</v>
      </c>
      <c r="E29" s="1469"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3" t="s">
        <v>1055</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685</v>
      </c>
      <c r="B40" s="2150"/>
      <c r="C40" s="2150"/>
      <c r="D40" s="2150"/>
      <c r="E40" s="2150"/>
    </row>
    <row r="41" spans="1:5" x14ac:dyDescent="0.2">
      <c r="A41" s="2151" t="s">
        <v>1590</v>
      </c>
      <c r="B41" s="2151"/>
      <c r="C41" s="2151"/>
      <c r="D41" s="2151"/>
      <c r="E41" s="2151"/>
    </row>
    <row r="42" spans="1:5" ht="12.75" customHeight="1" x14ac:dyDescent="0.2">
      <c r="A42" s="2152" t="s">
        <v>1014</v>
      </c>
      <c r="B42" s="2152"/>
      <c r="C42" s="2152"/>
      <c r="D42" s="2152"/>
      <c r="E42" s="2152"/>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I42" sqref="I42:O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7" sqref="C7"/>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1972</v>
      </c>
    </row>
    <row r="17" spans="1:2" ht="6" customHeight="1" x14ac:dyDescent="0.2"/>
    <row r="18" spans="1:2" ht="24.75" customHeight="1" x14ac:dyDescent="0.2">
      <c r="A18" s="2467" t="s">
        <v>1664</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60417" r:id="rId4">
          <objectPr defaultSize="0" r:id="rId5">
            <anchor moveWithCells="1">
              <from>
                <xdr:col>1</xdr:col>
                <xdr:colOff>0</xdr:colOff>
                <xdr:row>5</xdr:row>
                <xdr:rowOff>0</xdr:rowOff>
              </from>
              <to>
                <xdr:col>1</xdr:col>
                <xdr:colOff>1200150</xdr:colOff>
                <xdr:row>8</xdr:row>
                <xdr:rowOff>28575</xdr:rowOff>
              </to>
            </anchor>
          </objectPr>
        </oleObject>
      </mc:Choice>
      <mc:Fallback>
        <oleObject progId="Package2" shapeId="60417" r:id="rId4"/>
      </mc:Fallback>
    </mc:AlternateContent>
    <mc:AlternateContent xmlns:mc="http://schemas.openxmlformats.org/markup-compatibility/2006">
      <mc:Choice Requires="x14">
        <oleObject progId="Package2" shapeId="60418" r:id="rId6">
          <objectPr defaultSize="0" r:id="rId7">
            <anchor moveWithCells="1">
              <from>
                <xdr:col>2</xdr:col>
                <xdr:colOff>0</xdr:colOff>
                <xdr:row>6</xdr:row>
                <xdr:rowOff>0</xdr:rowOff>
              </from>
              <to>
                <xdr:col>5</xdr:col>
                <xdr:colOff>485775</xdr:colOff>
                <xdr:row>9</xdr:row>
                <xdr:rowOff>28575</xdr:rowOff>
              </to>
            </anchor>
          </objectPr>
        </oleObject>
      </mc:Choice>
      <mc:Fallback>
        <oleObject progId="Package2" shapeId="6041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42" sqref="I42:O4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1668</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2"/>
      <c r="H2" s="852"/>
    </row>
    <row r="3" spans="1:8" ht="57" customHeight="1" x14ac:dyDescent="0.2">
      <c r="A3" s="2481" t="s">
        <v>1971</v>
      </c>
      <c r="B3" s="2482"/>
      <c r="C3" s="2482"/>
      <c r="D3" s="2482"/>
      <c r="E3" s="2482"/>
      <c r="F3" s="2483"/>
      <c r="G3" s="852"/>
      <c r="H3" s="852"/>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2"/>
      <c r="H4" s="852"/>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2"/>
      <c r="H5" s="852"/>
    </row>
    <row r="6" spans="1:8" s="853" customFormat="1" ht="41.25" customHeight="1" x14ac:dyDescent="0.2">
      <c r="A6" s="2484" t="s">
        <v>1669</v>
      </c>
      <c r="B6" s="2485"/>
      <c r="C6" s="2485"/>
      <c r="D6" s="2485"/>
      <c r="E6" s="2485"/>
      <c r="F6" s="2486"/>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812">
        <f>'Acct Summary 7-8'!C8</f>
        <v>2666356</v>
      </c>
      <c r="C8" s="1812">
        <f>'Acct Summary 7-8'!D8</f>
        <v>258584</v>
      </c>
      <c r="D8" s="1812">
        <f>'Acct Summary 7-8'!F8</f>
        <v>50526</v>
      </c>
      <c r="E8" s="1812">
        <f>'Acct Summary 7-8'!I8</f>
        <v>628</v>
      </c>
      <c r="F8" s="1812">
        <f>SUM(B8:E8)</f>
        <v>2976094</v>
      </c>
    </row>
    <row r="9" spans="1:8" s="857" customFormat="1" ht="14.25" customHeight="1" thickBot="1" x14ac:dyDescent="0.25">
      <c r="A9" s="856" t="s">
        <v>1352</v>
      </c>
      <c r="B9" s="1813">
        <f>'Acct Summary 7-8'!C17</f>
        <v>2548193</v>
      </c>
      <c r="C9" s="1813">
        <f>'Acct Summary 7-8'!D17</f>
        <v>416414</v>
      </c>
      <c r="D9" s="1813">
        <f>'Acct Summary 7-8'!F17</f>
        <v>262004</v>
      </c>
      <c r="E9" s="1812"/>
      <c r="F9" s="1812">
        <f>SUM(B9:E9)</f>
        <v>3226611</v>
      </c>
    </row>
    <row r="10" spans="1:8" s="857" customFormat="1" ht="14.25" thickTop="1" thickBot="1" x14ac:dyDescent="0.25">
      <c r="A10" s="858" t="s">
        <v>1353</v>
      </c>
      <c r="B10" s="1814">
        <f>(B8-B9)</f>
        <v>118163</v>
      </c>
      <c r="C10" s="1814">
        <f>(C8-C9)</f>
        <v>-157830</v>
      </c>
      <c r="D10" s="1814">
        <f>(D8-D9)</f>
        <v>-211478</v>
      </c>
      <c r="E10" s="1813">
        <f>(E8-E9)</f>
        <v>628</v>
      </c>
      <c r="F10" s="1815">
        <f>SUM(F8-F9)</f>
        <v>-250517</v>
      </c>
    </row>
    <row r="11" spans="1:8" s="857" customFormat="1" ht="14.25" thickTop="1" thickBot="1" x14ac:dyDescent="0.25">
      <c r="A11" s="859" t="s">
        <v>1902</v>
      </c>
      <c r="B11" s="1816">
        <f>'Acct Summary 7-8'!C81</f>
        <v>742803</v>
      </c>
      <c r="C11" s="1816">
        <f>'Acct Summary 7-8'!D81</f>
        <v>51971</v>
      </c>
      <c r="D11" s="1816">
        <f>'Acct Summary 7-8'!F81</f>
        <v>27661</v>
      </c>
      <c r="E11" s="1816">
        <f>'Acct Summary 7-8'!I81</f>
        <v>35713</v>
      </c>
      <c r="F11" s="1817">
        <f>SUM(B11:E11)</f>
        <v>858148</v>
      </c>
    </row>
    <row r="12" spans="1:8" ht="16.5" customHeight="1" thickTop="1" x14ac:dyDescent="0.2">
      <c r="A12" s="860"/>
      <c r="B12" s="861"/>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2"/>
      <c r="B13" s="863"/>
      <c r="C13" s="2472"/>
      <c r="D13" s="2473"/>
      <c r="E13" s="2473"/>
      <c r="F13" s="2474"/>
      <c r="H13" s="852"/>
    </row>
    <row r="14" spans="1:8" ht="19.5" customHeight="1" x14ac:dyDescent="0.2">
      <c r="A14" s="862"/>
      <c r="B14" s="863"/>
      <c r="C14" s="2472"/>
      <c r="D14" s="2473"/>
      <c r="E14" s="2473"/>
      <c r="F14" s="2474"/>
      <c r="H14" s="852"/>
    </row>
    <row r="15" spans="1:8" ht="17.25" customHeight="1" x14ac:dyDescent="0.2">
      <c r="A15" s="862"/>
      <c r="B15" s="863"/>
      <c r="C15" s="2475"/>
      <c r="D15" s="2476"/>
      <c r="E15" s="2476"/>
      <c r="F15" s="2477"/>
      <c r="H15" s="852"/>
    </row>
    <row r="16" spans="1:8" s="288" customFormat="1" ht="51.75" hidden="1" customHeight="1" x14ac:dyDescent="0.2">
      <c r="A16" s="2471" t="s">
        <v>1665</v>
      </c>
      <c r="B16" s="2471"/>
      <c r="C16" s="2471"/>
      <c r="D16" s="2471"/>
      <c r="E16" s="2471"/>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I42" sqref="I42:O42"/>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3" t="s">
        <v>659</v>
      </c>
      <c r="B3" s="2494"/>
      <c r="C3" s="2494"/>
      <c r="D3" s="2495"/>
    </row>
    <row r="4" spans="1:4" x14ac:dyDescent="0.2">
      <c r="A4" s="930" t="s">
        <v>1670</v>
      </c>
      <c r="B4" s="931"/>
      <c r="C4" s="932"/>
      <c r="D4" s="933"/>
    </row>
    <row r="5" spans="1:4" ht="21" customHeight="1" x14ac:dyDescent="0.2">
      <c r="A5" s="926"/>
      <c r="B5" s="927">
        <v>1</v>
      </c>
      <c r="C5" s="928" t="s">
        <v>1973</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504" t="s">
        <v>1486</v>
      </c>
      <c r="D7" s="2505"/>
    </row>
    <row r="8" spans="1:4" s="542" customFormat="1" ht="12.75" x14ac:dyDescent="0.2">
      <c r="A8" s="916"/>
      <c r="B8" s="871"/>
      <c r="C8" s="874" t="s">
        <v>1485</v>
      </c>
      <c r="D8" s="875"/>
    </row>
    <row r="9" spans="1:4" s="542" customFormat="1" ht="14.25" customHeight="1" x14ac:dyDescent="0.2">
      <c r="A9" s="916"/>
      <c r="B9" s="871">
        <f>B7+1</f>
        <v>4</v>
      </c>
      <c r="C9" s="872" t="s">
        <v>1878</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496" t="s">
        <v>1000</v>
      </c>
      <c r="B15" s="2497"/>
      <c r="C15" s="2497"/>
      <c r="D15" s="2498"/>
    </row>
    <row r="16" spans="1:4" s="542" customFormat="1" ht="24" customHeight="1" x14ac:dyDescent="0.2">
      <c r="A16" s="2499" t="s">
        <v>657</v>
      </c>
      <c r="B16" s="2500"/>
      <c r="C16" s="2500"/>
      <c r="D16" s="2501"/>
    </row>
    <row r="17" spans="1:10" s="542" customFormat="1" ht="12.75" customHeight="1" x14ac:dyDescent="0.2">
      <c r="A17" s="934" t="s">
        <v>1671</v>
      </c>
      <c r="B17" s="935"/>
      <c r="C17" s="936"/>
      <c r="D17" s="937"/>
    </row>
    <row r="18" spans="1:10" s="542" customFormat="1" ht="12.75" customHeight="1" x14ac:dyDescent="0.2">
      <c r="A18" s="938" t="s">
        <v>1974</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508" t="s">
        <v>310</v>
      </c>
      <c r="D21" s="2509"/>
    </row>
    <row r="22" spans="1:10" ht="12.75" x14ac:dyDescent="0.2">
      <c r="A22" s="917"/>
      <c r="B22" s="918">
        <v>2</v>
      </c>
      <c r="C22" s="2506" t="s">
        <v>1506</v>
      </c>
      <c r="D22" s="2507"/>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10" t="s">
        <v>532</v>
      </c>
      <c r="D43" s="2511"/>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502" t="s">
        <v>778</v>
      </c>
      <c r="D56" s="2503"/>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1879</v>
      </c>
      <c r="D66" s="903"/>
    </row>
    <row r="67" spans="1:4" x14ac:dyDescent="0.2">
      <c r="A67" s="897"/>
      <c r="B67" s="918"/>
      <c r="C67" s="925" t="s">
        <v>1013</v>
      </c>
      <c r="D67" s="903"/>
    </row>
    <row r="68" spans="1:4" x14ac:dyDescent="0.2">
      <c r="A68" s="878"/>
      <c r="B68" s="888"/>
      <c r="C68" s="880" t="s">
        <v>1880</v>
      </c>
      <c r="D68" s="902" t="str">
        <f>IF('Short-Term Long-Term Debt 24'!F49=SUM(,'Acct Summary 7-8'!C33:K33),"OK","ERROR!")</f>
        <v>ERROR!</v>
      </c>
    </row>
    <row r="69" spans="1:4" x14ac:dyDescent="0.2">
      <c r="A69" s="878"/>
      <c r="B69" s="888"/>
      <c r="C69" s="880" t="s">
        <v>1881</v>
      </c>
      <c r="D69" s="902" t="str">
        <f>IF('Expenditures 15-22'!H170&lt;&gt;'Short-Term Long-Term Debt 24'!H49,"ERROR!","OK")</f>
        <v>ERROR!</v>
      </c>
    </row>
    <row r="70" spans="1:4" x14ac:dyDescent="0.2">
      <c r="A70" s="876"/>
      <c r="B70" s="898">
        <f>B66+1</f>
        <v>9</v>
      </c>
      <c r="C70" s="2502" t="s">
        <v>1673</v>
      </c>
      <c r="D70" s="2503"/>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1882</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1987</v>
      </c>
      <c r="D78" s="902" t="str">
        <f>IF(ISNUMBER('Acct Summary 7-8'!C9),"OK","ENTRY IS REQUIRED!")</f>
        <v>OK</v>
      </c>
    </row>
    <row r="79" spans="1:4" x14ac:dyDescent="0.2">
      <c r="A79" s="897"/>
      <c r="B79" s="898">
        <f>B74+1+1</f>
        <v>12</v>
      </c>
      <c r="C79" s="908" t="s">
        <v>1870</v>
      </c>
      <c r="D79" s="909" t="str">
        <f>IF(OR(COVER!$B$6="X",'PCTC-OEPP 27-28'!F79&gt;0),"OK","PLEASE ENTER 9 MO ADA.")</f>
        <v>OK</v>
      </c>
    </row>
    <row r="80" spans="1:4" x14ac:dyDescent="0.2">
      <c r="A80" s="876"/>
      <c r="B80" s="898">
        <v>13</v>
      </c>
      <c r="C80" s="908" t="s">
        <v>1975</v>
      </c>
      <c r="D80" s="909" t="str">
        <f>IF(OR(COVER!$B$6="X",ISNUMBER('PCTC-OEPP 27-28'!F172)),"OK","PLEASE ENTER AMOUNT or 0.")</f>
        <v>OK</v>
      </c>
    </row>
    <row r="81" spans="1:4" x14ac:dyDescent="0.2">
      <c r="A81" s="876"/>
      <c r="B81" s="898">
        <v>14</v>
      </c>
      <c r="C81" s="908" t="s">
        <v>1976</v>
      </c>
      <c r="D81" s="909" t="str">
        <f>IF(OR(COVER!$B$6="X",ISNUMBER('PCTC-OEPP 27-28'!F173)),"OK","PLEASE ENTER AMOUNT or 0.")</f>
        <v>OK</v>
      </c>
    </row>
    <row r="82" spans="1:4" x14ac:dyDescent="0.2">
      <c r="A82" s="876"/>
      <c r="B82" s="898">
        <v>15</v>
      </c>
      <c r="C82" s="908" t="s">
        <v>1883</v>
      </c>
      <c r="D82" s="1899" t="str">
        <f>IF('Contracts Paid in CY 29'!$D$36&gt;0,"OK","PLEASE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1966</v>
      </c>
      <c r="F1" s="1542" t="s">
        <v>1967</v>
      </c>
      <c r="G1" s="1898" t="s">
        <v>1977</v>
      </c>
    </row>
    <row r="2" spans="1:7" ht="15.75" x14ac:dyDescent="0.25">
      <c r="A2" t="s">
        <v>260</v>
      </c>
      <c r="B2" s="135">
        <f>COVER!A13</f>
        <v>13058133002</v>
      </c>
      <c r="E2" s="1541">
        <v>2020</v>
      </c>
      <c r="F2" s="1541">
        <v>1</v>
      </c>
      <c r="G2" s="1897">
        <v>101000300</v>
      </c>
    </row>
    <row r="3" spans="1:7" ht="15" x14ac:dyDescent="0.25">
      <c r="A3" t="s">
        <v>949</v>
      </c>
      <c r="B3" s="135" t="str">
        <f>COVER!A15</f>
        <v>MARION</v>
      </c>
      <c r="E3" s="1829" t="s">
        <v>1970</v>
      </c>
      <c r="F3" s="1829" t="s">
        <v>1969</v>
      </c>
      <c r="G3" s="1897">
        <v>101000400</v>
      </c>
    </row>
    <row r="4" spans="1:7" ht="15" x14ac:dyDescent="0.25">
      <c r="A4" t="s">
        <v>999</v>
      </c>
      <c r="B4" s="135" t="str">
        <f>COVER!A17</f>
        <v xml:space="preserve">   Central City SD 133</v>
      </c>
      <c r="E4" s="1827">
        <v>44119</v>
      </c>
      <c r="F4" s="1828">
        <v>44151</v>
      </c>
      <c r="G4" s="1897">
        <v>101000600</v>
      </c>
    </row>
    <row r="5" spans="1:7" ht="15" x14ac:dyDescent="0.25">
      <c r="A5" t="s">
        <v>698</v>
      </c>
      <c r="B5" s="135" t="str">
        <f>COVER!A38</f>
        <v>TIM BRANON</v>
      </c>
      <c r="G5" s="1897">
        <v>101000800</v>
      </c>
    </row>
    <row r="6" spans="1:7" ht="15" x14ac:dyDescent="0.25">
      <c r="A6" t="s">
        <v>703</v>
      </c>
      <c r="B6" s="135">
        <f>COVER!P35</f>
        <v>0</v>
      </c>
      <c r="G6" s="1897">
        <v>102100300</v>
      </c>
    </row>
    <row r="7" spans="1:7" ht="15" x14ac:dyDescent="0.25">
      <c r="A7" t="s">
        <v>699</v>
      </c>
      <c r="B7" s="135">
        <f>COVER!I38</f>
        <v>0</v>
      </c>
      <c r="G7" s="1897">
        <v>102100400</v>
      </c>
    </row>
    <row r="8" spans="1:7" ht="15" x14ac:dyDescent="0.25">
      <c r="A8" t="s">
        <v>700</v>
      </c>
      <c r="B8" s="135" t="str">
        <f>COVER!T38</f>
        <v>RON DANIELS</v>
      </c>
      <c r="G8" s="1897">
        <v>102100600</v>
      </c>
    </row>
    <row r="9" spans="1:7" ht="15" x14ac:dyDescent="0.25">
      <c r="A9" s="3" t="s">
        <v>950</v>
      </c>
      <c r="B9" s="153" t="str">
        <f>AUDITCHECK!D23</f>
        <v>CASH</v>
      </c>
      <c r="G9" s="1897">
        <v>102100800</v>
      </c>
    </row>
    <row r="10" spans="1:7" ht="15" x14ac:dyDescent="0.25">
      <c r="A10" t="s">
        <v>969</v>
      </c>
      <c r="B10" s="135" t="str">
        <f>COVER!B5</f>
        <v>X</v>
      </c>
      <c r="G10" s="1897">
        <v>202100300</v>
      </c>
    </row>
    <row r="11" spans="1:7" ht="15" x14ac:dyDescent="0.25">
      <c r="A11" t="s">
        <v>970</v>
      </c>
      <c r="B11" s="135">
        <f>COVER!B6</f>
        <v>0</v>
      </c>
      <c r="G11" s="1897">
        <v>202100400</v>
      </c>
    </row>
    <row r="12" spans="1:7" ht="15" x14ac:dyDescent="0.25">
      <c r="A12" s="1" t="s">
        <v>1525</v>
      </c>
      <c r="B12" s="135" t="str">
        <f>IF(COVER!J29="x","Yes",IF(COVER!L29="X","No",0))</f>
        <v>No</v>
      </c>
      <c r="G12" s="1897">
        <v>202100600</v>
      </c>
    </row>
    <row r="13" spans="1:7" ht="15" x14ac:dyDescent="0.25">
      <c r="A13" s="1" t="s">
        <v>1526</v>
      </c>
      <c r="B13" s="135">
        <f>IF(COVER!J30="x","Yes",IF(COVER!L30="x","No",0))</f>
        <v>0</v>
      </c>
      <c r="G13" s="1897">
        <v>202100800</v>
      </c>
    </row>
    <row r="14" spans="1:7" ht="15" x14ac:dyDescent="0.25">
      <c r="A14" t="s">
        <v>472</v>
      </c>
      <c r="B14" s="135" t="str">
        <f>IF(COVER!J31="x","Yes",IF(COVER!L31="x","No",0))</f>
        <v>Yes</v>
      </c>
      <c r="G14" s="1897">
        <v>402100300</v>
      </c>
    </row>
    <row r="15" spans="1:7" ht="15" x14ac:dyDescent="0.25">
      <c r="A15" t="s">
        <v>572</v>
      </c>
      <c r="B15" s="135" t="str">
        <f>COVER!T23</f>
        <v>066-004957</v>
      </c>
      <c r="G15" s="1897">
        <v>402100400</v>
      </c>
    </row>
    <row r="16" spans="1:7" ht="15" x14ac:dyDescent="0.25">
      <c r="A16" t="s">
        <v>418</v>
      </c>
      <c r="B16" s="135" t="str">
        <f>COVER!T13</f>
        <v>SUSAN J. LYONS, CPA, P.C.</v>
      </c>
      <c r="G16" s="1897">
        <v>402100600</v>
      </c>
    </row>
    <row r="17" spans="1:7" ht="15" x14ac:dyDescent="0.25">
      <c r="A17" t="s">
        <v>877</v>
      </c>
      <c r="B17" s="135" t="str">
        <f>COVER!T15</f>
        <v>SUSAN J. LYONS</v>
      </c>
      <c r="G17" s="1897">
        <v>402100800</v>
      </c>
    </row>
    <row r="18" spans="1:7" ht="15" x14ac:dyDescent="0.25">
      <c r="A18" t="s">
        <v>1139</v>
      </c>
      <c r="B18" s="135" t="str">
        <f>COVER!T17</f>
        <v>5859 U.S. HIGHWAY 51</v>
      </c>
      <c r="G18" s="1897">
        <v>102200300</v>
      </c>
    </row>
    <row r="19" spans="1:7" ht="15" x14ac:dyDescent="0.25">
      <c r="A19" t="s">
        <v>879</v>
      </c>
      <c r="B19" s="135" t="str">
        <f>COVER!T25</f>
        <v>slyons1007@gmail.com</v>
      </c>
      <c r="G19" s="1897">
        <v>102200400</v>
      </c>
    </row>
    <row r="20" spans="1:7" ht="15" x14ac:dyDescent="0.25">
      <c r="A20" t="s">
        <v>880</v>
      </c>
      <c r="B20" s="135" t="str">
        <f>COVER!T19</f>
        <v>ODIN</v>
      </c>
      <c r="G20" s="1897">
        <v>102200600</v>
      </c>
    </row>
    <row r="21" spans="1:7" ht="15" x14ac:dyDescent="0.25">
      <c r="A21" t="s">
        <v>475</v>
      </c>
      <c r="B21" s="135" t="str">
        <f>COVER!X19</f>
        <v>IL</v>
      </c>
      <c r="G21" s="1897">
        <v>102200800</v>
      </c>
    </row>
    <row r="22" spans="1:7" ht="15" x14ac:dyDescent="0.25">
      <c r="A22" t="s">
        <v>881</v>
      </c>
      <c r="B22" s="135">
        <f>COVER!Z19</f>
        <v>62870</v>
      </c>
      <c r="G22" s="1897">
        <v>102300300</v>
      </c>
    </row>
    <row r="23" spans="1:7" ht="15" x14ac:dyDescent="0.25">
      <c r="A23" t="s">
        <v>1141</v>
      </c>
      <c r="B23" s="135" t="str">
        <f>COVER!T21</f>
        <v>618-267-3213</v>
      </c>
      <c r="G23" s="1897">
        <v>102300400</v>
      </c>
    </row>
    <row r="24" spans="1:7" ht="15" x14ac:dyDescent="0.25">
      <c r="A24" t="s">
        <v>1140</v>
      </c>
      <c r="B24" s="135">
        <f>COVER!Y21</f>
        <v>0</v>
      </c>
      <c r="G24" s="1897">
        <v>102300600</v>
      </c>
    </row>
    <row r="25" spans="1:7" ht="15" x14ac:dyDescent="0.25">
      <c r="A25" t="s">
        <v>755</v>
      </c>
      <c r="B25" s="135">
        <f>COVER!B34</f>
        <v>0</v>
      </c>
      <c r="G25" s="1897">
        <v>102300800</v>
      </c>
    </row>
    <row r="26" spans="1:7" ht="15" x14ac:dyDescent="0.25">
      <c r="A26" t="s">
        <v>1142</v>
      </c>
      <c r="B26" s="135">
        <f>COVER!L34</f>
        <v>0</v>
      </c>
      <c r="G26" s="1897">
        <v>802300300</v>
      </c>
    </row>
    <row r="27" spans="1:7" ht="15" x14ac:dyDescent="0.25">
      <c r="A27" t="s">
        <v>265</v>
      </c>
      <c r="B27" s="135" t="str">
        <f>COVER!U34</f>
        <v>X</v>
      </c>
      <c r="G27" s="1897">
        <v>802300400</v>
      </c>
    </row>
    <row r="28" spans="1:7" ht="15" x14ac:dyDescent="0.25">
      <c r="A28" t="s">
        <v>312</v>
      </c>
      <c r="B28" s="135" t="str">
        <f>IF('Aud Quest 2'!B9="x","Yes",IF('Aud Quest 2'!B9&lt;&gt;"x","0"))</f>
        <v>0</v>
      </c>
      <c r="G28" s="1897">
        <v>802300600</v>
      </c>
    </row>
    <row r="29" spans="1:7" ht="15" x14ac:dyDescent="0.25">
      <c r="A29" t="s">
        <v>313</v>
      </c>
      <c r="B29" s="135" t="str">
        <f>IF('Aud Quest 2'!B11="x","Yes",IF('Aud Quest 2'!B11&lt;&gt;"x","0"))</f>
        <v>0</v>
      </c>
      <c r="G29" s="1897">
        <v>802300800</v>
      </c>
    </row>
    <row r="30" spans="1:7" ht="15" x14ac:dyDescent="0.25">
      <c r="A30" t="s">
        <v>314</v>
      </c>
      <c r="B30" s="135" t="str">
        <f>IF('Aud Quest 2'!B13="x","Yes",IF('Aud Quest 2'!B13&lt;&gt;"x","0"))</f>
        <v>0</v>
      </c>
      <c r="G30" s="1897">
        <v>102400300</v>
      </c>
    </row>
    <row r="31" spans="1:7" ht="15" x14ac:dyDescent="0.25">
      <c r="A31" t="s">
        <v>653</v>
      </c>
      <c r="B31" s="135" t="str">
        <f>IF('Aud Quest 2'!B14="x","Yes",IF('Aud Quest 2'!B14&lt;&gt;"x","0"))</f>
        <v>0</v>
      </c>
      <c r="G31" s="1897">
        <v>102400400</v>
      </c>
    </row>
    <row r="32" spans="1:7" ht="15" x14ac:dyDescent="0.25">
      <c r="A32" t="s">
        <v>652</v>
      </c>
      <c r="B32" s="135" t="str">
        <f>IF('Aud Quest 2'!B15="x","Yes",IF('Aud Quest 2'!B15&lt;&gt;"x","0"))</f>
        <v>0</v>
      </c>
      <c r="G32" s="1897">
        <v>102400600</v>
      </c>
    </row>
    <row r="33" spans="1:7" ht="15" x14ac:dyDescent="0.25">
      <c r="A33" t="s">
        <v>654</v>
      </c>
      <c r="B33" s="135" t="str">
        <f>IF('Aud Quest 2'!B16="x","Yes",IF('Aud Quest 2'!B16&lt;&gt;"x","0"))</f>
        <v>0</v>
      </c>
      <c r="G33" s="1897">
        <v>102400800</v>
      </c>
    </row>
    <row r="34" spans="1:7" ht="15" x14ac:dyDescent="0.25">
      <c r="A34" t="s">
        <v>655</v>
      </c>
      <c r="B34" s="135" t="str">
        <f>IF('Aud Quest 2'!B18="x","Yes",IF('Aud Quest 2'!B18&lt;&gt;"x","0"))</f>
        <v>0</v>
      </c>
      <c r="G34" s="1897">
        <v>102510300</v>
      </c>
    </row>
    <row r="35" spans="1:7" ht="15" x14ac:dyDescent="0.25">
      <c r="A35" t="s">
        <v>656</v>
      </c>
      <c r="B35" s="135" t="str">
        <f>IF('Aud Quest 2'!B20="x","Yes",IF('Aud Quest 2'!B20&lt;&gt;"x","0"))</f>
        <v>0</v>
      </c>
      <c r="G35" s="1897">
        <v>102510400</v>
      </c>
    </row>
    <row r="36" spans="1:7" ht="15" x14ac:dyDescent="0.25">
      <c r="A36" t="s">
        <v>650</v>
      </c>
      <c r="B36" s="135" t="str">
        <f>IF('Aud Quest 2'!B22="x","Yes",IF('Aud Quest 2'!B22&lt;&gt;"x","0"))</f>
        <v>Yes</v>
      </c>
      <c r="G36" s="1897">
        <v>102510600</v>
      </c>
    </row>
    <row r="37" spans="1:7" ht="15" x14ac:dyDescent="0.25">
      <c r="A37" t="s">
        <v>754</v>
      </c>
      <c r="B37" s="135" t="str">
        <f>IF('Aud Quest 2'!B24="x","Yes",IF('Aud Quest 2'!B24&lt;&gt;"x","0"))</f>
        <v>0</v>
      </c>
      <c r="G37" s="1897">
        <v>102510800</v>
      </c>
    </row>
    <row r="38" spans="1:7" ht="15" x14ac:dyDescent="0.25">
      <c r="A38" t="s">
        <v>323</v>
      </c>
      <c r="B38" s="135" t="str">
        <f>IF('Aud Quest 2'!B25="x","Yes",IF('Aud Quest 2'!B25&lt;&gt;"x","0"))</f>
        <v>0</v>
      </c>
      <c r="G38" s="1897">
        <v>202510300</v>
      </c>
    </row>
    <row r="39" spans="1:7" ht="15" x14ac:dyDescent="0.25">
      <c r="A39" t="s">
        <v>324</v>
      </c>
      <c r="B39" s="135" t="str">
        <f>IF('Aud Quest 2'!B27="x","Yes",IF('Aud Quest 2'!B27&lt;&gt;"x","0"))</f>
        <v>0</v>
      </c>
      <c r="G39" s="1897">
        <v>202510400</v>
      </c>
    </row>
    <row r="40" spans="1:7" ht="15" x14ac:dyDescent="0.25">
      <c r="A40" t="s">
        <v>315</v>
      </c>
      <c r="B40" s="135" t="str">
        <f>IF('Aud Quest 2'!B29="x","Yes",IF('Aud Quest 2'!B29&lt;&gt;"x","0"))</f>
        <v>0</v>
      </c>
      <c r="G40" s="1897">
        <v>202510600</v>
      </c>
    </row>
    <row r="41" spans="1:7" ht="15" x14ac:dyDescent="0.25">
      <c r="A41" t="s">
        <v>316</v>
      </c>
      <c r="B41" s="135" t="str">
        <f>IF('Aud Quest 2'!B31="x","Yes",IF('Aud Quest 2'!B31&lt;&gt;"x","0"))</f>
        <v>0</v>
      </c>
      <c r="G41" s="1897">
        <v>202510800</v>
      </c>
    </row>
    <row r="42" spans="1:7" ht="15" x14ac:dyDescent="0.25">
      <c r="A42" t="s">
        <v>317</v>
      </c>
      <c r="B42" s="135" t="str">
        <f>IF('Aud Quest 2'!B37="x","Yes",IF('Aud Quest 2'!B37&lt;&gt;"x","0"))</f>
        <v>0</v>
      </c>
      <c r="G42" s="1897">
        <v>102520300</v>
      </c>
    </row>
    <row r="43" spans="1:7" ht="15" x14ac:dyDescent="0.25">
      <c r="A43" t="s">
        <v>318</v>
      </c>
      <c r="B43" s="135" t="str">
        <f>IF('Aud Quest 2'!B40="x","Yes",IF('Aud Quest 2'!B40&lt;&gt;"x","0"))</f>
        <v>0</v>
      </c>
      <c r="G43" s="1897">
        <v>102520400</v>
      </c>
    </row>
    <row r="44" spans="1:7" ht="15" x14ac:dyDescent="0.25">
      <c r="A44" s="1" t="s">
        <v>319</v>
      </c>
      <c r="B44" s="135" t="str">
        <f>IF('Aud Quest 2'!B42="x","Yes",IF('Aud Quest 2'!B42&lt;&gt;"x","0"))</f>
        <v>0</v>
      </c>
      <c r="G44" s="1897">
        <v>102520600</v>
      </c>
    </row>
    <row r="45" spans="1:7" ht="15" x14ac:dyDescent="0.25">
      <c r="A45" t="s">
        <v>320</v>
      </c>
      <c r="B45" s="135" t="str">
        <f>IF('Aud Quest 2'!B44="x","Yes",IF('Aud Quest 2'!B44&lt;&gt;"x","0"))</f>
        <v>0</v>
      </c>
      <c r="G45" s="1897">
        <v>102520800</v>
      </c>
    </row>
    <row r="46" spans="1:7" ht="15" x14ac:dyDescent="0.25">
      <c r="A46" t="s">
        <v>321</v>
      </c>
      <c r="B46" s="135" t="str">
        <f>IF('Aud Quest 2'!B49="x","Yes",IF('Aud Quest 2'!B49&lt;&gt;"x","0"))</f>
        <v>0</v>
      </c>
      <c r="G46" s="1897">
        <v>102540300</v>
      </c>
    </row>
    <row r="47" spans="1:7" ht="15" x14ac:dyDescent="0.25">
      <c r="A47" t="s">
        <v>322</v>
      </c>
      <c r="B47" s="135" t="str">
        <f>IF('Aud Quest 2'!B50="x","Yes",IF('Aud Quest 2'!B50&lt;&gt;"x","0"))</f>
        <v>Yes</v>
      </c>
      <c r="G47" s="1897">
        <v>102540400</v>
      </c>
    </row>
    <row r="48" spans="1:7" ht="15" x14ac:dyDescent="0.25">
      <c r="A48" t="s">
        <v>479</v>
      </c>
      <c r="B48" s="135" t="str">
        <f>IF('Aud Quest 2'!B51="x","Yes",IF('Aud Quest 2'!B51&lt;&gt;"x","0"))</f>
        <v>0</v>
      </c>
      <c r="G48" s="1897">
        <v>102540600</v>
      </c>
    </row>
    <row r="49" spans="1:7" ht="15" x14ac:dyDescent="0.25">
      <c r="A49" s="1" t="s">
        <v>1463</v>
      </c>
      <c r="B49" s="135" t="str">
        <f>IF('Aud Quest 2'!B53="x","Yes",IF('Aud Quest 2'!B53&lt;&gt;"x","0"))</f>
        <v>Yes</v>
      </c>
      <c r="G49" s="1897">
        <v>102540800</v>
      </c>
    </row>
    <row r="50" spans="1:7" ht="15" x14ac:dyDescent="0.25">
      <c r="A50" s="1" t="s">
        <v>1462</v>
      </c>
      <c r="B50" s="146">
        <f>'Aud Quest 2'!H53</f>
        <v>36161</v>
      </c>
      <c r="G50" s="1897">
        <v>202540300</v>
      </c>
    </row>
    <row r="51" spans="1:7" ht="15" x14ac:dyDescent="0.25">
      <c r="A51" s="1" t="s">
        <v>1464</v>
      </c>
      <c r="B51" s="135" t="str">
        <f>IF('Aud Quest 2'!B54="x","Yes",IF('Aud Quest 2'!B54&lt;&gt;"x","0"))</f>
        <v>Yes</v>
      </c>
      <c r="G51" s="1897">
        <v>202540400</v>
      </c>
    </row>
    <row r="52" spans="1:7" ht="15" x14ac:dyDescent="0.25">
      <c r="A52" t="s">
        <v>325</v>
      </c>
      <c r="B52" s="135">
        <f>('Aud Quest 2'!D56)</f>
        <v>0</v>
      </c>
      <c r="G52" s="1897">
        <v>202540600</v>
      </c>
    </row>
    <row r="53" spans="1:7" ht="15" x14ac:dyDescent="0.25">
      <c r="A53" s="1" t="s">
        <v>326</v>
      </c>
      <c r="B53" s="135">
        <f>IF('FP Info 3'!B44="X","Yes",0)</f>
        <v>0</v>
      </c>
      <c r="G53" s="1897">
        <v>202540800</v>
      </c>
    </row>
    <row r="54" spans="1:7" ht="15" x14ac:dyDescent="0.25">
      <c r="A54" t="s">
        <v>327</v>
      </c>
      <c r="B54" s="135">
        <f>IF('FP Info 3'!B45="X","Yes",0)</f>
        <v>0</v>
      </c>
      <c r="G54" s="1897">
        <v>902540300</v>
      </c>
    </row>
    <row r="55" spans="1:7" ht="15" x14ac:dyDescent="0.25">
      <c r="A55" t="s">
        <v>328</v>
      </c>
      <c r="B55" s="135">
        <f>IF('FP Info 3'!B46="X","Yes",0)</f>
        <v>0</v>
      </c>
      <c r="G55" s="1897">
        <v>902540400</v>
      </c>
    </row>
    <row r="56" spans="1:7" ht="15" x14ac:dyDescent="0.25">
      <c r="A56" t="s">
        <v>329</v>
      </c>
      <c r="B56" s="135">
        <f>IF('FP Info 3'!B47="X","Yes",0)</f>
        <v>0</v>
      </c>
      <c r="G56" s="1897">
        <v>902540600</v>
      </c>
    </row>
    <row r="57" spans="1:7" ht="15" x14ac:dyDescent="0.25">
      <c r="A57" t="s">
        <v>330</v>
      </c>
      <c r="B57" s="135">
        <f>IF('FP Info 3'!B48="X","Yes",0)</f>
        <v>0</v>
      </c>
      <c r="G57" s="1897">
        <v>902540800</v>
      </c>
    </row>
    <row r="58" spans="1:7" ht="15" x14ac:dyDescent="0.25">
      <c r="A58" t="s">
        <v>331</v>
      </c>
      <c r="B58" s="135">
        <f>IF('FP Info 3'!B49="X","Yes",0)</f>
        <v>0</v>
      </c>
      <c r="G58" s="1897">
        <v>102550300</v>
      </c>
    </row>
    <row r="59" spans="1:7" ht="15" x14ac:dyDescent="0.25">
      <c r="A59" t="s">
        <v>332</v>
      </c>
      <c r="B59" s="135">
        <f>IF('FP Info 3'!B50="X","Yes",0)</f>
        <v>0</v>
      </c>
      <c r="G59" s="1897">
        <v>102550400</v>
      </c>
    </row>
    <row r="60" spans="1:7" ht="15" x14ac:dyDescent="0.25">
      <c r="A60" t="s">
        <v>333</v>
      </c>
      <c r="B60" s="135">
        <f>IF('FP Info 3'!B51="X","Yes",0)</f>
        <v>0</v>
      </c>
      <c r="G60" s="1897">
        <v>102550600</v>
      </c>
    </row>
    <row r="61" spans="1:7" ht="15" x14ac:dyDescent="0.25">
      <c r="A61" t="s">
        <v>334</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746818</v>
      </c>
      <c r="C77" s="2" t="s">
        <v>568</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4015</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4015</v>
      </c>
      <c r="C91" s="2" t="s">
        <v>568</v>
      </c>
      <c r="D91" s="2" t="str">
        <f t="shared" si="0"/>
        <v>Error?</v>
      </c>
      <c r="G91" s="1897">
        <v>102640400</v>
      </c>
    </row>
    <row r="92" spans="1:7" ht="15" x14ac:dyDescent="0.25">
      <c r="A92" s="5">
        <v>31</v>
      </c>
      <c r="B92" s="1831">
        <f>'Assets-Liab 5-6'!C39</f>
        <v>742803</v>
      </c>
      <c r="D92" s="2" t="str">
        <f t="shared" si="0"/>
        <v>Error?</v>
      </c>
      <c r="G92" s="1897">
        <v>102640600</v>
      </c>
    </row>
    <row r="93" spans="1:7" ht="15" x14ac:dyDescent="0.25">
      <c r="A93" s="5">
        <v>32</v>
      </c>
      <c r="B93" s="1831">
        <f>'Assets-Liab 5-6'!C41</f>
        <v>746818</v>
      </c>
      <c r="C93" s="2" t="s">
        <v>568</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51971</v>
      </c>
      <c r="C109" s="2" t="s">
        <v>568</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568</v>
      </c>
      <c r="D122" s="2" t="str">
        <f t="shared" si="0"/>
        <v>Error?</v>
      </c>
      <c r="G122" s="1897">
        <v>203000300</v>
      </c>
    </row>
    <row r="123" spans="1:7" ht="15" x14ac:dyDescent="0.25">
      <c r="A123" s="5">
        <v>62</v>
      </c>
      <c r="B123" s="1831">
        <f>'Assets-Liab 5-6'!D39</f>
        <v>51971</v>
      </c>
      <c r="D123" s="2" t="str">
        <f t="shared" si="0"/>
        <v>Error?</v>
      </c>
      <c r="G123" s="1897">
        <v>203000400</v>
      </c>
    </row>
    <row r="124" spans="1:7" ht="15" x14ac:dyDescent="0.25">
      <c r="A124" s="5">
        <v>63</v>
      </c>
      <c r="B124" s="1831">
        <f>'Assets-Liab 5-6'!D41</f>
        <v>51971</v>
      </c>
      <c r="C124" s="2" t="s">
        <v>568</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82978</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568</v>
      </c>
      <c r="D139" s="2" t="str">
        <f t="shared" si="1"/>
        <v>Error?</v>
      </c>
    </row>
    <row r="140" spans="1:7" x14ac:dyDescent="0.2">
      <c r="A140" s="5">
        <v>79</v>
      </c>
      <c r="B140" s="1831">
        <f>'Assets-Liab 5-6'!E39</f>
        <v>82978</v>
      </c>
      <c r="D140" s="2" t="str">
        <f t="shared" si="1"/>
        <v>Error?</v>
      </c>
    </row>
    <row r="141" spans="1:7" x14ac:dyDescent="0.2">
      <c r="A141" s="5">
        <v>80</v>
      </c>
      <c r="B141" s="1831">
        <f>'Assets-Liab 5-6'!E41</f>
        <v>82978</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27661</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568</v>
      </c>
      <c r="D169" s="2" t="str">
        <f t="shared" si="1"/>
        <v>Error?</v>
      </c>
    </row>
    <row r="170" spans="1:4" x14ac:dyDescent="0.2">
      <c r="A170" s="5">
        <v>109</v>
      </c>
      <c r="B170" s="1831">
        <f>'Assets-Liab 5-6'!F39</f>
        <v>27661</v>
      </c>
      <c r="D170" s="2" t="str">
        <f t="shared" si="1"/>
        <v>Error?</v>
      </c>
    </row>
    <row r="171" spans="1:4" x14ac:dyDescent="0.2">
      <c r="A171" s="5">
        <v>110</v>
      </c>
      <c r="B171" s="1831">
        <f>'Assets-Liab 5-6'!F41</f>
        <v>27661</v>
      </c>
      <c r="C171" s="2" t="s">
        <v>568</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12076</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568</v>
      </c>
      <c r="D188" s="2" t="str">
        <f t="shared" si="1"/>
        <v>Error?</v>
      </c>
    </row>
    <row r="189" spans="1:4" x14ac:dyDescent="0.2">
      <c r="A189" s="5">
        <v>128</v>
      </c>
      <c r="B189" s="1831">
        <f>'Assets-Liab 5-6'!G39</f>
        <v>9300</v>
      </c>
      <c r="D189" s="2" t="str">
        <f t="shared" si="1"/>
        <v>Error?</v>
      </c>
    </row>
    <row r="190" spans="1:4" x14ac:dyDescent="0.2">
      <c r="A190" s="5">
        <v>129</v>
      </c>
      <c r="B190" s="1831">
        <f>'Assets-Liab 5-6'!G41</f>
        <v>12076</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13324</v>
      </c>
      <c r="D273" s="2" t="str">
        <f t="shared" si="3"/>
        <v>Error?</v>
      </c>
    </row>
    <row r="274" spans="1:4" x14ac:dyDescent="0.2">
      <c r="A274" s="5">
        <v>213</v>
      </c>
      <c r="B274" s="1831">
        <f>'Assets-Liab 5-6'!M17</f>
        <v>4858610</v>
      </c>
      <c r="D274" s="2" t="str">
        <f t="shared" si="3"/>
        <v>Error?</v>
      </c>
    </row>
    <row r="275" spans="1:4" x14ac:dyDescent="0.2">
      <c r="A275" s="5">
        <v>214</v>
      </c>
      <c r="B275" s="1831">
        <f>'Assets-Liab 5-6'!M18</f>
        <v>103116</v>
      </c>
      <c r="D275" s="2" t="str">
        <f t="shared" si="3"/>
        <v>Error?</v>
      </c>
    </row>
    <row r="276" spans="1:4" x14ac:dyDescent="0.2">
      <c r="A276" s="5">
        <v>215</v>
      </c>
      <c r="B276" s="1831">
        <f>'Assets-Liab 5-6'!M19</f>
        <v>718117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5693167</v>
      </c>
      <c r="C279" s="2" t="s">
        <v>568</v>
      </c>
      <c r="D279" s="2" t="str">
        <f t="shared" si="3"/>
        <v>Error?</v>
      </c>
    </row>
    <row r="280" spans="1:4" x14ac:dyDescent="0.2">
      <c r="A280" s="5">
        <v>219</v>
      </c>
      <c r="B280" s="1831">
        <f>'Assets-Liab 5-6'!M40</f>
        <v>5693167</v>
      </c>
      <c r="D280" s="2" t="str">
        <f t="shared" si="3"/>
        <v>Error?</v>
      </c>
    </row>
    <row r="281" spans="1:4" x14ac:dyDescent="0.2">
      <c r="A281" s="5">
        <v>220</v>
      </c>
      <c r="B281" s="1831">
        <f>'Assets-Liab 5-6'!M41</f>
        <v>5693167</v>
      </c>
      <c r="C281" s="2" t="s">
        <v>568</v>
      </c>
      <c r="D281" s="2" t="str">
        <f t="shared" si="3"/>
        <v>Error?</v>
      </c>
    </row>
    <row r="282" spans="1:4" x14ac:dyDescent="0.2">
      <c r="A282" s="5">
        <v>221</v>
      </c>
      <c r="B282" s="1831">
        <f>'Assets-Liab 5-6'!N21</f>
        <v>82978</v>
      </c>
      <c r="D282" s="2" t="str">
        <f t="shared" si="3"/>
        <v>Error?</v>
      </c>
    </row>
    <row r="283" spans="1:4" x14ac:dyDescent="0.2">
      <c r="A283" s="5">
        <v>222</v>
      </c>
      <c r="B283" s="1831">
        <f>'Assets-Liab 5-6'!N22</f>
        <v>364818</v>
      </c>
      <c r="D283" s="2" t="str">
        <f t="shared" si="3"/>
        <v>Error?</v>
      </c>
    </row>
    <row r="284" spans="1:4" x14ac:dyDescent="0.2">
      <c r="A284" s="5">
        <v>223</v>
      </c>
      <c r="B284" s="1831">
        <f>'Assets-Liab 5-6'!N23</f>
        <v>447796</v>
      </c>
      <c r="C284" s="2" t="s">
        <v>568</v>
      </c>
      <c r="D284" s="2" t="str">
        <f t="shared" si="3"/>
        <v>Error?</v>
      </c>
    </row>
    <row r="285" spans="1:4" x14ac:dyDescent="0.2">
      <c r="A285" s="5">
        <v>224</v>
      </c>
      <c r="B285" s="1831">
        <f>'Assets-Liab 5-6'!N36</f>
        <v>447796</v>
      </c>
      <c r="D285" s="2" t="str">
        <f t="shared" si="3"/>
        <v>Error?</v>
      </c>
    </row>
    <row r="286" spans="1:4" x14ac:dyDescent="0.2">
      <c r="A286" s="10">
        <v>225</v>
      </c>
      <c r="B286" s="1831"/>
      <c r="D286" s="2" t="str">
        <f t="shared" si="3"/>
        <v>OK</v>
      </c>
    </row>
    <row r="287" spans="1:4" x14ac:dyDescent="0.2">
      <c r="A287" s="5">
        <v>226</v>
      </c>
      <c r="B287" s="1831">
        <f>'Assets-Liab 5-6'!N37</f>
        <v>447796</v>
      </c>
      <c r="C287" s="2" t="s">
        <v>568</v>
      </c>
      <c r="D287" s="2" t="str">
        <f t="shared" si="3"/>
        <v>Error?</v>
      </c>
    </row>
    <row r="288" spans="1:4" x14ac:dyDescent="0.2">
      <c r="A288" s="5">
        <v>227</v>
      </c>
      <c r="B288" s="1831">
        <f>'Assets-Liab 5-6'!N41</f>
        <v>447796</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824484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13834</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1061896</v>
      </c>
      <c r="C720" s="2" t="s">
        <v>568</v>
      </c>
      <c r="D720" s="2" t="str">
        <f t="shared" si="10"/>
        <v>Error?</v>
      </c>
    </row>
    <row r="721" spans="1:4" x14ac:dyDescent="0.2">
      <c r="A721" s="5">
        <v>660</v>
      </c>
      <c r="B721" s="1831">
        <f>'Expenditures 15-22'!C36</f>
        <v>31698</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31508</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63206</v>
      </c>
      <c r="C727" s="2" t="s">
        <v>568</v>
      </c>
      <c r="D727" s="2" t="str">
        <f t="shared" si="10"/>
        <v>Error?</v>
      </c>
    </row>
    <row r="728" spans="1:4" x14ac:dyDescent="0.2">
      <c r="A728" s="5">
        <v>667</v>
      </c>
      <c r="B728" s="1831">
        <f>'Expenditures 15-22'!C44</f>
        <v>1040</v>
      </c>
      <c r="D728" s="2" t="str">
        <f t="shared" si="10"/>
        <v>Error?</v>
      </c>
    </row>
    <row r="729" spans="1:4" x14ac:dyDescent="0.2">
      <c r="A729" s="5">
        <v>668</v>
      </c>
      <c r="B729" s="1831">
        <f>'Expenditures 15-22'!C45</f>
        <v>5405</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6445</v>
      </c>
      <c r="C731" s="2" t="s">
        <v>568</v>
      </c>
      <c r="D731" s="2" t="str">
        <f t="shared" si="10"/>
        <v>Error?</v>
      </c>
    </row>
    <row r="732" spans="1:4" x14ac:dyDescent="0.2">
      <c r="A732" s="5">
        <v>671</v>
      </c>
      <c r="B732" s="1831">
        <f>'Expenditures 15-22'!C49</f>
        <v>4334</v>
      </c>
      <c r="D732" s="2" t="str">
        <f t="shared" si="10"/>
        <v>Error?</v>
      </c>
    </row>
    <row r="733" spans="1:4" x14ac:dyDescent="0.2">
      <c r="A733" s="5">
        <v>672</v>
      </c>
      <c r="B733" s="1831">
        <f>'Expenditures 15-22'!C50</f>
        <v>119073</v>
      </c>
      <c r="D733" s="2" t="str">
        <f t="shared" si="10"/>
        <v>Error?</v>
      </c>
    </row>
    <row r="734" spans="1:4" x14ac:dyDescent="0.2">
      <c r="A734" s="5">
        <v>673</v>
      </c>
      <c r="B734" s="1831">
        <f>'Expenditures 15-22'!C53</f>
        <v>126765</v>
      </c>
      <c r="C734" s="2" t="s">
        <v>568</v>
      </c>
      <c r="D734" s="2" t="str">
        <f t="shared" si="10"/>
        <v>Error?</v>
      </c>
    </row>
    <row r="735" spans="1:4" x14ac:dyDescent="0.2">
      <c r="A735" s="5">
        <v>674</v>
      </c>
      <c r="B735" s="1831">
        <f>'Expenditures 15-22'!C55</f>
        <v>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0</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56859</v>
      </c>
      <c r="D739" s="2" t="str">
        <f t="shared" si="10"/>
        <v>Error?</v>
      </c>
    </row>
    <row r="740" spans="1:4" x14ac:dyDescent="0.2">
      <c r="A740" s="5">
        <v>679</v>
      </c>
      <c r="B740" s="1831">
        <f>'Expenditures 15-22'!C61</f>
        <v>78386</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40578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175823</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5180</v>
      </c>
      <c r="D754" s="2" t="str">
        <f t="shared" si="10"/>
        <v>Error?</v>
      </c>
    </row>
    <row r="755" spans="1:4" x14ac:dyDescent="0.2">
      <c r="A755" s="5">
        <v>694</v>
      </c>
      <c r="B755" s="1831">
        <f>'Expenditures 15-22'!C74</f>
        <v>377419</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1439315</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212639</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825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301751</v>
      </c>
      <c r="C778" s="2" t="s">
        <v>568</v>
      </c>
      <c r="D778" s="2" t="str">
        <f t="shared" si="11"/>
        <v>Error?</v>
      </c>
    </row>
    <row r="779" spans="1:4" x14ac:dyDescent="0.2">
      <c r="A779" s="5">
        <v>718</v>
      </c>
      <c r="B779" s="1831">
        <f>'Expenditures 15-22'!D36</f>
        <v>9595</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11917</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21512</v>
      </c>
      <c r="C785" s="2" t="s">
        <v>568</v>
      </c>
      <c r="D785" s="2" t="str">
        <f t="shared" si="11"/>
        <v>Error?</v>
      </c>
    </row>
    <row r="786" spans="1:4" x14ac:dyDescent="0.2">
      <c r="A786" s="5">
        <v>725</v>
      </c>
      <c r="B786" s="1831">
        <f>'Expenditures 15-22'!D44</f>
        <v>10</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10</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14049</v>
      </c>
      <c r="D791" s="2" t="str">
        <f t="shared" si="11"/>
        <v>Error?</v>
      </c>
    </row>
    <row r="792" spans="1:4" x14ac:dyDescent="0.2">
      <c r="A792" s="5">
        <v>731</v>
      </c>
      <c r="B792" s="1831">
        <f>'Expenditures 15-22'!D53</f>
        <v>14748</v>
      </c>
      <c r="C792" s="2" t="s">
        <v>568</v>
      </c>
      <c r="D792" s="2" t="str">
        <f t="shared" si="11"/>
        <v>Error?</v>
      </c>
    </row>
    <row r="793" spans="1:4" x14ac:dyDescent="0.2">
      <c r="A793" s="5">
        <v>732</v>
      </c>
      <c r="B793" s="1831">
        <f>'Expenditures 15-22'!D55</f>
        <v>0</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0</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8911</v>
      </c>
      <c r="D797" s="2" t="str">
        <f t="shared" si="11"/>
        <v>Error?</v>
      </c>
    </row>
    <row r="798" spans="1:4" x14ac:dyDescent="0.2">
      <c r="A798" s="5">
        <v>737</v>
      </c>
      <c r="B798" s="1831">
        <f>'Expenditures 15-22'!D61</f>
        <v>17600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17813</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44324</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80594</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382345</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10303</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23741</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0</v>
      </c>
      <c r="C843" s="2" t="s">
        <v>568</v>
      </c>
      <c r="D843" s="2" t="str">
        <f t="shared" si="12"/>
        <v>Error?</v>
      </c>
    </row>
    <row r="844" spans="1:4" x14ac:dyDescent="0.2">
      <c r="A844" s="5">
        <v>783</v>
      </c>
      <c r="B844" s="1831">
        <f>'Expenditures 15-22'!E44</f>
        <v>8016</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8016</v>
      </c>
      <c r="C847" s="2" t="s">
        <v>568</v>
      </c>
      <c r="D847" s="2" t="str">
        <f t="shared" si="12"/>
        <v>Error?</v>
      </c>
    </row>
    <row r="848" spans="1:4" x14ac:dyDescent="0.2">
      <c r="A848" s="5">
        <v>787</v>
      </c>
      <c r="B848" s="1831">
        <f>'Expenditures 15-22'!E49</f>
        <v>34074</v>
      </c>
      <c r="D848" s="2" t="str">
        <f t="shared" si="12"/>
        <v>Error?</v>
      </c>
    </row>
    <row r="849" spans="1:4" x14ac:dyDescent="0.2">
      <c r="A849" s="5">
        <v>788</v>
      </c>
      <c r="B849" s="1831">
        <f>'Expenditures 15-22'!E50</f>
        <v>1584</v>
      </c>
      <c r="D849" s="2" t="str">
        <f t="shared" si="12"/>
        <v>Error?</v>
      </c>
    </row>
    <row r="850" spans="1:4" x14ac:dyDescent="0.2">
      <c r="A850" s="5">
        <v>789</v>
      </c>
      <c r="B850" s="1831">
        <f>'Expenditures 15-22'!E53</f>
        <v>35658</v>
      </c>
      <c r="C850" s="2" t="s">
        <v>568</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756</v>
      </c>
      <c r="D855" s="2" t="str">
        <f t="shared" si="12"/>
        <v>Error?</v>
      </c>
    </row>
    <row r="856" spans="1:4" x14ac:dyDescent="0.2">
      <c r="A856" s="5">
        <v>795</v>
      </c>
      <c r="B856" s="1831">
        <f>'Expenditures 15-22'!E61</f>
        <v>79209</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3233</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83198</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126872</v>
      </c>
      <c r="C871" s="2" t="s">
        <v>568</v>
      </c>
      <c r="D871" s="2" t="str">
        <f t="shared" si="12"/>
        <v>Error?</v>
      </c>
    </row>
    <row r="872" spans="1:4" x14ac:dyDescent="0.2">
      <c r="A872" s="5">
        <v>811</v>
      </c>
      <c r="B872" s="1831">
        <f>'Expenditures 15-22'!E75</f>
        <v>6299</v>
      </c>
      <c r="D872" s="2" t="str">
        <f t="shared" si="12"/>
        <v>Error?</v>
      </c>
    </row>
    <row r="873" spans="1:4" x14ac:dyDescent="0.2">
      <c r="A873" s="5">
        <v>812</v>
      </c>
      <c r="B873" s="1831">
        <f>'Expenditures 15-22'!E114</f>
        <v>182033</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133357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0</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164792</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2443</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2443</v>
      </c>
      <c r="C901" s="2" t="s">
        <v>568</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0</v>
      </c>
      <c r="C905" s="2" t="s">
        <v>568</v>
      </c>
      <c r="D905" s="2" t="str">
        <f t="shared" si="13"/>
        <v>Error?</v>
      </c>
    </row>
    <row r="906" spans="1:4" x14ac:dyDescent="0.2">
      <c r="A906" s="5">
        <v>845</v>
      </c>
      <c r="B906" s="1831">
        <f>'Expenditures 15-22'!F49</f>
        <v>595</v>
      </c>
      <c r="D906" s="2" t="str">
        <f t="shared" si="13"/>
        <v>Error?</v>
      </c>
    </row>
    <row r="907" spans="1:4" x14ac:dyDescent="0.2">
      <c r="A907" s="5">
        <v>846</v>
      </c>
      <c r="B907" s="1831">
        <f>'Expenditures 15-22'!F50</f>
        <v>179</v>
      </c>
      <c r="D907" s="2" t="str">
        <f t="shared" si="13"/>
        <v>Error?</v>
      </c>
    </row>
    <row r="908" spans="1:4" x14ac:dyDescent="0.2">
      <c r="A908" s="5">
        <v>847</v>
      </c>
      <c r="B908" s="1831">
        <f>'Expenditures 15-22'!F53</f>
        <v>774</v>
      </c>
      <c r="C908" s="2" t="s">
        <v>568</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20960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150946</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171906</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175123</v>
      </c>
      <c r="C929" s="2" t="s">
        <v>568</v>
      </c>
      <c r="D929" s="2" t="str">
        <f t="shared" si="13"/>
        <v>Error?</v>
      </c>
    </row>
    <row r="930" spans="1:4" x14ac:dyDescent="0.2">
      <c r="A930" s="5">
        <v>869</v>
      </c>
      <c r="B930" s="1831">
        <f>'Expenditures 15-22'!F75</f>
        <v>13513</v>
      </c>
      <c r="D930" s="2" t="str">
        <f t="shared" si="13"/>
        <v>Error?</v>
      </c>
    </row>
    <row r="931" spans="1:4" x14ac:dyDescent="0.2">
      <c r="A931" s="5">
        <v>870</v>
      </c>
      <c r="B931" s="1831">
        <f>'Expenditures 15-22'!F114</f>
        <v>353428</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2286</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2286</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25703</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13569</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39272</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1260</v>
      </c>
      <c r="D986" s="2" t="str">
        <f t="shared" si="14"/>
        <v>Error?</v>
      </c>
    </row>
    <row r="987" spans="1:4" x14ac:dyDescent="0.2">
      <c r="A987" s="5">
        <v>926</v>
      </c>
      <c r="B987" s="1831">
        <f>'Expenditures 15-22'!G74</f>
        <v>40532</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42818</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3743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3743</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1377</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1377</v>
      </c>
      <c r="C1017" s="2" t="s">
        <v>568</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568</v>
      </c>
      <c r="D1021" s="2" t="str">
        <f t="shared" si="14"/>
        <v>Error?</v>
      </c>
    </row>
    <row r="1022" spans="1:4" x14ac:dyDescent="0.2">
      <c r="A1022" s="5">
        <v>961</v>
      </c>
      <c r="B1022" s="1831">
        <f>'Expenditures 15-22'!H49</f>
        <v>13580</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13580</v>
      </c>
      <c r="C1024" s="2" t="s">
        <v>568</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14957</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129554</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148254</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1186812</v>
      </c>
      <c r="C1093" s="2" t="s">
        <v>568</v>
      </c>
      <c r="D1093" s="2" t="str">
        <f t="shared" si="16"/>
        <v>Error?</v>
      </c>
    </row>
    <row r="1094" spans="1:4" x14ac:dyDescent="0.2">
      <c r="A1094" s="5">
        <v>1033</v>
      </c>
      <c r="B1094" s="1831">
        <f>'Expenditures 15-22'!K16</f>
        <v>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14659</v>
      </c>
      <c r="C1106" s="2" t="s">
        <v>568</v>
      </c>
      <c r="D1106" s="2" t="str">
        <f t="shared" si="16"/>
        <v>Error?</v>
      </c>
    </row>
    <row r="1107" spans="1:4" x14ac:dyDescent="0.2">
      <c r="A1107" s="5">
        <v>1046</v>
      </c>
      <c r="B1107" s="1831">
        <f>'Expenditures 15-22'!K15</f>
        <v>0</v>
      </c>
      <c r="C1107" s="2" t="s">
        <v>568</v>
      </c>
      <c r="D1107" s="2" t="str">
        <f t="shared" si="16"/>
        <v>Error?</v>
      </c>
    </row>
    <row r="1108" spans="1:4" x14ac:dyDescent="0.2">
      <c r="A1108" s="5">
        <v>1047</v>
      </c>
      <c r="B1108" s="1831">
        <f>'Expenditures 15-22'!K33</f>
        <v>1558209</v>
      </c>
      <c r="C1108" s="2" t="s">
        <v>568</v>
      </c>
      <c r="D1108" s="2" t="str">
        <f t="shared" si="16"/>
        <v>Error?</v>
      </c>
    </row>
    <row r="1109" spans="1:4" x14ac:dyDescent="0.2">
      <c r="A1109" s="5">
        <v>1048</v>
      </c>
      <c r="B1109" s="1831">
        <f>'Expenditures 15-22'!K36</f>
        <v>41293</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47245</v>
      </c>
      <c r="C1111" s="2" t="s">
        <v>568</v>
      </c>
      <c r="D1111" s="2" t="str">
        <f t="shared" si="16"/>
        <v>Error?</v>
      </c>
    </row>
    <row r="1112" spans="1:4" x14ac:dyDescent="0.2">
      <c r="A1112" s="5">
        <v>1051</v>
      </c>
      <c r="B1112" s="1831">
        <f>'Expenditures 15-22'!K39</f>
        <v>0</v>
      </c>
      <c r="C1112" s="2" t="s">
        <v>568</v>
      </c>
      <c r="D1112" s="2" t="str">
        <f t="shared" si="16"/>
        <v>Error?</v>
      </c>
    </row>
    <row r="1113" spans="1:4" x14ac:dyDescent="0.2">
      <c r="A1113" s="5">
        <v>1052</v>
      </c>
      <c r="B1113" s="1831">
        <f>'Expenditures 15-22'!K40</f>
        <v>0</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88538</v>
      </c>
      <c r="C1115" s="2" t="s">
        <v>568</v>
      </c>
      <c r="D1115" s="2" t="str">
        <f t="shared" si="16"/>
        <v>Error?</v>
      </c>
    </row>
    <row r="1116" spans="1:4" x14ac:dyDescent="0.2">
      <c r="A1116" s="5">
        <v>1055</v>
      </c>
      <c r="B1116" s="1831">
        <f>'Expenditures 15-22'!K44</f>
        <v>9066</v>
      </c>
      <c r="C1116" s="2" t="s">
        <v>568</v>
      </c>
      <c r="D1116" s="2" t="str">
        <f t="shared" si="16"/>
        <v>Error?</v>
      </c>
    </row>
    <row r="1117" spans="1:4" x14ac:dyDescent="0.2">
      <c r="A1117" s="5">
        <v>1056</v>
      </c>
      <c r="B1117" s="1831">
        <f>'Expenditures 15-22'!K45</f>
        <v>5405</v>
      </c>
      <c r="C1117" s="2" t="s">
        <v>568</v>
      </c>
      <c r="D1117" s="2" t="str">
        <f t="shared" si="16"/>
        <v>Error?</v>
      </c>
    </row>
    <row r="1118" spans="1:4" x14ac:dyDescent="0.2">
      <c r="A1118" s="5">
        <v>1057</v>
      </c>
      <c r="B1118" s="1831">
        <f>'Expenditures 15-22'!K46</f>
        <v>0</v>
      </c>
      <c r="C1118" s="2" t="s">
        <v>568</v>
      </c>
      <c r="D1118" s="2" t="str">
        <f t="shared" si="16"/>
        <v>Error?</v>
      </c>
    </row>
    <row r="1119" spans="1:4" x14ac:dyDescent="0.2">
      <c r="A1119" s="5">
        <v>1058</v>
      </c>
      <c r="B1119" s="1831">
        <f>'Expenditures 15-22'!K47</f>
        <v>14471</v>
      </c>
      <c r="C1119" s="2" t="s">
        <v>568</v>
      </c>
      <c r="D1119" s="2" t="str">
        <f t="shared" si="16"/>
        <v>Error?</v>
      </c>
    </row>
    <row r="1120" spans="1:4" x14ac:dyDescent="0.2">
      <c r="A1120" s="5">
        <v>1059</v>
      </c>
      <c r="B1120" s="1831">
        <f>'Expenditures 15-22'!K49</f>
        <v>52583</v>
      </c>
      <c r="C1120" s="2" t="s">
        <v>568</v>
      </c>
      <c r="D1120" s="2" t="str">
        <f t="shared" si="16"/>
        <v>Error?</v>
      </c>
    </row>
    <row r="1121" spans="1:4" x14ac:dyDescent="0.2">
      <c r="A1121" s="5">
        <v>1060</v>
      </c>
      <c r="B1121" s="1831">
        <f>'Expenditures 15-22'!K50</f>
        <v>134885</v>
      </c>
      <c r="C1121" s="2" t="s">
        <v>568</v>
      </c>
      <c r="D1121" s="2" t="str">
        <f t="shared" si="16"/>
        <v>Error?</v>
      </c>
    </row>
    <row r="1122" spans="1:4" x14ac:dyDescent="0.2">
      <c r="A1122" s="5">
        <v>1061</v>
      </c>
      <c r="B1122" s="1831">
        <f>'Expenditures 15-22'!K53</f>
        <v>191525</v>
      </c>
      <c r="C1122" s="2" t="s">
        <v>568</v>
      </c>
      <c r="D1122" s="2" t="str">
        <f t="shared" si="16"/>
        <v>Error?</v>
      </c>
    </row>
    <row r="1123" spans="1:4" x14ac:dyDescent="0.2">
      <c r="A1123" s="5">
        <v>1062</v>
      </c>
      <c r="B1123" s="1831">
        <f>'Expenditures 15-22'!K55</f>
        <v>0</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0</v>
      </c>
      <c r="C1125" s="2" t="s">
        <v>568</v>
      </c>
      <c r="D1125" s="2" t="str">
        <f t="shared" si="16"/>
        <v>Error?</v>
      </c>
    </row>
    <row r="1126" spans="1:4" x14ac:dyDescent="0.2">
      <c r="A1126" s="5">
        <v>1065</v>
      </c>
      <c r="B1126" s="1831">
        <f>'Expenditures 15-22'!K59</f>
        <v>0</v>
      </c>
      <c r="C1126" s="2" t="s">
        <v>568</v>
      </c>
      <c r="D1126" s="2" t="str">
        <f t="shared" si="16"/>
        <v>Error?</v>
      </c>
    </row>
    <row r="1127" spans="1:4" x14ac:dyDescent="0.2">
      <c r="A1127" s="5">
        <v>1066</v>
      </c>
      <c r="B1127" s="1831">
        <f>'Expenditures 15-22'!K60</f>
        <v>66526</v>
      </c>
      <c r="C1127" s="2" t="s">
        <v>568</v>
      </c>
      <c r="D1127" s="2" t="str">
        <f t="shared" si="16"/>
        <v>Error?</v>
      </c>
    </row>
    <row r="1128" spans="1:4" x14ac:dyDescent="0.2">
      <c r="A1128" s="5">
        <v>1067</v>
      </c>
      <c r="B1128" s="1831">
        <f>'Expenditures 15-22'!K61</f>
        <v>221858</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226139</v>
      </c>
      <c r="C1130" s="2" t="s">
        <v>568</v>
      </c>
      <c r="D1130" s="2" t="str">
        <f t="shared" si="16"/>
        <v>Error?</v>
      </c>
    </row>
    <row r="1131" spans="1:4" x14ac:dyDescent="0.2">
      <c r="A1131" s="5">
        <v>1070</v>
      </c>
      <c r="B1131" s="1831">
        <f>'Expenditures 15-22'!K64</f>
        <v>0</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514523</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568</v>
      </c>
      <c r="D1141" s="2" t="str">
        <f t="shared" si="16"/>
        <v>Error?</v>
      </c>
    </row>
    <row r="1142" spans="1:4" x14ac:dyDescent="0.2">
      <c r="A1142" s="5">
        <v>1081</v>
      </c>
      <c r="B1142" s="1831">
        <f>'Expenditures 15-22'!K73</f>
        <v>6440</v>
      </c>
      <c r="C1142" s="2" t="s">
        <v>568</v>
      </c>
      <c r="D1142" s="2" t="str">
        <f t="shared" si="16"/>
        <v>Error?</v>
      </c>
    </row>
    <row r="1143" spans="1:4" x14ac:dyDescent="0.2">
      <c r="A1143" s="5">
        <v>1082</v>
      </c>
      <c r="B1143" s="1831">
        <f>'Expenditures 15-22'!K74</f>
        <v>815497</v>
      </c>
      <c r="C1143" s="2" t="s">
        <v>568</v>
      </c>
      <c r="D1143" s="2" t="str">
        <f t="shared" si="16"/>
        <v>Error?</v>
      </c>
    </row>
    <row r="1144" spans="1:4" x14ac:dyDescent="0.2">
      <c r="A1144" s="5">
        <v>1083</v>
      </c>
      <c r="B1144" s="1831">
        <f>'Expenditures 15-22'!K75</f>
        <v>19812</v>
      </c>
      <c r="C1144" s="2" t="s">
        <v>568</v>
      </c>
      <c r="D1144" s="2" t="str">
        <f t="shared" si="16"/>
        <v>Error?</v>
      </c>
    </row>
    <row r="1145" spans="1:4" x14ac:dyDescent="0.2">
      <c r="A1145" s="5">
        <v>1084</v>
      </c>
      <c r="B1145" s="1831">
        <f>'Expenditures 15-22'!K102</f>
        <v>154675</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2548193</v>
      </c>
      <c r="C1152" s="2" t="s">
        <v>568</v>
      </c>
      <c r="D1152" s="2" t="str">
        <f t="shared" si="17"/>
        <v>Error?</v>
      </c>
    </row>
    <row r="1153" spans="1:4" x14ac:dyDescent="0.2">
      <c r="A1153" s="5">
        <v>1092</v>
      </c>
      <c r="B1153" s="1831">
        <f>'Expenditures 15-22'!K115</f>
        <v>118163</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568</v>
      </c>
      <c r="D1225" s="2" t="str">
        <f t="shared" si="18"/>
        <v>Error?</v>
      </c>
    </row>
    <row r="1226" spans="1:4" x14ac:dyDescent="0.2">
      <c r="A1226" s="5">
        <v>1165</v>
      </c>
      <c r="B1226" s="1831">
        <f>'Expenditures 15-22'!C151</f>
        <v>0</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568</v>
      </c>
      <c r="D1233" s="2" t="str">
        <f t="shared" si="18"/>
        <v>Error?</v>
      </c>
    </row>
    <row r="1234" spans="1:4" x14ac:dyDescent="0.2">
      <c r="A1234" s="5">
        <v>1173</v>
      </c>
      <c r="B1234" s="1831">
        <f>'Expenditures 15-22'!D151</f>
        <v>0</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4800</v>
      </c>
      <c r="D1236" s="2" t="str">
        <f t="shared" si="18"/>
        <v>Error?</v>
      </c>
    </row>
    <row r="1237" spans="1:4" x14ac:dyDescent="0.2">
      <c r="A1237" s="5">
        <v>1176</v>
      </c>
      <c r="B1237" s="1831">
        <f>'Expenditures 15-22'!E124</f>
        <v>21887</v>
      </c>
      <c r="D1237" s="2" t="str">
        <f t="shared" si="18"/>
        <v>Error?</v>
      </c>
    </row>
    <row r="1238" spans="1:4" x14ac:dyDescent="0.2">
      <c r="A1238" s="10">
        <v>1177</v>
      </c>
      <c r="B1238" s="1831"/>
      <c r="D1238" s="2" t="str">
        <f t="shared" si="18"/>
        <v>OK</v>
      </c>
    </row>
    <row r="1239" spans="1:4" x14ac:dyDescent="0.2">
      <c r="A1239" s="5">
        <v>1178</v>
      </c>
      <c r="B1239" s="1831">
        <f>'Expenditures 15-22'!E127</f>
        <v>26687</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26687</v>
      </c>
      <c r="C1241" s="2" t="s">
        <v>568</v>
      </c>
      <c r="D1241" s="2" t="str">
        <f t="shared" si="18"/>
        <v>Error?</v>
      </c>
    </row>
    <row r="1242" spans="1:4" x14ac:dyDescent="0.2">
      <c r="A1242" s="5">
        <v>1181</v>
      </c>
      <c r="B1242" s="1831">
        <f>'Expenditures 15-22'!E151</f>
        <v>26687</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3190</v>
      </c>
      <c r="D1244" s="2" t="str">
        <f t="shared" si="18"/>
        <v>Error?</v>
      </c>
    </row>
    <row r="1245" spans="1:4" x14ac:dyDescent="0.2">
      <c r="A1245" s="5">
        <v>1184</v>
      </c>
      <c r="B1245" s="1831">
        <f>'Expenditures 15-22'!F124</f>
        <v>1582</v>
      </c>
      <c r="D1245" s="2" t="str">
        <f t="shared" si="18"/>
        <v>Error?</v>
      </c>
    </row>
    <row r="1246" spans="1:4" x14ac:dyDescent="0.2">
      <c r="A1246" s="10">
        <v>1185</v>
      </c>
      <c r="B1246" s="1831"/>
      <c r="D1246" s="2" t="str">
        <f t="shared" si="18"/>
        <v>OK</v>
      </c>
    </row>
    <row r="1247" spans="1:4" x14ac:dyDescent="0.2">
      <c r="A1247" s="5">
        <v>1186</v>
      </c>
      <c r="B1247" s="1831">
        <f>'Expenditures 15-22'!F127</f>
        <v>4772</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4772</v>
      </c>
      <c r="C1249" s="2" t="s">
        <v>568</v>
      </c>
      <c r="D1249" s="2" t="str">
        <f t="shared" si="18"/>
        <v>Error?</v>
      </c>
    </row>
    <row r="1250" spans="1:4" x14ac:dyDescent="0.2">
      <c r="A1250" s="5">
        <v>1189</v>
      </c>
      <c r="B1250" s="1831">
        <f>'Expenditures 15-22'!F151</f>
        <v>4772</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368115</v>
      </c>
      <c r="D1252" s="2" t="str">
        <f t="shared" si="18"/>
        <v>Error?</v>
      </c>
    </row>
    <row r="1253" spans="1:4" x14ac:dyDescent="0.2">
      <c r="A1253" s="5">
        <v>1192</v>
      </c>
      <c r="B1253" s="1831">
        <f>'Expenditures 15-22'!G124</f>
        <v>12840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380955</v>
      </c>
      <c r="C1256" s="2" t="s">
        <v>568</v>
      </c>
      <c r="D1256" s="2" t="str">
        <f t="shared" si="18"/>
        <v>Error?</v>
      </c>
    </row>
    <row r="1257" spans="1:4" x14ac:dyDescent="0.2">
      <c r="A1257" s="5">
        <v>1196</v>
      </c>
      <c r="B1257" s="1831">
        <f>'Expenditures 15-22'!G128</f>
        <v>4000</v>
      </c>
      <c r="D1257" s="2" t="str">
        <f t="shared" si="18"/>
        <v>Error?</v>
      </c>
    </row>
    <row r="1258" spans="1:4" x14ac:dyDescent="0.2">
      <c r="A1258" s="5">
        <v>1197</v>
      </c>
      <c r="B1258" s="1831">
        <f>'Expenditures 15-22'!G129</f>
        <v>384955</v>
      </c>
      <c r="C1258" s="2" t="s">
        <v>568</v>
      </c>
      <c r="D1258" s="2" t="str">
        <f t="shared" si="18"/>
        <v>Error?</v>
      </c>
    </row>
    <row r="1259" spans="1:4" x14ac:dyDescent="0.2">
      <c r="A1259" s="5">
        <v>1198</v>
      </c>
      <c r="B1259" s="1831">
        <f>'Expenditures 15-22'!G151</f>
        <v>384955</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376105</v>
      </c>
      <c r="C1275" s="2" t="s">
        <v>568</v>
      </c>
      <c r="D1275" s="2" t="str">
        <f t="shared" si="18"/>
        <v>Error?</v>
      </c>
    </row>
    <row r="1276" spans="1:4" x14ac:dyDescent="0.2">
      <c r="A1276" s="5">
        <v>1215</v>
      </c>
      <c r="B1276" s="1831">
        <f>'Expenditures 15-22'!K124</f>
        <v>36309</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412414</v>
      </c>
      <c r="C1279" s="2" t="s">
        <v>568</v>
      </c>
      <c r="D1279" s="2" t="str">
        <f t="shared" ref="D1279:D1342" si="19">IF(ISBLANK(B1279),"OK",IF(A1279-B1279=0,"OK","Error?"))</f>
        <v>Error?</v>
      </c>
    </row>
    <row r="1280" spans="1:4" x14ac:dyDescent="0.2">
      <c r="A1280" s="5">
        <v>1219</v>
      </c>
      <c r="B1280" s="1831">
        <f>'Expenditures 15-22'!K128</f>
        <v>4000</v>
      </c>
      <c r="C1280" s="2" t="s">
        <v>568</v>
      </c>
      <c r="D1280" s="2" t="str">
        <f t="shared" si="19"/>
        <v>Error?</v>
      </c>
    </row>
    <row r="1281" spans="1:4" x14ac:dyDescent="0.2">
      <c r="A1281" s="5">
        <v>1220</v>
      </c>
      <c r="B1281" s="1831">
        <f>'Expenditures 15-22'!K129</f>
        <v>416414</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416414</v>
      </c>
      <c r="C1288" s="2" t="s">
        <v>568</v>
      </c>
      <c r="D1288" s="2" t="str">
        <f t="shared" si="19"/>
        <v>Error?</v>
      </c>
    </row>
    <row r="1289" spans="1:4" x14ac:dyDescent="0.2">
      <c r="A1289" s="5">
        <v>1228</v>
      </c>
      <c r="B1289" s="1831">
        <f>'Expenditures 15-22'!K152</f>
        <v>-157830</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20850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77469</v>
      </c>
      <c r="D1315" s="2" t="str">
        <f t="shared" si="19"/>
        <v>Error?</v>
      </c>
    </row>
    <row r="1316" spans="1:4" x14ac:dyDescent="0.2">
      <c r="A1316" s="5">
        <v>1255</v>
      </c>
      <c r="B1316" s="1831">
        <f>'Expenditures 15-22'!H171</f>
        <v>1000</v>
      </c>
      <c r="D1316" s="2" t="str">
        <f t="shared" si="19"/>
        <v>Error?</v>
      </c>
    </row>
    <row r="1317" spans="1:4" x14ac:dyDescent="0.2">
      <c r="A1317" s="5">
        <v>1256</v>
      </c>
      <c r="B1317" s="1831">
        <f>'Expenditures 15-22'!H172</f>
        <v>99319</v>
      </c>
      <c r="C1317" s="2" t="s">
        <v>568</v>
      </c>
      <c r="D1317" s="2" t="str">
        <f t="shared" si="19"/>
        <v>Error?</v>
      </c>
    </row>
    <row r="1318" spans="1:4" x14ac:dyDescent="0.2">
      <c r="A1318" s="5">
        <v>1257</v>
      </c>
      <c r="B1318" s="1831">
        <f>'Expenditures 15-22'!H174</f>
        <v>99319</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20850</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77469</v>
      </c>
      <c r="C1329" s="2" t="s">
        <v>568</v>
      </c>
      <c r="D1329" s="2" t="str">
        <f t="shared" si="19"/>
        <v>Error?</v>
      </c>
    </row>
    <row r="1330" spans="1:4" x14ac:dyDescent="0.2">
      <c r="A1330" s="5">
        <v>1269</v>
      </c>
      <c r="B1330" s="1831">
        <f>'Expenditures 15-22'!K171</f>
        <v>1000</v>
      </c>
      <c r="C1330" s="2" t="s">
        <v>568</v>
      </c>
      <c r="D1330" s="2" t="str">
        <f t="shared" si="19"/>
        <v>Error?</v>
      </c>
    </row>
    <row r="1331" spans="1:4" x14ac:dyDescent="0.2">
      <c r="A1331" s="5">
        <v>1270</v>
      </c>
      <c r="B1331" s="1831">
        <f>'Expenditures 15-22'!K172</f>
        <v>99319</v>
      </c>
      <c r="C1331" s="2" t="s">
        <v>568</v>
      </c>
      <c r="D1331" s="2" t="str">
        <f t="shared" si="19"/>
        <v>Error?</v>
      </c>
    </row>
    <row r="1332" spans="1:4" x14ac:dyDescent="0.2">
      <c r="A1332" s="5">
        <v>1271</v>
      </c>
      <c r="B1332" s="1831">
        <f>'Expenditures 15-22'!K174</f>
        <v>99319</v>
      </c>
      <c r="C1332" s="2" t="s">
        <v>568</v>
      </c>
      <c r="D1332" s="2" t="str">
        <f t="shared" si="19"/>
        <v>Error?</v>
      </c>
    </row>
    <row r="1333" spans="1:4" x14ac:dyDescent="0.2">
      <c r="A1333" s="5">
        <v>1272</v>
      </c>
      <c r="B1333" s="1831">
        <f>'Expenditures 15-22'!K175</f>
        <v>-22123</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27322</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27322</v>
      </c>
      <c r="C1339" s="2" t="s">
        <v>568</v>
      </c>
      <c r="D1339" s="2" t="str">
        <f t="shared" si="19"/>
        <v>Error?</v>
      </c>
    </row>
    <row r="1340" spans="1:4" x14ac:dyDescent="0.2">
      <c r="A1340" s="5">
        <v>1279</v>
      </c>
      <c r="B1340" s="1831">
        <f>'Expenditures 15-22'!C210</f>
        <v>27322</v>
      </c>
      <c r="C1340" s="2" t="s">
        <v>568</v>
      </c>
      <c r="D1340" s="2" t="str">
        <f t="shared" si="19"/>
        <v>Error?</v>
      </c>
    </row>
    <row r="1341" spans="1:4" x14ac:dyDescent="0.2">
      <c r="A1341" s="5">
        <v>1280</v>
      </c>
      <c r="B1341" s="1831">
        <f>'Expenditures 15-22'!D182</f>
        <v>9932</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9932</v>
      </c>
      <c r="C1345" s="2" t="s">
        <v>568</v>
      </c>
      <c r="D1345" s="2" t="str">
        <f t="shared" si="20"/>
        <v>Error?</v>
      </c>
    </row>
    <row r="1346" spans="1:4" x14ac:dyDescent="0.2">
      <c r="A1346" s="5">
        <v>1285</v>
      </c>
      <c r="B1346" s="1831">
        <f>'Expenditures 15-22'!D210</f>
        <v>9932</v>
      </c>
      <c r="C1346" s="2" t="s">
        <v>568</v>
      </c>
      <c r="D1346" s="2" t="str">
        <f t="shared" si="20"/>
        <v>Error?</v>
      </c>
    </row>
    <row r="1347" spans="1:4" x14ac:dyDescent="0.2">
      <c r="A1347" s="5">
        <v>1286</v>
      </c>
      <c r="B1347" s="1831">
        <f>'Expenditures 15-22'!E182</f>
        <v>4035</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4035</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4035</v>
      </c>
      <c r="C1353" s="2" t="s">
        <v>568</v>
      </c>
      <c r="D1353" s="2" t="str">
        <f t="shared" si="20"/>
        <v>Error?</v>
      </c>
    </row>
    <row r="1354" spans="1:4" x14ac:dyDescent="0.2">
      <c r="A1354" s="5">
        <v>1293</v>
      </c>
      <c r="B1354" s="1831">
        <f>'Expenditures 15-22'!F182</f>
        <v>5633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5633</v>
      </c>
      <c r="C1358" s="2" t="s">
        <v>568</v>
      </c>
      <c r="D1358" s="2" t="str">
        <f t="shared" si="20"/>
        <v>Error?</v>
      </c>
    </row>
    <row r="1359" spans="1:4" x14ac:dyDescent="0.2">
      <c r="A1359" s="5">
        <v>1298</v>
      </c>
      <c r="B1359" s="1831">
        <f>'Expenditures 15-22'!F210</f>
        <v>5633</v>
      </c>
      <c r="C1359" s="2" t="s">
        <v>568</v>
      </c>
      <c r="D1359" s="2" t="str">
        <f t="shared" si="20"/>
        <v>Error?</v>
      </c>
    </row>
    <row r="1360" spans="1:4" x14ac:dyDescent="0.2">
      <c r="A1360" s="5">
        <v>1299</v>
      </c>
      <c r="B1360" s="1831">
        <f>'Expenditures 15-22'!G182</f>
        <v>176832</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176832</v>
      </c>
      <c r="C1364" s="2" t="s">
        <v>568</v>
      </c>
      <c r="D1364" s="2" t="str">
        <f t="shared" si="20"/>
        <v>Error?</v>
      </c>
    </row>
    <row r="1365" spans="1:4" x14ac:dyDescent="0.2">
      <c r="A1365" s="5">
        <v>1304</v>
      </c>
      <c r="B1365" s="1831">
        <f>'Expenditures 15-22'!G210</f>
        <v>176832</v>
      </c>
      <c r="C1365" s="2" t="s">
        <v>568</v>
      </c>
      <c r="D1365" s="2" t="str">
        <f t="shared" si="20"/>
        <v>Error?</v>
      </c>
    </row>
    <row r="1366" spans="1:4" x14ac:dyDescent="0.2">
      <c r="A1366" s="5">
        <v>1305</v>
      </c>
      <c r="B1366" s="1831">
        <f>'Expenditures 15-22'!H182</f>
        <v>500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500</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37750</v>
      </c>
      <c r="C1375" s="2" t="s">
        <v>568</v>
      </c>
      <c r="D1375" s="2" t="str">
        <f t="shared" si="20"/>
        <v>Error?</v>
      </c>
    </row>
    <row r="1376" spans="1:4" x14ac:dyDescent="0.2">
      <c r="A1376" s="5">
        <v>1315</v>
      </c>
      <c r="B1376" s="1831">
        <f>'Expenditures 15-22'!H210</f>
        <v>38250</v>
      </c>
      <c r="C1376" s="2" t="s">
        <v>568</v>
      </c>
      <c r="D1376" s="2" t="str">
        <f t="shared" si="20"/>
        <v>Error?</v>
      </c>
    </row>
    <row r="1377" spans="1:4" x14ac:dyDescent="0.2">
      <c r="A1377" s="5">
        <v>1316</v>
      </c>
      <c r="B1377" s="1831">
        <f>'Expenditures 15-22'!K182</f>
        <v>224254</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224254</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37750</v>
      </c>
      <c r="C1387" s="2" t="s">
        <v>568</v>
      </c>
      <c r="D1387" s="2" t="str">
        <f t="shared" si="20"/>
        <v>Error?</v>
      </c>
    </row>
    <row r="1388" spans="1:4" x14ac:dyDescent="0.2">
      <c r="A1388" s="5">
        <v>1327</v>
      </c>
      <c r="B1388" s="1831">
        <f>'Expenditures 15-22'!K210</f>
        <v>262004</v>
      </c>
      <c r="C1388" s="2" t="s">
        <v>568</v>
      </c>
      <c r="D1388" s="2" t="str">
        <f t="shared" si="20"/>
        <v>Error?</v>
      </c>
    </row>
    <row r="1389" spans="1:4" x14ac:dyDescent="0.2">
      <c r="A1389" s="5">
        <v>1328</v>
      </c>
      <c r="B1389" s="1831">
        <f>'Expenditures 15-22'!K211</f>
        <v>-211478</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593</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41665</v>
      </c>
      <c r="C1410" s="2" t="s">
        <v>568</v>
      </c>
      <c r="D1410" s="2" t="str">
        <f t="shared" si="21"/>
        <v>Error?</v>
      </c>
    </row>
    <row r="1411" spans="1:4" x14ac:dyDescent="0.2">
      <c r="A1411" s="5">
        <v>1350</v>
      </c>
      <c r="B1411" s="1831">
        <f>'Expenditures 15-22'!D232</f>
        <v>6033</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5894</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11927</v>
      </c>
      <c r="C1417" s="2" t="s">
        <v>568</v>
      </c>
      <c r="D1417" s="2" t="str">
        <f t="shared" si="21"/>
        <v>Error?</v>
      </c>
    </row>
    <row r="1418" spans="1:4" x14ac:dyDescent="0.2">
      <c r="A1418" s="5">
        <v>1357</v>
      </c>
      <c r="B1418" s="1831">
        <f>'Expenditures 15-22'!D240</f>
        <v>15</v>
      </c>
      <c r="D1418" s="2" t="str">
        <f t="shared" si="21"/>
        <v>Error?</v>
      </c>
    </row>
    <row r="1419" spans="1:4" x14ac:dyDescent="0.2">
      <c r="A1419" s="5">
        <v>1358</v>
      </c>
      <c r="B1419" s="1831">
        <f>'Expenditures 15-22'!D241</f>
        <v>413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428</v>
      </c>
      <c r="C1421" s="2" t="s">
        <v>568</v>
      </c>
      <c r="D1421" s="2" t="str">
        <f t="shared" si="21"/>
        <v>Error?</v>
      </c>
    </row>
    <row r="1422" spans="1:4" x14ac:dyDescent="0.2">
      <c r="A1422" s="5">
        <v>1361</v>
      </c>
      <c r="B1422" s="1831">
        <f>'Expenditures 15-22'!D245</f>
        <v>327</v>
      </c>
      <c r="D1422" s="2" t="str">
        <f t="shared" si="21"/>
        <v>Error?</v>
      </c>
    </row>
    <row r="1423" spans="1:4" x14ac:dyDescent="0.2">
      <c r="A1423" s="5">
        <v>1362</v>
      </c>
      <c r="B1423" s="1831">
        <f>'Expenditures 15-22'!D246</f>
        <v>1710</v>
      </c>
      <c r="D1423" s="2" t="str">
        <f t="shared" si="21"/>
        <v>Error?</v>
      </c>
    </row>
    <row r="1424" spans="1:4" x14ac:dyDescent="0.2">
      <c r="A1424" s="5">
        <v>1363</v>
      </c>
      <c r="B1424" s="1831">
        <f>'Expenditures 15-22'!D257</f>
        <v>2096</v>
      </c>
      <c r="C1424" s="2" t="s">
        <v>568</v>
      </c>
      <c r="D1424" s="2" t="str">
        <f t="shared" si="21"/>
        <v>Error?</v>
      </c>
    </row>
    <row r="1425" spans="1:4" x14ac:dyDescent="0.2">
      <c r="A1425" s="5">
        <v>1364</v>
      </c>
      <c r="B1425" s="1831">
        <f>'Expenditures 15-22'!D259</f>
        <v>0</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0</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10897</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14823</v>
      </c>
      <c r="D1431" s="2" t="str">
        <f t="shared" si="21"/>
        <v>Error?</v>
      </c>
    </row>
    <row r="1432" spans="1:4" x14ac:dyDescent="0.2">
      <c r="A1432" s="5">
        <v>1371</v>
      </c>
      <c r="B1432" s="1831">
        <f>'Expenditures 15-22'!D267</f>
        <v>4960</v>
      </c>
      <c r="D1432" s="2" t="str">
        <f t="shared" si="21"/>
        <v>Error?</v>
      </c>
    </row>
    <row r="1433" spans="1:4" x14ac:dyDescent="0.2">
      <c r="A1433" s="5">
        <v>1372</v>
      </c>
      <c r="B1433" s="1831">
        <f>'Expenditures 15-22'!D268</f>
        <v>6895</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37575</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396</v>
      </c>
      <c r="D1445" s="2" t="str">
        <f t="shared" si="21"/>
        <v>Error?</v>
      </c>
    </row>
    <row r="1446" spans="1:4" x14ac:dyDescent="0.2">
      <c r="A1446" s="5">
        <v>1385</v>
      </c>
      <c r="B1446" s="1831">
        <f>'Expenditures 15-22'!D279</f>
        <v>52422</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94087</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593</v>
      </c>
      <c r="C1472" s="2" t="s">
        <v>568</v>
      </c>
      <c r="D1472" s="2" t="str">
        <f t="shared" si="22"/>
        <v>Error?</v>
      </c>
    </row>
    <row r="1473" spans="1:4" x14ac:dyDescent="0.2">
      <c r="A1473" s="5">
        <v>1412</v>
      </c>
      <c r="B1473" s="1831">
        <f>'Expenditures 15-22'!K224</f>
        <v>0</v>
      </c>
      <c r="C1473" s="2" t="s">
        <v>568</v>
      </c>
      <c r="D1473" s="2" t="str">
        <f t="shared" si="22"/>
        <v>Error?</v>
      </c>
    </row>
    <row r="1474" spans="1:4" x14ac:dyDescent="0.2">
      <c r="A1474" s="5">
        <v>1413</v>
      </c>
      <c r="B1474" s="1831">
        <f>'Expenditures 15-22'!K229</f>
        <v>41665</v>
      </c>
      <c r="C1474" s="2" t="s">
        <v>568</v>
      </c>
      <c r="D1474" s="2" t="str">
        <f t="shared" si="22"/>
        <v>Error?</v>
      </c>
    </row>
    <row r="1475" spans="1:4" x14ac:dyDescent="0.2">
      <c r="A1475" s="5">
        <v>1414</v>
      </c>
      <c r="B1475" s="1831">
        <f>'Expenditures 15-22'!K232</f>
        <v>6033</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5894</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11927</v>
      </c>
      <c r="C1481" s="2" t="s">
        <v>568</v>
      </c>
      <c r="D1481" s="2" t="str">
        <f t="shared" si="22"/>
        <v>Error?</v>
      </c>
    </row>
    <row r="1482" spans="1:4" x14ac:dyDescent="0.2">
      <c r="A1482" s="5">
        <v>1421</v>
      </c>
      <c r="B1482" s="1831">
        <f>'Expenditures 15-22'!K240</f>
        <v>15</v>
      </c>
      <c r="C1482" s="2" t="s">
        <v>568</v>
      </c>
      <c r="D1482" s="2" t="str">
        <f t="shared" si="22"/>
        <v>Error?</v>
      </c>
    </row>
    <row r="1483" spans="1:4" x14ac:dyDescent="0.2">
      <c r="A1483" s="5">
        <v>1422</v>
      </c>
      <c r="B1483" s="1831">
        <f>'Expenditures 15-22'!K241</f>
        <v>413</v>
      </c>
      <c r="C1483" s="2" t="s">
        <v>568</v>
      </c>
      <c r="D1483" s="2" t="str">
        <f t="shared" si="22"/>
        <v>Error?</v>
      </c>
    </row>
    <row r="1484" spans="1:4" x14ac:dyDescent="0.2">
      <c r="A1484" s="5">
        <v>1423</v>
      </c>
      <c r="B1484" s="1831">
        <f>'Expenditures 15-22'!K242</f>
        <v>0</v>
      </c>
      <c r="C1484" s="2" t="s">
        <v>568</v>
      </c>
      <c r="D1484" s="2" t="str">
        <f t="shared" si="22"/>
        <v>Error?</v>
      </c>
    </row>
    <row r="1485" spans="1:4" x14ac:dyDescent="0.2">
      <c r="A1485" s="5">
        <v>1424</v>
      </c>
      <c r="B1485" s="1831">
        <f>'Expenditures 15-22'!K243</f>
        <v>428</v>
      </c>
      <c r="C1485" s="2" t="s">
        <v>568</v>
      </c>
      <c r="D1485" s="2" t="str">
        <f t="shared" si="22"/>
        <v>Error?</v>
      </c>
    </row>
    <row r="1486" spans="1:4" x14ac:dyDescent="0.2">
      <c r="A1486" s="5">
        <v>1425</v>
      </c>
      <c r="B1486" s="1831">
        <f>'Expenditures 15-22'!K245</f>
        <v>327</v>
      </c>
      <c r="C1486" s="2" t="s">
        <v>568</v>
      </c>
      <c r="D1486" s="2" t="str">
        <f t="shared" si="22"/>
        <v>Error?</v>
      </c>
    </row>
    <row r="1487" spans="1:4" x14ac:dyDescent="0.2">
      <c r="A1487" s="5">
        <v>1426</v>
      </c>
      <c r="B1487" s="1831">
        <f>'Expenditures 15-22'!K246</f>
        <v>1710</v>
      </c>
      <c r="C1487" s="2" t="s">
        <v>568</v>
      </c>
      <c r="D1487" s="2" t="str">
        <f t="shared" si="22"/>
        <v>Error?</v>
      </c>
    </row>
    <row r="1488" spans="1:4" x14ac:dyDescent="0.2">
      <c r="A1488" s="5">
        <v>1427</v>
      </c>
      <c r="B1488" s="1831">
        <f>'Expenditures 15-22'!K257</f>
        <v>2096</v>
      </c>
      <c r="C1488" s="2" t="s">
        <v>568</v>
      </c>
      <c r="D1488" s="2" t="str">
        <f t="shared" si="22"/>
        <v>Error?</v>
      </c>
    </row>
    <row r="1489" spans="1:4" x14ac:dyDescent="0.2">
      <c r="A1489" s="5">
        <v>1428</v>
      </c>
      <c r="B1489" s="1831">
        <f>'Expenditures 15-22'!K259</f>
        <v>0</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0</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10897</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14823</v>
      </c>
      <c r="C1495" s="2" t="s">
        <v>568</v>
      </c>
      <c r="D1495" s="2" t="str">
        <f t="shared" si="22"/>
        <v>Error?</v>
      </c>
    </row>
    <row r="1496" spans="1:4" x14ac:dyDescent="0.2">
      <c r="A1496" s="5">
        <v>1435</v>
      </c>
      <c r="B1496" s="1831">
        <f>'Expenditures 15-22'!K267</f>
        <v>4960</v>
      </c>
      <c r="C1496" s="2" t="s">
        <v>568</v>
      </c>
      <c r="D1496" s="2" t="str">
        <f t="shared" si="22"/>
        <v>Error?</v>
      </c>
    </row>
    <row r="1497" spans="1:4" x14ac:dyDescent="0.2">
      <c r="A1497" s="5">
        <v>1436</v>
      </c>
      <c r="B1497" s="1831">
        <f>'Expenditures 15-22'!K268</f>
        <v>6895</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37575</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396</v>
      </c>
      <c r="C1509" s="2" t="s">
        <v>568</v>
      </c>
      <c r="D1509" s="2" t="str">
        <f t="shared" si="22"/>
        <v>Error?</v>
      </c>
    </row>
    <row r="1510" spans="1:4" x14ac:dyDescent="0.2">
      <c r="A1510" s="5">
        <v>1449</v>
      </c>
      <c r="B1510" s="1831">
        <f>'Expenditures 15-22'!K279</f>
        <v>52422</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94087</v>
      </c>
      <c r="C1517" s="2" t="s">
        <v>568</v>
      </c>
      <c r="D1517" s="2" t="str">
        <f t="shared" si="22"/>
        <v>Error?</v>
      </c>
    </row>
    <row r="1518" spans="1:4" x14ac:dyDescent="0.2">
      <c r="A1518" s="5">
        <v>1457</v>
      </c>
      <c r="B1518" s="1831">
        <f>'Expenditures 15-22'!K296</f>
        <v>-12080</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0</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649640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742803</v>
      </c>
      <c r="C1630" s="2" t="s">
        <v>568</v>
      </c>
      <c r="D1630" s="2" t="str">
        <f t="shared" si="24"/>
        <v>Error?</v>
      </c>
    </row>
    <row r="1631" spans="1:4" x14ac:dyDescent="0.2">
      <c r="A1631" s="5">
        <v>1570</v>
      </c>
      <c r="B1631" s="1831">
        <f>'Acct Summary 7-8'!D79</f>
        <v>114476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51971</v>
      </c>
      <c r="C1644" s="2" t="s">
        <v>568</v>
      </c>
      <c r="D1644" s="2" t="str">
        <f t="shared" si="24"/>
        <v>Error?</v>
      </c>
    </row>
    <row r="1645" spans="1:4" x14ac:dyDescent="0.2">
      <c r="A1645" s="5">
        <v>1584</v>
      </c>
      <c r="B1645" s="1831">
        <f>'Acct Summary 7-8'!E79</f>
        <v>82608</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82978</v>
      </c>
      <c r="C1658" s="2" t="s">
        <v>568</v>
      </c>
      <c r="D1658" s="2" t="str">
        <f t="shared" si="24"/>
        <v>Error?</v>
      </c>
    </row>
    <row r="1659" spans="1:4" x14ac:dyDescent="0.2">
      <c r="A1659" s="5">
        <v>1598</v>
      </c>
      <c r="B1659" s="1831">
        <f>'Acct Summary 7-8'!F79</f>
        <v>37307</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27661</v>
      </c>
      <c r="C1672" s="2" t="s">
        <v>568</v>
      </c>
      <c r="D1672" s="2" t="str">
        <f t="shared" si="25"/>
        <v>Error?</v>
      </c>
    </row>
    <row r="1673" spans="1:4" x14ac:dyDescent="0.2">
      <c r="A1673" s="5">
        <v>1612</v>
      </c>
      <c r="B1673" s="1831">
        <f>'Acct Summary 7-8'!G79</f>
        <v>24156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12076</v>
      </c>
      <c r="C1686" s="2" t="s">
        <v>568</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206928</v>
      </c>
      <c r="C1744" s="2" t="s">
        <v>568</v>
      </c>
      <c r="D1744" s="2" t="str">
        <f t="shared" si="26"/>
        <v>Error?</v>
      </c>
    </row>
    <row r="1745" spans="1:5" x14ac:dyDescent="0.2">
      <c r="A1745" s="5">
        <v>1684</v>
      </c>
      <c r="B1745" s="1831">
        <f>'Tax Sched 23'!B5</f>
        <v>30221</v>
      </c>
      <c r="C1745" s="2" t="s">
        <v>568</v>
      </c>
      <c r="D1745" s="2" t="str">
        <f t="shared" si="26"/>
        <v>Error?</v>
      </c>
    </row>
    <row r="1746" spans="1:5" x14ac:dyDescent="0.2">
      <c r="A1746" s="5">
        <v>1685</v>
      </c>
      <c r="B1746" s="1831">
        <f>'Tax Sched 23'!B6</f>
        <v>74753</v>
      </c>
      <c r="C1746" s="2" t="s">
        <v>568</v>
      </c>
      <c r="D1746" s="2" t="str">
        <f t="shared" si="26"/>
        <v>Error?</v>
      </c>
    </row>
    <row r="1747" spans="1:5" x14ac:dyDescent="0.2">
      <c r="A1747" s="5">
        <v>1686</v>
      </c>
      <c r="B1747" s="1831">
        <f>'Tax Sched 23'!B7</f>
        <v>19882</v>
      </c>
      <c r="C1747" s="2" t="s">
        <v>568</v>
      </c>
      <c r="D1747" s="2" t="str">
        <f t="shared" si="26"/>
        <v>Error?</v>
      </c>
    </row>
    <row r="1748" spans="1:5" x14ac:dyDescent="0.2">
      <c r="A1748" s="5">
        <v>1687</v>
      </c>
      <c r="B1748" s="1831">
        <f>'Tax Sched 23'!B8</f>
        <v>40994</v>
      </c>
      <c r="C1748" s="2" t="s">
        <v>568</v>
      </c>
      <c r="D1748" s="2" t="str">
        <f t="shared" si="26"/>
        <v>Error?</v>
      </c>
    </row>
    <row r="1749" spans="1:5" x14ac:dyDescent="0.2">
      <c r="A1749" s="5">
        <v>1688</v>
      </c>
      <c r="B1749" s="1831">
        <f>'Tax Sched 23'!B10</f>
        <v>0</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12568</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0</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409912</v>
      </c>
      <c r="C1759" s="2" t="s">
        <v>568</v>
      </c>
      <c r="D1759" s="2" t="str">
        <f t="shared" si="26"/>
        <v>Error?</v>
      </c>
    </row>
    <row r="1760" spans="1:5" x14ac:dyDescent="0.2">
      <c r="A1760" s="5">
        <v>1699</v>
      </c>
      <c r="B1760" s="1831">
        <f>'Tax Sched 23'!D4</f>
        <v>206928</v>
      </c>
      <c r="C1760" s="2" t="s">
        <v>568</v>
      </c>
      <c r="D1760" s="2" t="str">
        <f t="shared" si="26"/>
        <v>Error?</v>
      </c>
    </row>
    <row r="1761" spans="1:7" x14ac:dyDescent="0.2">
      <c r="A1761" s="5">
        <v>1700</v>
      </c>
      <c r="B1761" s="1831">
        <f>'Tax Sched 23'!D5</f>
        <v>30221</v>
      </c>
      <c r="C1761" s="2" t="s">
        <v>568</v>
      </c>
      <c r="D1761" s="2" t="str">
        <f t="shared" si="26"/>
        <v>Error?</v>
      </c>
    </row>
    <row r="1762" spans="1:7" s="8" customFormat="1" x14ac:dyDescent="0.2">
      <c r="A1762" s="5">
        <v>1701</v>
      </c>
      <c r="B1762" s="1831">
        <f>'Tax Sched 23'!D6</f>
        <v>74753</v>
      </c>
      <c r="C1762" s="2" t="s">
        <v>568</v>
      </c>
      <c r="D1762" s="2" t="str">
        <f t="shared" si="26"/>
        <v>Error?</v>
      </c>
      <c r="E1762" s="9"/>
      <c r="G1762"/>
    </row>
    <row r="1763" spans="1:7" x14ac:dyDescent="0.2">
      <c r="A1763" s="5">
        <v>1702</v>
      </c>
      <c r="B1763" s="1831">
        <f>'Tax Sched 23'!D7</f>
        <v>19882</v>
      </c>
      <c r="C1763" s="2" t="s">
        <v>568</v>
      </c>
      <c r="D1763" s="2" t="str">
        <f t="shared" si="26"/>
        <v>Error?</v>
      </c>
    </row>
    <row r="1764" spans="1:7" x14ac:dyDescent="0.2">
      <c r="A1764" s="5">
        <v>1703</v>
      </c>
      <c r="B1764" s="1831">
        <f>'Tax Sched 23'!D8</f>
        <v>40994</v>
      </c>
      <c r="C1764" s="2" t="s">
        <v>568</v>
      </c>
      <c r="D1764" s="2" t="str">
        <f t="shared" si="26"/>
        <v>Error?</v>
      </c>
    </row>
    <row r="1765" spans="1:7" x14ac:dyDescent="0.2">
      <c r="A1765" s="5">
        <v>1704</v>
      </c>
      <c r="B1765" s="1831">
        <f>'Tax Sched 23'!D10</f>
        <v>0</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12568</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0</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409912</v>
      </c>
      <c r="C1775" s="2" t="s">
        <v>568</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568</v>
      </c>
      <c r="D1791" s="2" t="str">
        <f t="shared" ref="D1791:D1854" si="27">IF(ISBLANK(B1791),"OK",IF(A1791-B1791=0,"OK","Error?"))</f>
        <v>Error?</v>
      </c>
    </row>
    <row r="1792" spans="1:4" x14ac:dyDescent="0.2">
      <c r="A1792" s="5">
        <v>1731</v>
      </c>
      <c r="B1792" s="1831">
        <f>'Tax Sched 23'!F4</f>
        <v>214353</v>
      </c>
      <c r="C1792" s="2" t="s">
        <v>568</v>
      </c>
      <c r="D1792" s="2" t="str">
        <f t="shared" si="27"/>
        <v>Error?</v>
      </c>
    </row>
    <row r="1793" spans="1:4" x14ac:dyDescent="0.2">
      <c r="A1793" s="5">
        <v>1732</v>
      </c>
      <c r="B1793" s="1831">
        <f>'Tax Sched 23'!F5</f>
        <v>31307</v>
      </c>
      <c r="C1793" s="2" t="s">
        <v>568</v>
      </c>
      <c r="D1793" s="2" t="str">
        <f t="shared" si="27"/>
        <v>Error?</v>
      </c>
    </row>
    <row r="1794" spans="1:4" x14ac:dyDescent="0.2">
      <c r="A1794" s="5">
        <v>1733</v>
      </c>
      <c r="B1794" s="1831">
        <f>'Tax Sched 23'!F6</f>
        <v>75042</v>
      </c>
      <c r="C1794" s="2" t="s">
        <v>568</v>
      </c>
      <c r="D1794" s="2" t="str">
        <f t="shared" si="27"/>
        <v>Error?</v>
      </c>
    </row>
    <row r="1795" spans="1:4" x14ac:dyDescent="0.2">
      <c r="A1795" s="5">
        <v>1734</v>
      </c>
      <c r="B1795" s="1831">
        <f>'Tax Sched 23'!F7</f>
        <v>20598</v>
      </c>
      <c r="C1795" s="2" t="s">
        <v>568</v>
      </c>
      <c r="D1795" s="2" t="str">
        <f t="shared" si="27"/>
        <v>Error?</v>
      </c>
    </row>
    <row r="1796" spans="1:4" x14ac:dyDescent="0.2">
      <c r="A1796" s="5">
        <v>1735</v>
      </c>
      <c r="B1796" s="1831">
        <f>'Tax Sched 23'!F8</f>
        <v>42468</v>
      </c>
      <c r="C1796" s="2" t="s">
        <v>568</v>
      </c>
      <c r="D1796" s="2" t="str">
        <f t="shared" si="27"/>
        <v>Error?</v>
      </c>
    </row>
    <row r="1797" spans="1:4" x14ac:dyDescent="0.2">
      <c r="A1797" s="5">
        <v>1736</v>
      </c>
      <c r="B1797" s="1831">
        <f>'Tax Sched 23'!F10</f>
        <v>0</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13021</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0</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422238</v>
      </c>
      <c r="C1807" s="2" t="s">
        <v>568</v>
      </c>
      <c r="D1807" s="2" t="str">
        <f t="shared" si="27"/>
        <v>Error?</v>
      </c>
    </row>
    <row r="1808" spans="1:4" x14ac:dyDescent="0.2">
      <c r="A1808" s="5">
        <v>1747</v>
      </c>
      <c r="B1808" s="1831">
        <f>'Tax Sched 23'!E4</f>
        <v>214353</v>
      </c>
      <c r="D1808" s="2" t="str">
        <f t="shared" si="27"/>
        <v>Error?</v>
      </c>
    </row>
    <row r="1809" spans="1:4" x14ac:dyDescent="0.2">
      <c r="A1809" s="5">
        <v>1748</v>
      </c>
      <c r="B1809" s="1831">
        <f>'Tax Sched 23'!E5</f>
        <v>31307</v>
      </c>
      <c r="D1809" s="2" t="str">
        <f t="shared" si="27"/>
        <v>Error?</v>
      </c>
    </row>
    <row r="1810" spans="1:4" x14ac:dyDescent="0.2">
      <c r="A1810" s="5">
        <v>1749</v>
      </c>
      <c r="B1810" s="1831">
        <f>'Tax Sched 23'!E6</f>
        <v>75042</v>
      </c>
      <c r="D1810" s="2" t="str">
        <f t="shared" si="27"/>
        <v>Error?</v>
      </c>
    </row>
    <row r="1811" spans="1:4" x14ac:dyDescent="0.2">
      <c r="A1811" s="5">
        <v>1750</v>
      </c>
      <c r="B1811" s="1831">
        <f>'Tax Sched 23'!E7</f>
        <v>20598</v>
      </c>
      <c r="D1811" s="2" t="str">
        <f t="shared" si="27"/>
        <v>Error?</v>
      </c>
    </row>
    <row r="1812" spans="1:4" x14ac:dyDescent="0.2">
      <c r="A1812" s="5">
        <v>1751</v>
      </c>
      <c r="B1812" s="1831">
        <f>'Tax Sched 23'!E8</f>
        <v>42468</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13021</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422238</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317000</v>
      </c>
      <c r="C1939" s="2" t="s">
        <v>568</v>
      </c>
      <c r="D1939" s="2" t="str">
        <f t="shared" si="29"/>
        <v>Error?</v>
      </c>
    </row>
    <row r="1940" spans="1:5" x14ac:dyDescent="0.2">
      <c r="A1940" s="5">
        <v>1879</v>
      </c>
      <c r="B1940" s="1831">
        <f>'Short-Term Long-Term Debt 24'!F49</f>
        <v>244650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13324</v>
      </c>
      <c r="D2008" s="2" t="str">
        <f t="shared" si="30"/>
        <v>Error?</v>
      </c>
    </row>
    <row r="2009" spans="1:4" x14ac:dyDescent="0.2">
      <c r="A2009" s="5">
        <v>1948</v>
      </c>
      <c r="B2009" s="1831">
        <f>'Cap Outlay Deprec 26'!C8</f>
        <v>4673095</v>
      </c>
      <c r="D2009" s="2" t="str">
        <f t="shared" si="30"/>
        <v>Error?</v>
      </c>
    </row>
    <row r="2010" spans="1:4" x14ac:dyDescent="0.2">
      <c r="A2010" s="5">
        <v>1949</v>
      </c>
      <c r="B2010" s="1831">
        <f>'Cap Outlay Deprec 26'!C10</f>
        <v>114361</v>
      </c>
      <c r="D2010" s="2" t="str">
        <f t="shared" si="30"/>
        <v>Error?</v>
      </c>
    </row>
    <row r="2011" spans="1:4" x14ac:dyDescent="0.2">
      <c r="A2011" s="5">
        <v>1950</v>
      </c>
      <c r="B2011" s="1831">
        <f>'Cap Outlay Deprec 26'!C12</f>
        <v>416875</v>
      </c>
      <c r="D2011" s="2" t="str">
        <f t="shared" si="30"/>
        <v>Error?</v>
      </c>
    </row>
    <row r="2012" spans="1:4" x14ac:dyDescent="0.2">
      <c r="A2012" s="5">
        <v>1951</v>
      </c>
      <c r="B2012" s="1831">
        <f>'Cap Outlay Deprec 26'!C13</f>
        <v>91840</v>
      </c>
      <c r="D2012" s="2" t="str">
        <f t="shared" si="30"/>
        <v>Error?</v>
      </c>
    </row>
    <row r="2013" spans="1:4" x14ac:dyDescent="0.2">
      <c r="A2013" s="5">
        <v>1952</v>
      </c>
      <c r="B2013" s="1831">
        <f>'Cap Outlay Deprec 26'!C16</f>
        <v>5312642</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214077</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213696</v>
      </c>
      <c r="D2017" s="2" t="str">
        <f t="shared" si="30"/>
        <v>Error?</v>
      </c>
    </row>
    <row r="2018" spans="1:4" x14ac:dyDescent="0.2">
      <c r="A2018" s="5">
        <v>1957</v>
      </c>
      <c r="B2018" s="1831">
        <f>'Cap Outlay Deprec 26'!D13</f>
        <v>176832</v>
      </c>
      <c r="D2018" s="2" t="str">
        <f t="shared" si="30"/>
        <v>Error?</v>
      </c>
    </row>
    <row r="2019" spans="1:4" x14ac:dyDescent="0.2">
      <c r="A2019" s="5">
        <v>1958</v>
      </c>
      <c r="B2019" s="1831">
        <f>'Cap Outlay Deprec 26'!D16</f>
        <v>604605</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28562</v>
      </c>
      <c r="D2021" s="2" t="str">
        <f t="shared" si="30"/>
        <v>Error?</v>
      </c>
    </row>
    <row r="2022" spans="1:4" x14ac:dyDescent="0.2">
      <c r="A2022" s="5">
        <v>1961</v>
      </c>
      <c r="B2022" s="1831">
        <f>'Cap Outlay Deprec 26'!E10</f>
        <v>11245</v>
      </c>
      <c r="D2022" s="2" t="str">
        <f t="shared" si="30"/>
        <v>Error?</v>
      </c>
    </row>
    <row r="2023" spans="1:4" x14ac:dyDescent="0.2">
      <c r="A2023" s="5">
        <v>1962</v>
      </c>
      <c r="B2023" s="1831">
        <f>'Cap Outlay Deprec 26'!E12</f>
        <v>184273</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224080</v>
      </c>
      <c r="C2025" s="2" t="s">
        <v>568</v>
      </c>
      <c r="D2025" s="2" t="str">
        <f t="shared" si="30"/>
        <v>Error?</v>
      </c>
    </row>
    <row r="2026" spans="1:4" x14ac:dyDescent="0.2">
      <c r="A2026" s="5">
        <v>1965</v>
      </c>
      <c r="B2026" s="1831">
        <f>'Cap Outlay Deprec 26'!F5</f>
        <v>13324</v>
      </c>
      <c r="C2026" s="2" t="s">
        <v>568</v>
      </c>
      <c r="D2026" s="2" t="str">
        <f t="shared" si="30"/>
        <v>Error?</v>
      </c>
    </row>
    <row r="2027" spans="1:4" x14ac:dyDescent="0.2">
      <c r="A2027" s="5">
        <v>1966</v>
      </c>
      <c r="B2027" s="1831">
        <f>'Cap Outlay Deprec 26'!F8</f>
        <v>4858610</v>
      </c>
      <c r="C2027" s="2" t="s">
        <v>568</v>
      </c>
      <c r="D2027" s="2" t="str">
        <f t="shared" si="30"/>
        <v>Error?</v>
      </c>
    </row>
    <row r="2028" spans="1:4" x14ac:dyDescent="0.2">
      <c r="A2028" s="5">
        <v>1967</v>
      </c>
      <c r="B2028" s="1831">
        <f>'Cap Outlay Deprec 26'!F10</f>
        <v>103116</v>
      </c>
      <c r="C2028" s="2" t="s">
        <v>568</v>
      </c>
      <c r="D2028" s="2" t="str">
        <f t="shared" si="30"/>
        <v>Error?</v>
      </c>
    </row>
    <row r="2029" spans="1:4" x14ac:dyDescent="0.2">
      <c r="A2029" s="5">
        <v>1968</v>
      </c>
      <c r="B2029" s="1831">
        <f>'Cap Outlay Deprec 26'!F12</f>
        <v>446298</v>
      </c>
      <c r="C2029" s="2" t="s">
        <v>568</v>
      </c>
      <c r="D2029" s="2" t="str">
        <f t="shared" si="30"/>
        <v>Error?</v>
      </c>
    </row>
    <row r="2030" spans="1:4" x14ac:dyDescent="0.2">
      <c r="A2030" s="5">
        <v>1969</v>
      </c>
      <c r="B2030" s="1831">
        <f>'Cap Outlay Deprec 26'!F13</f>
        <v>268672</v>
      </c>
      <c r="C2030" s="2" t="s">
        <v>568</v>
      </c>
      <c r="D2030" s="2" t="str">
        <f t="shared" si="30"/>
        <v>Error?</v>
      </c>
    </row>
    <row r="2031" spans="1:4" x14ac:dyDescent="0.2">
      <c r="A2031" s="5">
        <v>1970</v>
      </c>
      <c r="B2031" s="1831">
        <f>'Cap Outlay Deprec 26'!F16</f>
        <v>5693167</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2334121</v>
      </c>
      <c r="D2033" s="2" t="str">
        <f t="shared" si="30"/>
        <v>Error?</v>
      </c>
    </row>
    <row r="2034" spans="1:4" x14ac:dyDescent="0.2">
      <c r="A2034" s="5">
        <v>1973</v>
      </c>
      <c r="B2034" s="1831">
        <f>'Cap Outlay Deprec 26'!H10</f>
        <v>82147</v>
      </c>
      <c r="D2034" s="2" t="str">
        <f t="shared" si="30"/>
        <v>Error?</v>
      </c>
    </row>
    <row r="2035" spans="1:4" x14ac:dyDescent="0.2">
      <c r="A2035" s="5">
        <v>1974</v>
      </c>
      <c r="B2035" s="1831">
        <f>'Cap Outlay Deprec 26'!H12</f>
        <v>280987</v>
      </c>
      <c r="D2035" s="2" t="str">
        <f t="shared" si="30"/>
        <v>Error?</v>
      </c>
    </row>
    <row r="2036" spans="1:4" x14ac:dyDescent="0.2">
      <c r="A2036" s="5">
        <v>1975</v>
      </c>
      <c r="B2036" s="1831">
        <f>'Cap Outlay Deprec 26'!H13</f>
        <v>91840</v>
      </c>
      <c r="D2036" s="2" t="str">
        <f t="shared" si="30"/>
        <v>Error?</v>
      </c>
    </row>
    <row r="2037" spans="1:4" x14ac:dyDescent="0.2">
      <c r="A2037" s="5">
        <v>1976</v>
      </c>
      <c r="B2037" s="1831">
        <f>'Cap Outlay Deprec 26'!H16</f>
        <v>2792242</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104974</v>
      </c>
      <c r="D2039" s="2" t="str">
        <f t="shared" si="30"/>
        <v>Error?</v>
      </c>
    </row>
    <row r="2040" spans="1:4" x14ac:dyDescent="0.2">
      <c r="A2040" s="5">
        <v>1979</v>
      </c>
      <c r="B2040" s="1831">
        <f>'Cap Outlay Deprec 26'!I10</f>
        <v>4216</v>
      </c>
      <c r="D2040" s="2" t="str">
        <f t="shared" si="30"/>
        <v>Error?</v>
      </c>
    </row>
    <row r="2041" spans="1:4" x14ac:dyDescent="0.2">
      <c r="A2041" s="5">
        <v>1980</v>
      </c>
      <c r="B2041" s="1831">
        <f>'Cap Outlay Deprec 26'!I12</f>
        <v>31929</v>
      </c>
      <c r="D2041" s="2" t="str">
        <f t="shared" si="30"/>
        <v>Error?</v>
      </c>
    </row>
    <row r="2042" spans="1:4" x14ac:dyDescent="0.2">
      <c r="A2042" s="5">
        <v>1981</v>
      </c>
      <c r="B2042" s="1831">
        <f>'Cap Outlay Deprec 26'!I13</f>
        <v>26525</v>
      </c>
      <c r="D2042" s="2" t="str">
        <f t="shared" si="30"/>
        <v>Error?</v>
      </c>
    </row>
    <row r="2043" spans="1:4" x14ac:dyDescent="0.2">
      <c r="A2043" s="5">
        <v>1982</v>
      </c>
      <c r="B2043" s="1831">
        <f>'Cap Outlay Deprec 26'!I16</f>
        <v>167644</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18024</v>
      </c>
      <c r="D2045" s="2" t="str">
        <f t="shared" si="30"/>
        <v>Error?</v>
      </c>
    </row>
    <row r="2046" spans="1:4" x14ac:dyDescent="0.2">
      <c r="A2046" s="5">
        <v>1985</v>
      </c>
      <c r="B2046" s="1831">
        <f>'Cap Outlay Deprec 26'!J10</f>
        <v>11245</v>
      </c>
      <c r="D2046" s="2" t="str">
        <f t="shared" si="30"/>
        <v>Error?</v>
      </c>
    </row>
    <row r="2047" spans="1:4" x14ac:dyDescent="0.2">
      <c r="A2047" s="5">
        <v>1986</v>
      </c>
      <c r="B2047" s="1831">
        <f>'Cap Outlay Deprec 26'!J12</f>
        <v>176747</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206016</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2421071</v>
      </c>
      <c r="C2051" s="2" t="s">
        <v>568</v>
      </c>
      <c r="D2051" s="2" t="str">
        <f t="shared" si="31"/>
        <v>Error?</v>
      </c>
    </row>
    <row r="2052" spans="1:4" x14ac:dyDescent="0.2">
      <c r="A2052" s="5">
        <v>1991</v>
      </c>
      <c r="B2052" s="1831">
        <f>'Cap Outlay Deprec 26'!K10</f>
        <v>75118</v>
      </c>
      <c r="C2052" s="2" t="s">
        <v>568</v>
      </c>
      <c r="D2052" s="2" t="str">
        <f t="shared" si="31"/>
        <v>Error?</v>
      </c>
    </row>
    <row r="2053" spans="1:4" x14ac:dyDescent="0.2">
      <c r="A2053" s="5">
        <v>1992</v>
      </c>
      <c r="B2053" s="1831">
        <f>'Cap Outlay Deprec 26'!K12</f>
        <v>136169</v>
      </c>
      <c r="C2053" s="2" t="s">
        <v>568</v>
      </c>
      <c r="D2053" s="2" t="str">
        <f t="shared" si="31"/>
        <v>Error?</v>
      </c>
    </row>
    <row r="2054" spans="1:4" x14ac:dyDescent="0.2">
      <c r="A2054" s="5">
        <v>1993</v>
      </c>
      <c r="B2054" s="1831">
        <f>'Cap Outlay Deprec 26'!K13</f>
        <v>118365</v>
      </c>
      <c r="C2054" s="2" t="s">
        <v>568</v>
      </c>
      <c r="D2054" s="2" t="str">
        <f t="shared" si="31"/>
        <v>Error?</v>
      </c>
    </row>
    <row r="2055" spans="1:4" x14ac:dyDescent="0.2">
      <c r="A2055" s="5">
        <v>1994</v>
      </c>
      <c r="B2055" s="1831">
        <f>'Cap Outlay Deprec 26'!K16</f>
        <v>2753870</v>
      </c>
      <c r="C2055" s="2" t="s">
        <v>568</v>
      </c>
      <c r="D2055" s="2" t="str">
        <f t="shared" si="31"/>
        <v>Error?</v>
      </c>
    </row>
    <row r="2056" spans="1:4" x14ac:dyDescent="0.2">
      <c r="A2056" s="5">
        <v>1995</v>
      </c>
      <c r="B2056" s="1831">
        <f>'Cap Outlay Deprec 26'!L5</f>
        <v>13324</v>
      </c>
      <c r="C2056" s="2" t="s">
        <v>568</v>
      </c>
      <c r="D2056" s="2" t="str">
        <f t="shared" si="31"/>
        <v>Error?</v>
      </c>
    </row>
    <row r="2057" spans="1:4" x14ac:dyDescent="0.2">
      <c r="A2057" s="5">
        <v>1996</v>
      </c>
      <c r="B2057" s="1831">
        <f>'Cap Outlay Deprec 26'!L8</f>
        <v>2437539</v>
      </c>
      <c r="C2057" s="2" t="s">
        <v>568</v>
      </c>
      <c r="D2057" s="2" t="str">
        <f t="shared" si="31"/>
        <v>Error?</v>
      </c>
    </row>
    <row r="2058" spans="1:4" x14ac:dyDescent="0.2">
      <c r="A2058" s="5">
        <v>1997</v>
      </c>
      <c r="B2058" s="1831">
        <f>'Cap Outlay Deprec 26'!L10</f>
        <v>27998</v>
      </c>
      <c r="C2058" s="2" t="s">
        <v>568</v>
      </c>
      <c r="D2058" s="2" t="str">
        <f t="shared" si="31"/>
        <v>Error?</v>
      </c>
    </row>
    <row r="2059" spans="1:4" x14ac:dyDescent="0.2">
      <c r="A2059" s="5">
        <v>1998</v>
      </c>
      <c r="B2059" s="1831">
        <f>'Cap Outlay Deprec 26'!L12</f>
        <v>310129</v>
      </c>
      <c r="C2059" s="2" t="s">
        <v>568</v>
      </c>
      <c r="D2059" s="2" t="str">
        <f t="shared" si="31"/>
        <v>Error?</v>
      </c>
    </row>
    <row r="2060" spans="1:4" x14ac:dyDescent="0.2">
      <c r="A2060" s="5">
        <v>1999</v>
      </c>
      <c r="B2060" s="1831">
        <f>'Cap Outlay Deprec 26'!L13</f>
        <v>150307</v>
      </c>
      <c r="C2060" s="2" t="s">
        <v>568</v>
      </c>
      <c r="D2060" s="2" t="str">
        <f t="shared" si="31"/>
        <v>Error?</v>
      </c>
    </row>
    <row r="2061" spans="1:4" x14ac:dyDescent="0.2">
      <c r="A2061" s="5">
        <v>2000</v>
      </c>
      <c r="B2061" s="1831">
        <f>'Cap Outlay Deprec 26'!L16</f>
        <v>2939297</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25121</v>
      </c>
      <c r="C2088" s="2" t="s">
        <v>568</v>
      </c>
      <c r="D2088" s="2" t="str">
        <f t="shared" si="31"/>
        <v>Error?</v>
      </c>
    </row>
    <row r="2089" spans="1:4" x14ac:dyDescent="0.2">
      <c r="A2089" s="5">
        <v>2028</v>
      </c>
      <c r="B2089" s="1831">
        <f>'Expenditures 15-22'!K92</f>
        <v>129554</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50000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2776</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293205</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1918665</v>
      </c>
      <c r="C2553" s="2" t="s">
        <v>568</v>
      </c>
      <c r="D2553" s="2" t="str">
        <f t="shared" si="38"/>
        <v>Error?</v>
      </c>
    </row>
    <row r="2554" spans="1:4" x14ac:dyDescent="0.2">
      <c r="A2554" s="5">
        <v>2493</v>
      </c>
      <c r="B2554" s="1831">
        <f>'Acct Summary 7-8'!C7</f>
        <v>454486</v>
      </c>
      <c r="C2554" s="2" t="s">
        <v>568</v>
      </c>
      <c r="D2554" s="2" t="str">
        <f t="shared" si="38"/>
        <v>Error?</v>
      </c>
    </row>
    <row r="2555" spans="1:4" x14ac:dyDescent="0.2">
      <c r="A2555" s="5">
        <v>2494</v>
      </c>
      <c r="B2555" s="1831">
        <f>'Acct Summary 7-8'!C8</f>
        <v>2666356</v>
      </c>
      <c r="C2555" s="2" t="s">
        <v>568</v>
      </c>
      <c r="D2555" s="2" t="str">
        <f t="shared" si="38"/>
        <v>Error?</v>
      </c>
    </row>
    <row r="2556" spans="1:4" x14ac:dyDescent="0.2">
      <c r="A2556" s="5">
        <v>2495</v>
      </c>
      <c r="B2556" s="1831">
        <f>'Acct Summary 7-8'!C12</f>
        <v>1558209</v>
      </c>
      <c r="C2556" s="2" t="s">
        <v>568</v>
      </c>
      <c r="D2556" s="2" t="str">
        <f t="shared" si="38"/>
        <v>Error?</v>
      </c>
    </row>
    <row r="2557" spans="1:4" x14ac:dyDescent="0.2">
      <c r="A2557" s="5">
        <v>2496</v>
      </c>
      <c r="B2557" s="1831">
        <f>'Acct Summary 7-8'!C13</f>
        <v>815497</v>
      </c>
      <c r="C2557" s="2" t="s">
        <v>568</v>
      </c>
      <c r="D2557" s="2" t="str">
        <f t="shared" si="38"/>
        <v>Error?</v>
      </c>
    </row>
    <row r="2558" spans="1:4" x14ac:dyDescent="0.2">
      <c r="A2558" s="5">
        <v>2497</v>
      </c>
      <c r="B2558" s="1831">
        <f>'Acct Summary 7-8'!C14</f>
        <v>19812</v>
      </c>
      <c r="C2558" s="2" t="s">
        <v>568</v>
      </c>
      <c r="D2558" s="2" t="str">
        <f t="shared" si="38"/>
        <v>Error?</v>
      </c>
    </row>
    <row r="2559" spans="1:4" x14ac:dyDescent="0.2">
      <c r="A2559" s="5">
        <v>2498</v>
      </c>
      <c r="B2559" s="1831">
        <f>'Acct Summary 7-8'!C15</f>
        <v>154675</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2548193</v>
      </c>
      <c r="C2561" s="2" t="s">
        <v>568</v>
      </c>
      <c r="D2561" s="2" t="str">
        <f t="shared" si="39"/>
        <v>Error?</v>
      </c>
    </row>
    <row r="2562" spans="1:4" x14ac:dyDescent="0.2">
      <c r="A2562" s="5">
        <v>2501</v>
      </c>
      <c r="B2562" s="1831">
        <f>'Acct Summary 7-8'!C20</f>
        <v>118163</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59896</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198688</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258584</v>
      </c>
      <c r="C2568" s="2" t="s">
        <v>568</v>
      </c>
      <c r="D2568" s="2" t="str">
        <f t="shared" si="39"/>
        <v>Error?</v>
      </c>
    </row>
    <row r="2569" spans="1:4" x14ac:dyDescent="0.2">
      <c r="A2569" s="5">
        <v>2508</v>
      </c>
      <c r="B2569" s="1831">
        <f>'Acct Summary 7-8'!D13</f>
        <v>416414</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416414</v>
      </c>
      <c r="C2573" s="2" t="s">
        <v>568</v>
      </c>
      <c r="D2573" s="2" t="str">
        <f t="shared" si="39"/>
        <v>Error?</v>
      </c>
    </row>
    <row r="2574" spans="1:4" x14ac:dyDescent="0.2">
      <c r="A2574" s="5">
        <v>2513</v>
      </c>
      <c r="B2574" s="1831">
        <f>'Acct Summary 7-8'!D20</f>
        <v>-157830</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20500</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30026</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50526</v>
      </c>
      <c r="C2595" s="2" t="s">
        <v>568</v>
      </c>
      <c r="D2595" s="2" t="str">
        <f t="shared" si="39"/>
        <v>Error?</v>
      </c>
    </row>
    <row r="2596" spans="1:4" x14ac:dyDescent="0.2">
      <c r="A2596" s="5">
        <v>2535</v>
      </c>
      <c r="B2596" s="1831">
        <f>'Acct Summary 7-8'!F13</f>
        <v>224254</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37750</v>
      </c>
      <c r="C2599" s="2" t="s">
        <v>568</v>
      </c>
      <c r="D2599" s="2" t="str">
        <f t="shared" si="39"/>
        <v>Error?</v>
      </c>
    </row>
    <row r="2600" spans="1:4" x14ac:dyDescent="0.2">
      <c r="A2600" s="5">
        <v>2539</v>
      </c>
      <c r="B2600" s="1831">
        <f>'Acct Summary 7-8'!F17</f>
        <v>262004</v>
      </c>
      <c r="C2600" s="2" t="s">
        <v>568</v>
      </c>
      <c r="D2600" s="2" t="str">
        <f t="shared" si="39"/>
        <v>Error?</v>
      </c>
    </row>
    <row r="2601" spans="1:4" x14ac:dyDescent="0.2">
      <c r="A2601" s="5">
        <v>2540</v>
      </c>
      <c r="B2601" s="1831">
        <f>'Acct Summary 7-8'!F20</f>
        <v>-211478</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82007</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82007</v>
      </c>
      <c r="C2606" s="2" t="s">
        <v>568</v>
      </c>
      <c r="D2606" s="2" t="str">
        <f t="shared" si="39"/>
        <v>Error?</v>
      </c>
    </row>
    <row r="2607" spans="1:4" x14ac:dyDescent="0.2">
      <c r="A2607" s="5">
        <v>2546</v>
      </c>
      <c r="B2607" s="1831">
        <f>'Acct Summary 7-8'!G12</f>
        <v>41665</v>
      </c>
      <c r="C2607" s="2" t="s">
        <v>568</v>
      </c>
      <c r="D2607" s="2" t="str">
        <f t="shared" si="39"/>
        <v>Error?</v>
      </c>
    </row>
    <row r="2608" spans="1:4" x14ac:dyDescent="0.2">
      <c r="A2608" s="5">
        <v>2547</v>
      </c>
      <c r="B2608" s="1831">
        <f>'Acct Summary 7-8'!G13</f>
        <v>52422</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94087</v>
      </c>
      <c r="C2612" s="2" t="s">
        <v>568</v>
      </c>
      <c r="D2612" s="2" t="str">
        <f t="shared" si="39"/>
        <v>Error?</v>
      </c>
    </row>
    <row r="2613" spans="1:4" x14ac:dyDescent="0.2">
      <c r="A2613" s="5">
        <v>2552</v>
      </c>
      <c r="B2613" s="1831">
        <f>'Acct Summary 7-8'!G20</f>
        <v>-12080</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77196</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77196</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99319</v>
      </c>
      <c r="C2634" s="2" t="s">
        <v>568</v>
      </c>
      <c r="D2634" s="2" t="str">
        <f t="shared" si="40"/>
        <v>Error?</v>
      </c>
    </row>
    <row r="2635" spans="1:4" x14ac:dyDescent="0.2">
      <c r="A2635" s="5">
        <v>2574</v>
      </c>
      <c r="B2635" s="1831">
        <f>'Acct Summary 7-8'!E17</f>
        <v>99319</v>
      </c>
      <c r="C2635" s="2" t="s">
        <v>568</v>
      </c>
      <c r="D2635" s="2" t="str">
        <f t="shared" si="40"/>
        <v>Error?</v>
      </c>
    </row>
    <row r="2636" spans="1:4" x14ac:dyDescent="0.2">
      <c r="A2636" s="5">
        <v>2575</v>
      </c>
      <c r="B2636" s="1831">
        <f>'Acct Summary 7-8'!E20</f>
        <v>-22123</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0</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0</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3358</v>
      </c>
      <c r="D2718" s="2" t="str">
        <f t="shared" si="41"/>
        <v>Error?</v>
      </c>
    </row>
    <row r="2719" spans="1:4" x14ac:dyDescent="0.2">
      <c r="A2719" s="5">
        <v>2658</v>
      </c>
      <c r="B2719" s="1831">
        <f>'Expenditures 15-22'!D51</f>
        <v>699</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4057</v>
      </c>
      <c r="C2724" s="2" t="s">
        <v>568</v>
      </c>
      <c r="D2724" s="2" t="str">
        <f t="shared" si="41"/>
        <v>Error?</v>
      </c>
    </row>
    <row r="2725" spans="1:4" x14ac:dyDescent="0.2">
      <c r="A2725" s="5">
        <v>2664</v>
      </c>
      <c r="B2725" s="1831">
        <f>'Expenditures 15-22'!D247</f>
        <v>59</v>
      </c>
      <c r="D2725" s="2" t="str">
        <f t="shared" si="41"/>
        <v>Error?</v>
      </c>
    </row>
    <row r="2726" spans="1:4" x14ac:dyDescent="0.2">
      <c r="A2726" s="5">
        <v>2665</v>
      </c>
      <c r="B2726" s="1831">
        <f>'Expenditures 15-22'!K247</f>
        <v>59</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25121</v>
      </c>
      <c r="C2789" s="2" t="s">
        <v>568</v>
      </c>
      <c r="D2789" s="2" t="str">
        <f t="shared" si="42"/>
        <v>Error?</v>
      </c>
    </row>
    <row r="2790" spans="1:4" x14ac:dyDescent="0.2">
      <c r="A2790" s="5">
        <v>2729</v>
      </c>
      <c r="B2790" s="1831">
        <f>'Expenditures 15-22'!E102</f>
        <v>25121</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35713</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33960</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35713</v>
      </c>
      <c r="D2912" s="2" t="str">
        <f t="shared" si="44"/>
        <v>Error?</v>
      </c>
    </row>
    <row r="2913" spans="1:4" x14ac:dyDescent="0.2">
      <c r="A2913" s="5">
        <v>2852</v>
      </c>
      <c r="B2913" s="1831">
        <f>'Assets-Liab 5-6'!I41</f>
        <v>35713</v>
      </c>
      <c r="C2913" s="2" t="s">
        <v>568</v>
      </c>
      <c r="D2913" s="2" t="str">
        <f t="shared" si="44"/>
        <v>Error?</v>
      </c>
    </row>
    <row r="2914" spans="1:4" x14ac:dyDescent="0.2">
      <c r="A2914" s="5">
        <v>2853</v>
      </c>
      <c r="B2914" s="1831">
        <f>'Assets-Liab 5-6'!L33</f>
        <v>33960</v>
      </c>
      <c r="D2914" s="2" t="str">
        <f t="shared" si="44"/>
        <v>Error?</v>
      </c>
    </row>
    <row r="2915" spans="1:4" x14ac:dyDescent="0.2">
      <c r="A2915" s="10">
        <v>2854</v>
      </c>
      <c r="B2915" s="1831"/>
      <c r="D2915" s="2" t="str">
        <f t="shared" si="44"/>
        <v>OK</v>
      </c>
    </row>
    <row r="2916" spans="1:4" x14ac:dyDescent="0.2">
      <c r="A2916" s="5">
        <v>2855</v>
      </c>
      <c r="B2916" s="1831">
        <f>'Assets-Liab 5-6'!L34</f>
        <v>33960</v>
      </c>
      <c r="C2916" s="2" t="s">
        <v>568</v>
      </c>
      <c r="D2916" s="2" t="str">
        <f t="shared" si="44"/>
        <v>Error?</v>
      </c>
    </row>
    <row r="2917" spans="1:4" x14ac:dyDescent="0.2">
      <c r="A2917" s="5">
        <v>2856</v>
      </c>
      <c r="B2917" s="1831">
        <f>'Assets-Liab 5-6'!L41</f>
        <v>33960</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1725</v>
      </c>
      <c r="D2949" s="2" t="str">
        <f t="shared" si="45"/>
        <v>Error?</v>
      </c>
    </row>
    <row r="2950" spans="1:4" x14ac:dyDescent="0.2">
      <c r="A2950" s="5">
        <v>2889</v>
      </c>
      <c r="B2950" s="1831">
        <f>'Expenditures 15-22'!E79</f>
        <v>23396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1725</v>
      </c>
      <c r="C2973" s="2" t="s">
        <v>568</v>
      </c>
      <c r="D2973" s="2" t="str">
        <f t="shared" si="45"/>
        <v>Error?</v>
      </c>
    </row>
    <row r="2974" spans="1:4" x14ac:dyDescent="0.2">
      <c r="A2974" s="5">
        <v>2913</v>
      </c>
      <c r="B2974" s="1831">
        <f>'Expenditures 15-22'!K79</f>
        <v>23396</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15603</v>
      </c>
      <c r="D3055" s="2" t="str">
        <f t="shared" si="46"/>
        <v>Error?</v>
      </c>
    </row>
    <row r="3056" spans="1:4" x14ac:dyDescent="0.2">
      <c r="A3056" s="5">
        <v>2995</v>
      </c>
      <c r="B3056" s="1831">
        <f>'Expenditures 15-22'!D10</f>
        <v>5098</v>
      </c>
      <c r="D3056" s="2" t="str">
        <f t="shared" si="46"/>
        <v>Error?</v>
      </c>
    </row>
    <row r="3057" spans="1:4" x14ac:dyDescent="0.2">
      <c r="A3057" s="5">
        <v>2996</v>
      </c>
      <c r="B3057" s="1831">
        <f>'Expenditures 15-22'!E10</f>
        <v>13438</v>
      </c>
      <c r="D3057" s="2" t="str">
        <f t="shared" si="46"/>
        <v>Error?</v>
      </c>
    </row>
    <row r="3058" spans="1:4" x14ac:dyDescent="0.2">
      <c r="A3058" s="5">
        <v>2997</v>
      </c>
      <c r="B3058" s="1831">
        <f>'Expenditures 15-22'!F10</f>
        <v>31430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65569</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2154</v>
      </c>
      <c r="D3064" s="2" t="str">
        <f t="shared" si="46"/>
        <v>Error?</v>
      </c>
    </row>
    <row r="3065" spans="1:4" x14ac:dyDescent="0.2">
      <c r="A3065" s="5">
        <v>3004</v>
      </c>
      <c r="B3065" s="1831">
        <f>'Expenditures 15-22'!K219</f>
        <v>2154</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628</v>
      </c>
      <c r="C3225" s="2" t="s">
        <v>568</v>
      </c>
      <c r="D3225" s="2" t="str">
        <f t="shared" si="49"/>
        <v>Error?</v>
      </c>
    </row>
    <row r="3226" spans="1:4" x14ac:dyDescent="0.2">
      <c r="A3226" s="5">
        <v>3165</v>
      </c>
      <c r="B3226" s="1831">
        <f>'Acct Summary 7-8'!I8</f>
        <v>628</v>
      </c>
      <c r="C3226" s="2" t="s">
        <v>568</v>
      </c>
      <c r="D3226" s="2" t="str">
        <f t="shared" si="49"/>
        <v>Error?</v>
      </c>
    </row>
    <row r="3227" spans="1:4" x14ac:dyDescent="0.2">
      <c r="A3227" s="5">
        <v>3166</v>
      </c>
      <c r="B3227" s="1831">
        <f>'Acct Summary 7-8'!I20</f>
        <v>628</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25000</v>
      </c>
      <c r="C3231" s="2" t="s">
        <v>568</v>
      </c>
      <c r="D3231" s="2" t="str">
        <f t="shared" si="49"/>
        <v>Error?</v>
      </c>
    </row>
    <row r="3232" spans="1:4" x14ac:dyDescent="0.2">
      <c r="A3232" s="5">
        <v>3171</v>
      </c>
      <c r="B3232" s="1831">
        <f>'Acct Summary 7-8'!C77</f>
        <v>-25000</v>
      </c>
      <c r="C3232" s="2" t="s">
        <v>568</v>
      </c>
      <c r="D3232" s="2" t="str">
        <f t="shared" si="49"/>
        <v>Error?</v>
      </c>
    </row>
    <row r="3233" spans="1:4" x14ac:dyDescent="0.2">
      <c r="A3233" s="5">
        <v>3172</v>
      </c>
      <c r="B3233" s="1831">
        <f>'Acct Summary 7-8'!C78</f>
        <v>93163</v>
      </c>
      <c r="C3233" s="2" t="s">
        <v>568</v>
      </c>
      <c r="D3233" s="2" t="str">
        <f t="shared" si="49"/>
        <v>Error?</v>
      </c>
    </row>
    <row r="3234" spans="1:4" x14ac:dyDescent="0.2">
      <c r="A3234" s="5">
        <v>3173</v>
      </c>
      <c r="B3234" s="1831">
        <f>'Acct Summary 7-8'!D43</f>
        <v>67818</v>
      </c>
      <c r="D3234" s="2" t="str">
        <f t="shared" si="49"/>
        <v>Error?</v>
      </c>
    </row>
    <row r="3235" spans="1:4" x14ac:dyDescent="0.2">
      <c r="A3235" s="5">
        <v>3174</v>
      </c>
      <c r="B3235" s="1831">
        <f>'Acct Summary 7-8'!D44</f>
        <v>117818</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22493</v>
      </c>
      <c r="C3237" s="2" t="s">
        <v>568</v>
      </c>
      <c r="D3237" s="2" t="str">
        <f t="shared" si="49"/>
        <v>Error?</v>
      </c>
    </row>
    <row r="3238" spans="1:4" x14ac:dyDescent="0.2">
      <c r="A3238" s="5">
        <v>3177</v>
      </c>
      <c r="B3238" s="1831">
        <f>'Acct Summary 7-8'!D77</f>
        <v>95325</v>
      </c>
      <c r="C3238" s="2" t="s">
        <v>568</v>
      </c>
      <c r="D3238" s="2" t="str">
        <f t="shared" si="49"/>
        <v>Error?</v>
      </c>
    </row>
    <row r="3239" spans="1:4" x14ac:dyDescent="0.2">
      <c r="A3239" s="5">
        <v>3178</v>
      </c>
      <c r="B3239" s="1831">
        <f>'Acct Summary 7-8'!D78</f>
        <v>-62505</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176832</v>
      </c>
      <c r="D3251" s="2" t="str">
        <f t="shared" si="49"/>
        <v>Error?</v>
      </c>
    </row>
    <row r="3252" spans="1:4" x14ac:dyDescent="0.2">
      <c r="A3252" s="5">
        <v>3191</v>
      </c>
      <c r="B3252" s="1831">
        <f>'Acct Summary 7-8'!F44</f>
        <v>201832</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201832</v>
      </c>
      <c r="C3255" s="2" t="s">
        <v>568</v>
      </c>
      <c r="D3255" s="2" t="str">
        <f t="shared" si="49"/>
        <v>Error?</v>
      </c>
    </row>
    <row r="3256" spans="1:4" x14ac:dyDescent="0.2">
      <c r="A3256" s="5">
        <v>3195</v>
      </c>
      <c r="B3256" s="1831">
        <f>'Acct Summary 7-8'!F78</f>
        <v>-9646</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-12080</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22493</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22493</v>
      </c>
      <c r="C3277" s="2" t="s">
        <v>568</v>
      </c>
      <c r="D3277" s="2" t="str">
        <f t="shared" si="50"/>
        <v>Error?</v>
      </c>
    </row>
    <row r="3278" spans="1:4" x14ac:dyDescent="0.2">
      <c r="A3278" s="5">
        <v>3217</v>
      </c>
      <c r="B3278" s="1831">
        <f>'Acct Summary 7-8'!E78</f>
        <v>370</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0</v>
      </c>
      <c r="C3299" s="2" t="s">
        <v>568</v>
      </c>
      <c r="D3299" s="2" t="str">
        <f t="shared" si="50"/>
        <v>Error?</v>
      </c>
    </row>
    <row r="3300" spans="1:4" x14ac:dyDescent="0.2">
      <c r="A3300" s="5">
        <v>3239</v>
      </c>
      <c r="B3300" s="1831">
        <f>'Acct Summary 7-8'!H78</f>
        <v>0</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50000</v>
      </c>
      <c r="C3318" s="2" t="s">
        <v>568</v>
      </c>
      <c r="D3318" s="2" t="str">
        <f t="shared" si="50"/>
        <v>Error?</v>
      </c>
    </row>
    <row r="3319" spans="1:4" x14ac:dyDescent="0.2">
      <c r="A3319" s="5">
        <v>3258</v>
      </c>
      <c r="B3319" s="1831">
        <f>'Acct Summary 7-8'!I77</f>
        <v>-50000</v>
      </c>
      <c r="C3319" s="2" t="s">
        <v>568</v>
      </c>
      <c r="D3319" s="2" t="str">
        <f t="shared" si="50"/>
        <v>Error?</v>
      </c>
    </row>
    <row r="3320" spans="1:4" x14ac:dyDescent="0.2">
      <c r="A3320" s="5">
        <v>3259</v>
      </c>
      <c r="B3320" s="1831">
        <f>'Acct Summary 7-8'!I78</f>
        <v>-49372</v>
      </c>
      <c r="C3320" s="2" t="s">
        <v>568</v>
      </c>
      <c r="D3320" s="2" t="str">
        <f t="shared" si="50"/>
        <v>Error?</v>
      </c>
    </row>
    <row r="3321" spans="1:4" x14ac:dyDescent="0.2">
      <c r="A3321" s="5">
        <v>3260</v>
      </c>
      <c r="B3321" s="1831">
        <f>'Acct Summary 7-8'!I79</f>
        <v>85085</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35713</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207975</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83189</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291169</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19092</v>
      </c>
      <c r="D3387" s="2" t="str">
        <f t="shared" si="51"/>
        <v>Error?</v>
      </c>
    </row>
    <row r="3388" spans="1:4" x14ac:dyDescent="0.2">
      <c r="A3388" s="5">
        <v>3327</v>
      </c>
      <c r="B3388" s="1831">
        <f>'Expenditures 15-22'!D217</f>
        <v>19826</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19092</v>
      </c>
      <c r="C3390" s="2" t="s">
        <v>568</v>
      </c>
      <c r="D3390" s="2" t="str">
        <f t="shared" si="51"/>
        <v>Error?</v>
      </c>
    </row>
    <row r="3391" spans="1:4" x14ac:dyDescent="0.2">
      <c r="A3391" s="5">
        <v>3330</v>
      </c>
      <c r="B3391" s="1831">
        <f>'Expenditures 15-22'!K217</f>
        <v>19826</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746818</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51971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82978</v>
      </c>
      <c r="D3417" s="2" t="str">
        <f t="shared" si="52"/>
        <v>Error?</v>
      </c>
    </row>
    <row r="3418" spans="1:4" x14ac:dyDescent="0.2">
      <c r="A3418" s="10">
        <v>3357</v>
      </c>
      <c r="B3418" s="1831"/>
      <c r="D3418" s="2" t="str">
        <f t="shared" si="52"/>
        <v>OK</v>
      </c>
    </row>
    <row r="3419" spans="1:4" x14ac:dyDescent="0.2">
      <c r="A3419" s="5">
        <v>3358</v>
      </c>
      <c r="B3419" s="1831">
        <f>'Assets-Liab 5-6'!F4</f>
        <v>27661</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12076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35713</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33960</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24566</v>
      </c>
      <c r="C3446" s="2" t="s">
        <v>568</v>
      </c>
      <c r="D3446" s="2" t="str">
        <f t="shared" si="52"/>
        <v>Error?</v>
      </c>
    </row>
    <row r="3447" spans="1:4" x14ac:dyDescent="0.2">
      <c r="A3447" s="5">
        <v>3386</v>
      </c>
      <c r="B3447" s="1831">
        <f>'Tax Sched 23'!D16</f>
        <v>24566</v>
      </c>
      <c r="C3447" s="2" t="s">
        <v>568</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25449</v>
      </c>
      <c r="C3449" s="2" t="s">
        <v>568</v>
      </c>
      <c r="D3449" s="2" t="str">
        <f t="shared" si="52"/>
        <v>Error?</v>
      </c>
    </row>
    <row r="3450" spans="1:4" x14ac:dyDescent="0.2">
      <c r="A3450" s="5">
        <v>3389</v>
      </c>
      <c r="B3450" s="1831">
        <f>'Tax Sched 23'!E16</f>
        <v>25449</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568</v>
      </c>
      <c r="D3568" s="2" t="str">
        <f t="shared" si="54"/>
        <v>Error?</v>
      </c>
    </row>
    <row r="3569" spans="1:4" x14ac:dyDescent="0.2">
      <c r="A3569" s="5">
        <v>3508</v>
      </c>
      <c r="B3569" s="1831">
        <f>'Acct Summary 7-8'!K4</f>
        <v>0</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0</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0</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0</v>
      </c>
      <c r="C3588" s="2" t="s">
        <v>568</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142386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870956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3537312</v>
      </c>
      <c r="C4122" s="2" t="s">
        <v>568</v>
      </c>
      <c r="D4122" s="2" t="str">
        <f t="shared" si="63"/>
        <v>Error?</v>
      </c>
    </row>
    <row r="4123" spans="1:4" x14ac:dyDescent="0.2">
      <c r="A4123" s="5">
        <v>4062</v>
      </c>
      <c r="B4123" s="1831">
        <f>'Acct Summary 7-8'!D10</f>
        <v>258584</v>
      </c>
      <c r="C4123" s="2" t="s">
        <v>568</v>
      </c>
      <c r="D4123" s="2" t="str">
        <f t="shared" si="63"/>
        <v>Error?</v>
      </c>
    </row>
    <row r="4124" spans="1:4" x14ac:dyDescent="0.2">
      <c r="A4124" s="5">
        <v>4063</v>
      </c>
      <c r="B4124" s="1831">
        <f>'Acct Summary 7-8'!E10</f>
        <v>77196</v>
      </c>
      <c r="C4124" s="2" t="s">
        <v>568</v>
      </c>
      <c r="D4124" s="2" t="str">
        <f t="shared" si="63"/>
        <v>Error?</v>
      </c>
    </row>
    <row r="4125" spans="1:4" x14ac:dyDescent="0.2">
      <c r="A4125" s="5">
        <v>4064</v>
      </c>
      <c r="B4125" s="1831">
        <f>'Acct Summary 7-8'!F10</f>
        <v>50526</v>
      </c>
      <c r="C4125" s="2" t="s">
        <v>568</v>
      </c>
      <c r="D4125" s="2" t="str">
        <f t="shared" si="63"/>
        <v>Error?</v>
      </c>
    </row>
    <row r="4126" spans="1:4" x14ac:dyDescent="0.2">
      <c r="A4126" s="5">
        <v>4065</v>
      </c>
      <c r="B4126" s="1831">
        <f>'Acct Summary 7-8'!G10</f>
        <v>82007</v>
      </c>
      <c r="C4126" s="2" t="s">
        <v>568</v>
      </c>
      <c r="D4126" s="2" t="str">
        <f t="shared" si="63"/>
        <v>Error?</v>
      </c>
    </row>
    <row r="4127" spans="1:4" x14ac:dyDescent="0.2">
      <c r="A4127" s="5">
        <v>4066</v>
      </c>
      <c r="B4127" s="1831">
        <f>'Acct Summary 7-8'!H10</f>
        <v>0</v>
      </c>
      <c r="C4127" s="2" t="s">
        <v>568</v>
      </c>
      <c r="D4127" s="2" t="str">
        <f t="shared" si="63"/>
        <v>Error?</v>
      </c>
    </row>
    <row r="4128" spans="1:4" x14ac:dyDescent="0.2">
      <c r="A4128" s="5">
        <v>4067</v>
      </c>
      <c r="B4128" s="1831">
        <f>'Acct Summary 7-8'!I10</f>
        <v>628</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0</v>
      </c>
      <c r="C4130" s="2" t="s">
        <v>568</v>
      </c>
      <c r="D4130" s="2" t="str">
        <f t="shared" si="63"/>
        <v>Error?</v>
      </c>
    </row>
    <row r="4131" spans="1:4" x14ac:dyDescent="0.2">
      <c r="A4131" s="5">
        <v>4070</v>
      </c>
      <c r="B4131" s="1831">
        <f>'Acct Summary 7-8'!C18</f>
        <v>870956</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3419149</v>
      </c>
      <c r="C4136" s="2" t="s">
        <v>568</v>
      </c>
      <c r="D4136" s="2" t="str">
        <f t="shared" si="63"/>
        <v>Error?</v>
      </c>
    </row>
    <row r="4137" spans="1:4" x14ac:dyDescent="0.2">
      <c r="A4137" s="5">
        <v>4076</v>
      </c>
      <c r="B4137" s="1831">
        <f>'Acct Summary 7-8'!D19</f>
        <v>416414</v>
      </c>
      <c r="C4137" s="2" t="s">
        <v>568</v>
      </c>
      <c r="D4137" s="2" t="str">
        <f t="shared" si="63"/>
        <v>Error?</v>
      </c>
    </row>
    <row r="4138" spans="1:4" x14ac:dyDescent="0.2">
      <c r="A4138" s="5">
        <v>4077</v>
      </c>
      <c r="B4138" s="1831">
        <f>'Acct Summary 7-8'!E19</f>
        <v>99319</v>
      </c>
      <c r="C4138" s="2" t="s">
        <v>568</v>
      </c>
      <c r="D4138" s="2" t="str">
        <f t="shared" si="63"/>
        <v>Error?</v>
      </c>
    </row>
    <row r="4139" spans="1:4" x14ac:dyDescent="0.2">
      <c r="A4139" s="5">
        <v>4078</v>
      </c>
      <c r="B4139" s="1831">
        <f>'Acct Summary 7-8'!F19</f>
        <v>262004</v>
      </c>
      <c r="C4139" s="2" t="s">
        <v>568</v>
      </c>
      <c r="D4139" s="2" t="str">
        <f t="shared" si="63"/>
        <v>Error?</v>
      </c>
    </row>
    <row r="4140" spans="1:4" x14ac:dyDescent="0.2">
      <c r="A4140" s="5">
        <v>4079</v>
      </c>
      <c r="B4140" s="1831">
        <f>'Acct Summary 7-8'!G19</f>
        <v>94087</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447796</v>
      </c>
      <c r="C4171" s="2" t="s">
        <v>568</v>
      </c>
      <c r="D4171" s="2" t="str">
        <f t="shared" si="64"/>
        <v>Error?</v>
      </c>
    </row>
    <row r="4172" spans="1:4" x14ac:dyDescent="0.2">
      <c r="A4172" s="5">
        <v>4111</v>
      </c>
      <c r="B4172" s="1831">
        <f>'Short-Term Long-Term Debt 24'!J49</f>
        <v>364818</v>
      </c>
      <c r="C4172" s="2" t="s">
        <v>568</v>
      </c>
      <c r="D4172" s="2" t="str">
        <f t="shared" si="64"/>
        <v>Error?</v>
      </c>
    </row>
    <row r="4173" spans="1:4" x14ac:dyDescent="0.2">
      <c r="A4173" s="5">
        <v>4112</v>
      </c>
      <c r="B4173" s="1831">
        <f>'Short-Term Long-Term Debt 24'!H49</f>
        <v>113854</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36385</v>
      </c>
      <c r="D4210" s="2" t="str">
        <f t="shared" si="64"/>
        <v>Error?</v>
      </c>
    </row>
    <row r="4211" spans="1:4" x14ac:dyDescent="0.2">
      <c r="A4211" s="5">
        <v>4150</v>
      </c>
      <c r="B4211" s="1831">
        <f>'Expenditures 15-22'!K206</f>
        <v>36385</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1091.24</v>
      </c>
      <c r="C4265" s="2" t="s">
        <v>568</v>
      </c>
      <c r="D4265" s="2" t="str">
        <f t="shared" si="65"/>
        <v>Error?</v>
      </c>
      <c r="E4265" s="125"/>
    </row>
    <row r="4266" spans="1:5" x14ac:dyDescent="0.2">
      <c r="A4266" s="12">
        <v>4205</v>
      </c>
      <c r="B4266" s="1831">
        <f>('FP Info 3'!F10)*100000</f>
        <v>159.38</v>
      </c>
      <c r="C4266" s="2" t="s">
        <v>568</v>
      </c>
      <c r="D4266" s="2" t="str">
        <f t="shared" si="65"/>
        <v>Error?</v>
      </c>
      <c r="E4266" s="125"/>
    </row>
    <row r="4267" spans="1:5" x14ac:dyDescent="0.2">
      <c r="A4267" s="12">
        <v>4206</v>
      </c>
      <c r="B4267" s="1831">
        <f>('FP Info 3'!H10)*100000</f>
        <v>104.86</v>
      </c>
      <c r="C4267" s="2" t="s">
        <v>568</v>
      </c>
      <c r="D4267" s="2" t="str">
        <f t="shared" si="65"/>
        <v>Error?</v>
      </c>
      <c r="E4267" s="125"/>
    </row>
    <row r="4268" spans="1:5" x14ac:dyDescent="0.2">
      <c r="A4268" s="12">
        <v>4207</v>
      </c>
      <c r="B4268" s="1831">
        <f>('FP Info 3'!J10)*100000</f>
        <v>1355</v>
      </c>
      <c r="C4268" s="2" t="s">
        <v>568</v>
      </c>
      <c r="D4268" s="2" t="str">
        <f t="shared" si="65"/>
        <v>Error?</v>
      </c>
    </row>
    <row r="4269" spans="1:5" x14ac:dyDescent="0.2">
      <c r="A4269" s="12">
        <v>4208</v>
      </c>
      <c r="B4269" s="1831">
        <f>'FP Info 3'!J16</f>
        <v>858148</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48688</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5588</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17672</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10016</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10016</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17364</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23307</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19643000</v>
      </c>
      <c r="D4995" s="2" t="str">
        <f t="shared" si="77"/>
        <v>Error?</v>
      </c>
    </row>
    <row r="4996" spans="1:4" x14ac:dyDescent="0.2">
      <c r="A4996" s="12">
        <v>4935</v>
      </c>
      <c r="B4996" s="1831">
        <f>'FP Info 3'!H31</f>
        <v>1355367</v>
      </c>
      <c r="D4996" s="2" t="str">
        <f t="shared" si="77"/>
        <v>Error?</v>
      </c>
    </row>
    <row r="4997" spans="1:4" x14ac:dyDescent="0.2">
      <c r="A4997" s="12">
        <v>4936</v>
      </c>
      <c r="B4997" s="1831">
        <f>'FP Info 3'!H37</f>
        <v>447796</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25000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25000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206928</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206928</v>
      </c>
      <c r="C5066" s="2" t="s">
        <v>568</v>
      </c>
      <c r="D5066" s="2" t="str">
        <f t="shared" si="78"/>
        <v>Error?</v>
      </c>
    </row>
    <row r="5067" spans="1:4" x14ac:dyDescent="0.2">
      <c r="A5067" s="5">
        <v>5006</v>
      </c>
      <c r="B5067" s="1831">
        <f>'Revenues 9-14'!C14</f>
        <v>2339</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32927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35266</v>
      </c>
      <c r="C5071" s="2" t="s">
        <v>568</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1924</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1924</v>
      </c>
      <c r="C5087" s="2" t="s">
        <v>568</v>
      </c>
      <c r="D5087" s="2" t="str">
        <f t="shared" si="78"/>
        <v>Error?</v>
      </c>
    </row>
    <row r="5088" spans="1:4" x14ac:dyDescent="0.2">
      <c r="A5088" s="5">
        <v>5027</v>
      </c>
      <c r="B5088" s="1831">
        <f>'Revenues 9-14'!C65</f>
        <v>10324</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10324</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953</v>
      </c>
      <c r="D5094" s="2" t="str">
        <f t="shared" si="78"/>
        <v>Error?</v>
      </c>
    </row>
    <row r="5095" spans="1:4" x14ac:dyDescent="0.2">
      <c r="A5095" s="5">
        <v>5034</v>
      </c>
      <c r="B5095" s="1831">
        <f>'Revenues 9-14'!C74</f>
        <v>19209</v>
      </c>
      <c r="D5095" s="2" t="str">
        <f t="shared" si="78"/>
        <v>Error?</v>
      </c>
    </row>
    <row r="5096" spans="1:4" x14ac:dyDescent="0.2">
      <c r="A5096" s="5">
        <v>5035</v>
      </c>
      <c r="B5096" s="1831">
        <f>'Revenues 9-14'!C75</f>
        <v>20884</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0</v>
      </c>
      <c r="C5102" s="2" t="s">
        <v>568</v>
      </c>
      <c r="D5102" s="2" t="str">
        <f t="shared" si="78"/>
        <v>Error?</v>
      </c>
    </row>
    <row r="5103" spans="1:4" x14ac:dyDescent="0.2">
      <c r="A5103" s="5">
        <v>5042</v>
      </c>
      <c r="B5103" s="1831">
        <f>'Revenues 9-14'!C84</f>
        <v>3001</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3001</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600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14278</v>
      </c>
      <c r="D5119" s="2" t="str">
        <f t="shared" ref="D5119:D5182" si="79">IF(ISBLANK(B5119),"OK",IF(A5119-B5119=0,"OK","Error?"))</f>
        <v>Error?</v>
      </c>
    </row>
    <row r="5120" spans="1:4" x14ac:dyDescent="0.2">
      <c r="A5120" s="5">
        <v>5059</v>
      </c>
      <c r="B5120" s="1831">
        <f>'Revenues 9-14'!C108</f>
        <v>14878</v>
      </c>
      <c r="C5120" s="2" t="s">
        <v>568</v>
      </c>
      <c r="D5120" s="2" t="str">
        <f t="shared" si="79"/>
        <v>Error?</v>
      </c>
    </row>
    <row r="5121" spans="1:4" x14ac:dyDescent="0.2">
      <c r="A5121" s="5">
        <v>5060</v>
      </c>
      <c r="B5121" s="1831">
        <f>'Revenues 9-14'!C109</f>
        <v>293205</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1877152</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1877152</v>
      </c>
      <c r="C5132" s="2" t="s">
        <v>568</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15336</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15336</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2870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41513</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1918665</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125307</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54010</v>
      </c>
      <c r="D5241" s="2" t="str">
        <f t="shared" si="80"/>
        <v>Error?</v>
      </c>
    </row>
    <row r="5242" spans="1:4" x14ac:dyDescent="0.2">
      <c r="A5242" s="5">
        <v>5181</v>
      </c>
      <c r="B5242" s="1831">
        <f>'Revenues 9-14'!C194</f>
        <v>88337</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273556</v>
      </c>
      <c r="C5246" s="2" t="s">
        <v>568</v>
      </c>
      <c r="D5246" s="2" t="str">
        <f t="shared" si="80"/>
        <v>Error?</v>
      </c>
    </row>
    <row r="5247" spans="1:4" x14ac:dyDescent="0.2">
      <c r="A5247" s="5">
        <v>5186</v>
      </c>
      <c r="B5247" s="1831">
        <f>'Revenues 9-14'!C200</f>
        <v>104375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104375</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3874</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10205</v>
      </c>
      <c r="D5278" s="2" t="str">
        <f t="shared" si="81"/>
        <v>Error?</v>
      </c>
    </row>
    <row r="5279" spans="1:4" x14ac:dyDescent="0.2">
      <c r="A5279" s="5">
        <v>5218</v>
      </c>
      <c r="B5279" s="1831">
        <f>'Revenues 9-14'!C214</f>
        <v>11836</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25915</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454486</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454486</v>
      </c>
      <c r="C5326" s="2" t="s">
        <v>568</v>
      </c>
      <c r="D5326" s="2" t="str">
        <f t="shared" si="82"/>
        <v>Error?</v>
      </c>
    </row>
    <row r="5327" spans="1:5" x14ac:dyDescent="0.2">
      <c r="A5327" s="5">
        <v>5266</v>
      </c>
      <c r="B5327" s="1831">
        <f>'Revenues 9-14'!C268</f>
        <v>2666356</v>
      </c>
      <c r="C5327" s="2" t="s">
        <v>568</v>
      </c>
      <c r="D5327" s="2" t="str">
        <f t="shared" si="82"/>
        <v>Error?</v>
      </c>
    </row>
    <row r="5328" spans="1:5" x14ac:dyDescent="0.2">
      <c r="A5328" s="5">
        <v>5267</v>
      </c>
      <c r="B5328" s="1831">
        <f>'Revenues 9-14'!D5</f>
        <v>30221</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30221</v>
      </c>
      <c r="C5334" s="2" t="s">
        <v>568</v>
      </c>
      <c r="D5334" s="2" t="str">
        <f t="shared" si="82"/>
        <v>Error?</v>
      </c>
    </row>
    <row r="5335" spans="1:4" x14ac:dyDescent="0.2">
      <c r="A5335" s="5">
        <v>5274</v>
      </c>
      <c r="B5335" s="1831">
        <f>'Revenues 9-14'!D14</f>
        <v>342</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342</v>
      </c>
      <c r="C5339" s="2" t="s">
        <v>568</v>
      </c>
      <c r="D5339" s="2" t="str">
        <f t="shared" si="82"/>
        <v>Error?</v>
      </c>
    </row>
    <row r="5340" spans="1:4" x14ac:dyDescent="0.2">
      <c r="A5340" s="5">
        <v>5279</v>
      </c>
      <c r="B5340" s="1831">
        <f>'Revenues 9-14'!D65</f>
        <v>2151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2151</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13650</v>
      </c>
      <c r="D5353" s="2" t="str">
        <f t="shared" si="82"/>
        <v>Error?</v>
      </c>
    </row>
    <row r="5354" spans="1:4" x14ac:dyDescent="0.2">
      <c r="A5354" s="5">
        <v>5293</v>
      </c>
      <c r="B5354" s="1831">
        <f>'Revenues 9-14'!D107</f>
        <v>13532</v>
      </c>
      <c r="D5354" s="2" t="str">
        <f t="shared" si="82"/>
        <v>Error?</v>
      </c>
    </row>
    <row r="5355" spans="1:4" x14ac:dyDescent="0.2">
      <c r="A5355" s="5">
        <v>5294</v>
      </c>
      <c r="B5355" s="1831">
        <f>'Revenues 9-14'!D108</f>
        <v>27182</v>
      </c>
      <c r="C5355" s="2" t="s">
        <v>568</v>
      </c>
      <c r="D5355" s="2" t="str">
        <f t="shared" si="82"/>
        <v>Error?</v>
      </c>
    </row>
    <row r="5356" spans="1:4" x14ac:dyDescent="0.2">
      <c r="A5356" s="5">
        <v>5295</v>
      </c>
      <c r="B5356" s="1831">
        <f>'Revenues 9-14'!D109</f>
        <v>59896</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150000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150000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48688</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198688</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258584</v>
      </c>
      <c r="C5508" s="2" t="s">
        <v>568</v>
      </c>
      <c r="D5508" s="2" t="str">
        <f t="shared" si="85"/>
        <v>Error?</v>
      </c>
    </row>
    <row r="5509" spans="1:4" x14ac:dyDescent="0.2">
      <c r="A5509" s="5">
        <v>5448</v>
      </c>
      <c r="B5509" s="1831">
        <f>'Revenues 9-14'!E5</f>
        <v>74753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74753</v>
      </c>
      <c r="C5513" s="2" t="s">
        <v>568</v>
      </c>
      <c r="D5513" s="2" t="str">
        <f t="shared" si="85"/>
        <v>Error?</v>
      </c>
    </row>
    <row r="5514" spans="1:4" x14ac:dyDescent="0.2">
      <c r="A5514" s="5">
        <v>5453</v>
      </c>
      <c r="B5514" s="1831">
        <f>'Revenues 9-14'!E14</f>
        <v>845</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845</v>
      </c>
      <c r="C5518" s="2" t="s">
        <v>568</v>
      </c>
      <c r="D5518" s="2" t="str">
        <f t="shared" si="85"/>
        <v>Error?</v>
      </c>
    </row>
    <row r="5519" spans="1:4" x14ac:dyDescent="0.2">
      <c r="A5519" s="5">
        <v>5458</v>
      </c>
      <c r="B5519" s="1831">
        <f>'Revenues 9-14'!E65</f>
        <v>1598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1598</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77196</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77196</v>
      </c>
      <c r="C5552" s="2" t="s">
        <v>568</v>
      </c>
      <c r="D5552" s="2" t="str">
        <f t="shared" si="85"/>
        <v>Error?</v>
      </c>
    </row>
    <row r="5553" spans="1:4" x14ac:dyDescent="0.2">
      <c r="A5553" s="5">
        <v>5492</v>
      </c>
      <c r="B5553" s="1831">
        <f>'Revenues 9-14'!F5</f>
        <v>19882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19882</v>
      </c>
      <c r="C5557" s="2" t="s">
        <v>568</v>
      </c>
      <c r="D5557" s="2" t="str">
        <f t="shared" si="85"/>
        <v>Error?</v>
      </c>
    </row>
    <row r="5558" spans="1:4" x14ac:dyDescent="0.2">
      <c r="A5558" s="5">
        <v>5497</v>
      </c>
      <c r="B5558" s="1831">
        <f>'Revenues 9-14'!F14</f>
        <v>225</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225</v>
      </c>
      <c r="C5562" s="2" t="s">
        <v>568</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568</v>
      </c>
      <c r="D5579" s="2" t="str">
        <f t="shared" si="86"/>
        <v>Error?</v>
      </c>
    </row>
    <row r="5580" spans="1:4" x14ac:dyDescent="0.2">
      <c r="A5580" s="5">
        <v>5519</v>
      </c>
      <c r="B5580" s="1831">
        <f>'Revenues 9-14'!F65</f>
        <v>393</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393</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20500</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21274</v>
      </c>
      <c r="D5615" s="2" t="str">
        <f t="shared" si="86"/>
        <v>Error?</v>
      </c>
    </row>
    <row r="5616" spans="1:4" x14ac:dyDescent="0.2">
      <c r="A5616" s="10">
        <v>5555</v>
      </c>
      <c r="B5616" s="1831"/>
      <c r="D5616" s="2" t="str">
        <f t="shared" si="86"/>
        <v>OK</v>
      </c>
    </row>
    <row r="5617" spans="1:5" x14ac:dyDescent="0.2">
      <c r="A5617" s="5">
        <v>5556</v>
      </c>
      <c r="B5617" s="1831">
        <f>'Revenues 9-14'!F153</f>
        <v>8752</v>
      </c>
      <c r="D5617" s="2" t="str">
        <f t="shared" si="86"/>
        <v>Error?</v>
      </c>
    </row>
    <row r="5618" spans="1:5" x14ac:dyDescent="0.2">
      <c r="A5618" s="5">
        <v>5557</v>
      </c>
      <c r="B5618" s="1831">
        <f>'Revenues 9-14'!F155</f>
        <v>30026</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30026</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30026</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50526</v>
      </c>
      <c r="C5720" s="2" t="s">
        <v>568</v>
      </c>
      <c r="D5720" s="2" t="str">
        <f t="shared" si="88"/>
        <v>Error?</v>
      </c>
    </row>
    <row r="5721" spans="1:4" x14ac:dyDescent="0.2">
      <c r="A5721" s="5">
        <v>5660</v>
      </c>
      <c r="B5721" s="1831">
        <f>'Revenues 9-14'!G5</f>
        <v>40994</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24566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65560</v>
      </c>
      <c r="C5725" s="2" t="s">
        <v>568</v>
      </c>
      <c r="D5725" s="2" t="str">
        <f t="shared" si="88"/>
        <v>Error?</v>
      </c>
    </row>
    <row r="5726" spans="1:4" x14ac:dyDescent="0.2">
      <c r="A5726" s="5">
        <v>5665</v>
      </c>
      <c r="B5726" s="1831">
        <f>'Revenues 9-14'!G14</f>
        <v>741</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15000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15741</v>
      </c>
      <c r="C5730" s="2" t="s">
        <v>568</v>
      </c>
      <c r="D5730" s="2" t="str">
        <f t="shared" si="88"/>
        <v>Error?</v>
      </c>
    </row>
    <row r="5731" spans="1:4" x14ac:dyDescent="0.2">
      <c r="A5731" s="5">
        <v>5670</v>
      </c>
      <c r="B5731" s="1831">
        <f>'Revenues 9-14'!G65</f>
        <v>706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706</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82007</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0</v>
      </c>
      <c r="C5915" s="2" t="s">
        <v>568</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628</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628</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628</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0</v>
      </c>
      <c r="C6023" s="2" t="s">
        <v>568</v>
      </c>
      <c r="D6023" s="2" t="str">
        <f t="shared" si="93"/>
        <v>Error?</v>
      </c>
    </row>
    <row r="6024" spans="1:5" x14ac:dyDescent="0.2">
      <c r="A6024" s="5">
        <v>5963</v>
      </c>
      <c r="B6024" s="1831">
        <f>'Revenues 9-14'!G109</f>
        <v>82007</v>
      </c>
      <c r="C6024" s="2" t="s">
        <v>568</v>
      </c>
      <c r="D6024" s="2" t="str">
        <f t="shared" si="93"/>
        <v>Error?</v>
      </c>
    </row>
    <row r="6025" spans="1:5" x14ac:dyDescent="0.2">
      <c r="A6025" s="5">
        <v>5964</v>
      </c>
      <c r="B6025" s="1831">
        <f>'Revenues 9-14'!H109</f>
        <v>0</v>
      </c>
      <c r="C6025" s="2" t="s">
        <v>568</v>
      </c>
      <c r="D6025" s="2" t="str">
        <f t="shared" si="93"/>
        <v>Error?</v>
      </c>
    </row>
    <row r="6026" spans="1:5" x14ac:dyDescent="0.2">
      <c r="A6026" s="5">
        <v>5965</v>
      </c>
      <c r="B6026" s="1831">
        <f>'Revenues 9-14'!I109</f>
        <v>628</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0</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722</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15315</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369.5</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8392</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8392</v>
      </c>
      <c r="D6215" s="2" t="str">
        <f t="shared" si="96"/>
        <v>Error?</v>
      </c>
      <c r="E6215" s="2" t="s">
        <v>189</v>
      </c>
    </row>
    <row r="6216" spans="1:5" x14ac:dyDescent="0.2">
      <c r="A6216">
        <v>6155</v>
      </c>
      <c r="B6216" s="1831">
        <f>'Assets-Liab 5-6'!J41</f>
        <v>8392</v>
      </c>
      <c r="D6216" s="2" t="str">
        <f t="shared" si="96"/>
        <v>Error?</v>
      </c>
      <c r="E6216" s="2" t="s">
        <v>189</v>
      </c>
    </row>
    <row r="6217" spans="1:5" x14ac:dyDescent="0.2">
      <c r="A6217">
        <v>6156</v>
      </c>
      <c r="B6217" s="1831">
        <f>'Assets-Liab 5-6'!J4</f>
        <v>8392</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12809</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12809</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12809</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4418</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4418</v>
      </c>
      <c r="D6229" s="2" t="str">
        <f t="shared" si="96"/>
        <v>Error?</v>
      </c>
      <c r="E6229" s="2" t="s">
        <v>189</v>
      </c>
    </row>
    <row r="6230" spans="1:5" x14ac:dyDescent="0.2">
      <c r="A6230">
        <v>6169</v>
      </c>
      <c r="B6230" s="1831">
        <f>'Acct Summary 7-8'!J20</f>
        <v>8391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8391</v>
      </c>
      <c r="D6263" s="2" t="str">
        <f t="shared" si="96"/>
        <v>Error?</v>
      </c>
      <c r="E6263" s="2" t="s">
        <v>189</v>
      </c>
    </row>
    <row r="6264" spans="1:5" x14ac:dyDescent="0.2">
      <c r="A6264">
        <v>6203</v>
      </c>
      <c r="B6264" s="1831">
        <f>'Acct Summary 7-8'!J79</f>
        <v>1</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8392</v>
      </c>
      <c r="D6266" s="2" t="str">
        <f t="shared" si="96"/>
        <v>Error?</v>
      </c>
      <c r="E6266" s="2" t="s">
        <v>189</v>
      </c>
    </row>
    <row r="6267" spans="1:5" x14ac:dyDescent="0.2">
      <c r="A6267">
        <v>6206</v>
      </c>
      <c r="B6267" s="1831">
        <f>'Acct Summary 7-8'!C82</f>
        <v>93163</v>
      </c>
      <c r="D6267" s="2" t="str">
        <f t="shared" si="96"/>
        <v>Error?</v>
      </c>
      <c r="E6267" s="2" t="s">
        <v>189</v>
      </c>
    </row>
    <row r="6268" spans="1:5" x14ac:dyDescent="0.2">
      <c r="A6268">
        <v>6207</v>
      </c>
      <c r="B6268" s="1831">
        <f>'Acct Summary 7-8'!D82</f>
        <v>-62505</v>
      </c>
      <c r="D6268" s="2" t="str">
        <f t="shared" si="96"/>
        <v>Error?</v>
      </c>
      <c r="E6268" s="2" t="s">
        <v>189</v>
      </c>
    </row>
    <row r="6269" spans="1:5" x14ac:dyDescent="0.2">
      <c r="A6269">
        <v>6208</v>
      </c>
      <c r="B6269" s="1831">
        <f>'Acct Summary 7-8'!E82</f>
        <v>370</v>
      </c>
      <c r="D6269" s="2" t="str">
        <f t="shared" si="96"/>
        <v>Error?</v>
      </c>
      <c r="E6269" s="2" t="s">
        <v>189</v>
      </c>
    </row>
    <row r="6270" spans="1:5" x14ac:dyDescent="0.2">
      <c r="A6270">
        <v>6209</v>
      </c>
      <c r="B6270" s="1831">
        <f>'Acct Summary 7-8'!F82</f>
        <v>-9646</v>
      </c>
      <c r="D6270" s="2" t="str">
        <f t="shared" si="96"/>
        <v>Error?</v>
      </c>
      <c r="E6270" s="2" t="s">
        <v>189</v>
      </c>
    </row>
    <row r="6271" spans="1:5" x14ac:dyDescent="0.2">
      <c r="A6271">
        <v>6210</v>
      </c>
      <c r="B6271" s="1831">
        <f>'Acct Summary 7-8'!G82</f>
        <v>-12080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-49372</v>
      </c>
      <c r="D6273" s="2" t="str">
        <f t="shared" si="97"/>
        <v>Error?</v>
      </c>
      <c r="E6273" s="2" t="s">
        <v>189</v>
      </c>
    </row>
    <row r="6274" spans="1:5" x14ac:dyDescent="0.2">
      <c r="A6274">
        <v>6213</v>
      </c>
      <c r="B6274" s="1831">
        <f>'Acct Summary 7-8'!J82</f>
        <v>8391</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0.12542087202124924</v>
      </c>
      <c r="D6276" s="2" t="str">
        <f t="shared" si="97"/>
        <v>Error?</v>
      </c>
      <c r="E6276" s="2" t="s">
        <v>189</v>
      </c>
    </row>
    <row r="6277" spans="1:5" x14ac:dyDescent="0.2">
      <c r="A6277">
        <v>6216</v>
      </c>
      <c r="B6277" s="1831">
        <f>'Acct Summary 7-8'!D83</f>
        <v>-1.2026899617094149</v>
      </c>
      <c r="D6277" s="2" t="str">
        <f t="shared" si="97"/>
        <v>Error?</v>
      </c>
      <c r="E6277" s="2" t="s">
        <v>189</v>
      </c>
    </row>
    <row r="6278" spans="1:5" x14ac:dyDescent="0.2">
      <c r="A6278">
        <v>6217</v>
      </c>
      <c r="B6278" s="1831">
        <f>'Acct Summary 7-8'!E83</f>
        <v>4.4590132324230517E-3</v>
      </c>
      <c r="D6278" s="2" t="str">
        <f t="shared" si="97"/>
        <v>Error?</v>
      </c>
      <c r="E6278" s="2" t="s">
        <v>189</v>
      </c>
    </row>
    <row r="6279" spans="1:5" x14ac:dyDescent="0.2">
      <c r="A6279">
        <v>6218</v>
      </c>
      <c r="B6279" s="1831">
        <f>'Acct Summary 7-8'!F83</f>
        <v>-0.34872202740320307</v>
      </c>
      <c r="D6279" s="2" t="str">
        <f t="shared" si="97"/>
        <v>Error?</v>
      </c>
      <c r="E6279" s="2" t="s">
        <v>189</v>
      </c>
    </row>
    <row r="6280" spans="1:5" x14ac:dyDescent="0.2">
      <c r="A6280">
        <v>6219</v>
      </c>
      <c r="B6280" s="1831">
        <f>'Acct Summary 7-8'!G83</f>
        <v>-1.0003312355084466</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-1.3824657687676756</v>
      </c>
      <c r="D6282" s="2" t="str">
        <f t="shared" si="97"/>
        <v>Error?</v>
      </c>
      <c r="E6282" s="2" t="s">
        <v>189</v>
      </c>
    </row>
    <row r="6283" spans="1:5" x14ac:dyDescent="0.2">
      <c r="A6283">
        <v>6222</v>
      </c>
      <c r="B6283" s="1831">
        <f>'Acct Summary 7-8'!J83</f>
        <v>0.99988083889418489</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19469</v>
      </c>
      <c r="D6285" s="2" t="str">
        <f t="shared" si="97"/>
        <v>Error?</v>
      </c>
      <c r="E6285" s="2" t="s">
        <v>189</v>
      </c>
    </row>
    <row r="6286" spans="1:5" x14ac:dyDescent="0.2">
      <c r="A6286">
        <v>6225</v>
      </c>
      <c r="B6286" s="1831">
        <f>'Acct Summary 7-8'!E38</f>
        <v>3024</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12568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12568</v>
      </c>
      <c r="D6301" s="2" t="str">
        <f t="shared" si="97"/>
        <v>Error?</v>
      </c>
      <c r="E6301" s="2" t="s">
        <v>189</v>
      </c>
    </row>
    <row r="6302" spans="1:5" x14ac:dyDescent="0.2">
      <c r="A6302">
        <v>6241</v>
      </c>
      <c r="B6302" s="1831">
        <f>'Revenues 9-14'!J14</f>
        <v>142</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142</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99</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99</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12809</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129554</v>
      </c>
      <c r="D6983" s="2" t="str">
        <f t="shared" si="108"/>
        <v>Error?</v>
      </c>
    </row>
    <row r="6984" spans="1:4" x14ac:dyDescent="0.2">
      <c r="A6984">
        <v>6923</v>
      </c>
      <c r="B6984" s="1831">
        <f>'Expenditures 15-22'!K86</f>
        <v>129554</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129554</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4418</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12809</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1365</v>
      </c>
      <c r="D7067" s="2" t="str">
        <f t="shared" si="109"/>
        <v>Error?</v>
      </c>
    </row>
    <row r="7068" spans="1:4" x14ac:dyDescent="0.2">
      <c r="A7068">
        <v>7007</v>
      </c>
      <c r="B7068" s="1831">
        <f>'Expenditures 15-22'!K205</f>
        <v>1365</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4418</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4418</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4418</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4418</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4418</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4418</v>
      </c>
      <c r="D7224" s="2" t="str">
        <f t="shared" si="111"/>
        <v>Error?</v>
      </c>
    </row>
    <row r="7225" spans="1:4" x14ac:dyDescent="0.2">
      <c r="A7225">
        <v>7164</v>
      </c>
      <c r="B7225" s="1831">
        <f>'Expenditures 15-22'!K343</f>
        <v>8391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3147</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3147</v>
      </c>
      <c r="D7618" s="2" t="str">
        <f t="shared" si="124"/>
        <v>Error?</v>
      </c>
      <c r="E7618" s="2" t="s">
        <v>19</v>
      </c>
    </row>
    <row r="7619" spans="1:5" x14ac:dyDescent="0.2">
      <c r="A7619">
        <f t="shared" si="123"/>
        <v>7558</v>
      </c>
      <c r="B7619" s="1831">
        <f>'Cap Outlay Deprec 26'!H14</f>
        <v>3147</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3147</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1322</v>
      </c>
    </row>
    <row r="7627" spans="1:5" x14ac:dyDescent="0.2">
      <c r="A7627" s="126">
        <f t="shared" si="123"/>
        <v>7566</v>
      </c>
      <c r="B7627" s="1831"/>
      <c r="D7627" s="2" t="str">
        <f t="shared" si="124"/>
        <v>OK</v>
      </c>
      <c r="E7627" s="4" t="s">
        <v>1322</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1322</v>
      </c>
    </row>
    <row r="7630" spans="1:5" x14ac:dyDescent="0.2">
      <c r="A7630" s="126">
        <f t="shared" ref="A7630:A7650" si="125">A7629+1</f>
        <v>7569</v>
      </c>
      <c r="B7630" s="1831"/>
      <c r="D7630" s="2" t="str">
        <f t="shared" si="124"/>
        <v>OK</v>
      </c>
      <c r="E7630" s="4" t="s">
        <v>1322</v>
      </c>
    </row>
    <row r="7631" spans="1:5" x14ac:dyDescent="0.2">
      <c r="A7631">
        <f t="shared" si="125"/>
        <v>7570</v>
      </c>
      <c r="B7631" s="1831">
        <f>'Cap Outlay Deprec 26'!I18</f>
        <v>167644</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1322</v>
      </c>
    </row>
    <row r="7634" spans="1:6" x14ac:dyDescent="0.2">
      <c r="A7634" s="126">
        <f t="shared" si="125"/>
        <v>7573</v>
      </c>
      <c r="B7634" s="1831"/>
      <c r="D7634" s="2" t="str">
        <f t="shared" si="124"/>
        <v>OK</v>
      </c>
      <c r="E7634" s="4" t="s">
        <v>1322</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19469</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3024</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5902</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1322</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1321</v>
      </c>
    </row>
    <row r="7749" spans="1:6" x14ac:dyDescent="0.2">
      <c r="A7749">
        <v>7688</v>
      </c>
      <c r="B7749" s="1831">
        <f>'Acct Summary 7-8'!D25</f>
        <v>50000</v>
      </c>
      <c r="D7749" s="2" t="str">
        <f t="shared" si="127"/>
        <v>Error?</v>
      </c>
      <c r="E7749" s="4" t="s">
        <v>1321</v>
      </c>
    </row>
    <row r="7750" spans="1:6" x14ac:dyDescent="0.2">
      <c r="A7750">
        <v>7689</v>
      </c>
      <c r="B7750" s="1831">
        <f>'Acct Summary 7-8'!E25</f>
        <v>0</v>
      </c>
      <c r="D7750" s="2" t="str">
        <f t="shared" si="127"/>
        <v>Error?</v>
      </c>
      <c r="E7750" s="4" t="s">
        <v>1321</v>
      </c>
    </row>
    <row r="7751" spans="1:6" x14ac:dyDescent="0.2">
      <c r="A7751">
        <v>7690</v>
      </c>
      <c r="B7751" s="1831">
        <f>'Acct Summary 7-8'!F25</f>
        <v>0</v>
      </c>
      <c r="D7751" s="2" t="str">
        <f t="shared" si="127"/>
        <v>Error?</v>
      </c>
      <c r="E7751" s="4" t="s">
        <v>1321</v>
      </c>
    </row>
    <row r="7752" spans="1:6" x14ac:dyDescent="0.2">
      <c r="A7752">
        <v>7691</v>
      </c>
      <c r="B7752" s="1831">
        <f>'Acct Summary 7-8'!G25</f>
        <v>0</v>
      </c>
      <c r="D7752" s="2" t="str">
        <f t="shared" si="127"/>
        <v>Error?</v>
      </c>
      <c r="E7752" s="4" t="s">
        <v>1321</v>
      </c>
    </row>
    <row r="7753" spans="1:6" x14ac:dyDescent="0.2">
      <c r="A7753">
        <v>7692</v>
      </c>
      <c r="B7753" s="1831">
        <f>'Acct Summary 7-8'!H25</f>
        <v>0</v>
      </c>
      <c r="D7753" s="2" t="str">
        <f t="shared" si="127"/>
        <v>Error?</v>
      </c>
      <c r="E7753" s="4" t="s">
        <v>1321</v>
      </c>
    </row>
    <row r="7754" spans="1:6" x14ac:dyDescent="0.2">
      <c r="A7754">
        <v>7693</v>
      </c>
      <c r="B7754" s="1831">
        <f>'Acct Summary 7-8'!J25</f>
        <v>0</v>
      </c>
      <c r="D7754" s="2" t="str">
        <f t="shared" si="127"/>
        <v>Error?</v>
      </c>
      <c r="E7754" s="4" t="s">
        <v>1321</v>
      </c>
    </row>
    <row r="7755" spans="1:6" x14ac:dyDescent="0.2">
      <c r="A7755">
        <v>7694</v>
      </c>
      <c r="B7755" s="1831">
        <f>'Acct Summary 7-8'!K25</f>
        <v>0</v>
      </c>
      <c r="D7755" s="2" t="str">
        <f t="shared" si="127"/>
        <v>Error?</v>
      </c>
      <c r="E7755" s="4" t="s">
        <v>1321</v>
      </c>
    </row>
    <row r="7756" spans="1:6" x14ac:dyDescent="0.2">
      <c r="A7756" s="126">
        <v>7695</v>
      </c>
      <c r="B7756" s="1831"/>
      <c r="D7756" s="2" t="str">
        <f t="shared" si="127"/>
        <v>OK</v>
      </c>
      <c r="E7756" s="4" t="s">
        <v>1321</v>
      </c>
      <c r="F7756" t="s">
        <v>1427</v>
      </c>
    </row>
    <row r="7757" spans="1:6" x14ac:dyDescent="0.2">
      <c r="A7757" s="126">
        <v>7696</v>
      </c>
      <c r="B7757" s="1831"/>
      <c r="D7757" s="2" t="str">
        <f t="shared" si="127"/>
        <v>OK</v>
      </c>
      <c r="E7757" s="4" t="s">
        <v>1321</v>
      </c>
      <c r="F7757" t="s">
        <v>1427</v>
      </c>
    </row>
    <row r="7758" spans="1:6" x14ac:dyDescent="0.2">
      <c r="A7758">
        <v>7697</v>
      </c>
      <c r="B7758" s="1831">
        <f>'Aud Quest 2'!J85</f>
        <v>0</v>
      </c>
      <c r="D7758" s="2" t="str">
        <f t="shared" si="127"/>
        <v>Error?</v>
      </c>
      <c r="E7758" s="4" t="s">
        <v>1321</v>
      </c>
    </row>
    <row r="7759" spans="1:6" x14ac:dyDescent="0.2">
      <c r="A7759">
        <v>7698</v>
      </c>
      <c r="B7759" s="1831">
        <f>'Aud Quest 2'!J88</f>
        <v>0</v>
      </c>
      <c r="D7759" s="2" t="str">
        <f t="shared" si="127"/>
        <v>Error?</v>
      </c>
      <c r="E7759" s="4" t="s">
        <v>1321</v>
      </c>
    </row>
    <row r="7760" spans="1:6" x14ac:dyDescent="0.2">
      <c r="A7760">
        <v>7699</v>
      </c>
      <c r="B7760" s="1831">
        <f>'Aud Quest 2'!J90</f>
        <v>0</v>
      </c>
      <c r="D7760" s="2" t="str">
        <f t="shared" si="127"/>
        <v>Error?</v>
      </c>
      <c r="E7760" s="4" t="s">
        <v>1321</v>
      </c>
    </row>
    <row r="7761" spans="1:5" x14ac:dyDescent="0.2">
      <c r="A7761">
        <v>7700</v>
      </c>
      <c r="B7761" s="1831">
        <f>'Revenues 9-14'!C253</f>
        <v>0</v>
      </c>
      <c r="D7761" s="2" t="str">
        <f t="shared" si="127"/>
        <v>Error?</v>
      </c>
      <c r="E7761" s="4" t="s">
        <v>1404</v>
      </c>
    </row>
    <row r="7762" spans="1:5" x14ac:dyDescent="0.2">
      <c r="A7762">
        <v>7701</v>
      </c>
      <c r="B7762" s="1831">
        <f>'Expenditures 15-22'!E6</f>
        <v>0</v>
      </c>
      <c r="D7762" s="2" t="str">
        <f t="shared" si="127"/>
        <v>Error?</v>
      </c>
      <c r="E7762" s="4" t="s">
        <v>1414</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1442</v>
      </c>
    </row>
    <row r="7765" spans="1:5" x14ac:dyDescent="0.2">
      <c r="A7765">
        <v>7704</v>
      </c>
      <c r="B7765" s="1831">
        <f>'Revenues 9-14'!C254</f>
        <v>0</v>
      </c>
      <c r="D7765" s="2" t="str">
        <f t="shared" si="127"/>
        <v>Error?</v>
      </c>
      <c r="E7765" s="4" t="s">
        <v>1446</v>
      </c>
    </row>
    <row r="7766" spans="1:5" x14ac:dyDescent="0.2">
      <c r="A7766">
        <v>7705</v>
      </c>
      <c r="B7766" s="1831">
        <f>'Revenues 9-14'!D254</f>
        <v>0</v>
      </c>
      <c r="D7766" s="2" t="str">
        <f t="shared" si="127"/>
        <v>Error?</v>
      </c>
      <c r="E7766" s="4" t="s">
        <v>1446</v>
      </c>
    </row>
    <row r="7767" spans="1:5" x14ac:dyDescent="0.2">
      <c r="A7767" s="126">
        <v>7706</v>
      </c>
      <c r="B7767" s="1831"/>
      <c r="D7767" s="4" t="s">
        <v>1996</v>
      </c>
      <c r="E7767" s="4"/>
    </row>
    <row r="7768" spans="1:5" x14ac:dyDescent="0.2">
      <c r="A7768">
        <v>7707</v>
      </c>
      <c r="B7768" s="1831">
        <f>'Revenues 9-14'!F254</f>
        <v>0</v>
      </c>
      <c r="D7768" s="2" t="str">
        <f t="shared" si="127"/>
        <v>Error?</v>
      </c>
      <c r="E7768" s="4" t="s">
        <v>1446</v>
      </c>
    </row>
    <row r="7769" spans="1:5" x14ac:dyDescent="0.2">
      <c r="A7769">
        <v>7708</v>
      </c>
      <c r="B7769" s="1831">
        <f>'Revenues 9-14'!G254</f>
        <v>0</v>
      </c>
      <c r="D7769" s="2" t="str">
        <f t="shared" si="127"/>
        <v>Error?</v>
      </c>
      <c r="E7769" s="4" t="s">
        <v>1446</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1447</v>
      </c>
    </row>
    <row r="7773" spans="1:5" x14ac:dyDescent="0.2">
      <c r="A7773">
        <v>7712</v>
      </c>
      <c r="B7773" s="1831">
        <f>'Rest Tax Levies-Tort Im 25'!J22</f>
        <v>0</v>
      </c>
      <c r="D7773" s="2" t="str">
        <f t="shared" si="127"/>
        <v>Error?</v>
      </c>
      <c r="E7773" s="4" t="s">
        <v>1535</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699650</v>
      </c>
      <c r="D7817" s="2" t="str">
        <f t="shared" si="128"/>
        <v>Error?</v>
      </c>
      <c r="E7817" s="4" t="s">
        <v>1965</v>
      </c>
    </row>
    <row r="7818" spans="1:5" x14ac:dyDescent="0.2">
      <c r="A7818">
        <v>7757</v>
      </c>
      <c r="B7818" s="1831">
        <f>'PCTC-OEPP 27-28'!F172</f>
        <v>105880</v>
      </c>
      <c r="D7818" s="2" t="str">
        <f t="shared" si="128"/>
        <v>Error?</v>
      </c>
      <c r="E7818" s="4" t="s">
        <v>1979</v>
      </c>
    </row>
    <row r="7819" spans="1:5" x14ac:dyDescent="0.2">
      <c r="A7819">
        <v>7758</v>
      </c>
      <c r="B7819" s="1831">
        <f>'PCTC-OEPP 27-28'!F173</f>
        <v>0</v>
      </c>
      <c r="D7819" s="2" t="str">
        <f t="shared" si="128"/>
        <v>Error?</v>
      </c>
      <c r="E7819" s="4" t="s">
        <v>1979</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3424435</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0</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0</v>
      </c>
      <c r="D7830" s="2" t="str">
        <f t="shared" si="129"/>
        <v>Error?</v>
      </c>
      <c r="E7830" s="4" t="s">
        <v>1997</v>
      </c>
    </row>
    <row r="7831" spans="1:5" x14ac:dyDescent="0.2">
      <c r="A7831">
        <v>7770</v>
      </c>
      <c r="B7831" s="1831">
        <f>'PCTC-OEPP 27-28'!F52</f>
        <v>19812</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892946</v>
      </c>
      <c r="D7834" s="2" t="str">
        <f t="shared" si="129"/>
        <v>Error?</v>
      </c>
      <c r="E7834" s="4" t="s">
        <v>1997</v>
      </c>
    </row>
    <row r="7835" spans="1:5" x14ac:dyDescent="0.2">
      <c r="A7835">
        <v>7774</v>
      </c>
      <c r="B7835" s="1831">
        <f>'PCTC-OEPP 27-28'!F78</f>
        <v>2531489</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6851.1204330175915</v>
      </c>
      <c r="D7837" s="2" t="str">
        <f t="shared" si="129"/>
        <v>Error?</v>
      </c>
      <c r="E7837" s="4" t="s">
        <v>1997</v>
      </c>
    </row>
    <row r="7838" spans="1:5" x14ac:dyDescent="0.2">
      <c r="A7838">
        <v>7777</v>
      </c>
      <c r="B7838" s="1831">
        <f>'PCTC-OEPP 27-28'!F96</f>
        <v>0</v>
      </c>
      <c r="D7838" s="2" t="str">
        <f t="shared" si="129"/>
        <v>Error?</v>
      </c>
      <c r="E7838" s="4" t="s">
        <v>1997</v>
      </c>
    </row>
    <row r="7839" spans="1:5" x14ac:dyDescent="0.2">
      <c r="A7839">
        <v>7778</v>
      </c>
      <c r="B7839" s="1831">
        <f>'PCTC-OEPP 27-28'!F102</f>
        <v>0</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13650</v>
      </c>
      <c r="D7841" s="2" t="str">
        <f t="shared" si="129"/>
        <v>Error?</v>
      </c>
      <c r="E7841" s="4" t="s">
        <v>1997</v>
      </c>
    </row>
    <row r="7842" spans="1:5" x14ac:dyDescent="0.2">
      <c r="A7842">
        <v>7781</v>
      </c>
      <c r="B7842" s="1831">
        <f>'PCTC-OEPP 27-28'!F106</f>
        <v>15336</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30026</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23307</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10016</v>
      </c>
      <c r="D7857" s="2" t="str">
        <f t="shared" si="129"/>
        <v>Error?</v>
      </c>
      <c r="E7857" s="4" t="s">
        <v>1997</v>
      </c>
    </row>
    <row r="7858" spans="1:5" x14ac:dyDescent="0.2">
      <c r="A7858">
        <v>7797</v>
      </c>
      <c r="B7858" s="1831">
        <f>'PCTC-OEPP 27-28'!F126</f>
        <v>273556</v>
      </c>
      <c r="D7858" s="2" t="str">
        <f t="shared" si="129"/>
        <v>Error?</v>
      </c>
      <c r="E7858" s="4" t="s">
        <v>1997</v>
      </c>
    </row>
    <row r="7859" spans="1:5" x14ac:dyDescent="0.2">
      <c r="A7859">
        <v>7798</v>
      </c>
      <c r="B7859" s="1831">
        <f>'PCTC-OEPP 27-28'!F127</f>
        <v>104375</v>
      </c>
      <c r="D7859" s="2" t="str">
        <f t="shared" si="129"/>
        <v>Error?</v>
      </c>
      <c r="E7859" s="4" t="s">
        <v>1997</v>
      </c>
    </row>
    <row r="7860" spans="1:5" x14ac:dyDescent="0.2">
      <c r="A7860">
        <v>7799</v>
      </c>
      <c r="B7860" s="1831">
        <f>'PCTC-OEPP 27-28'!F128</f>
        <v>0</v>
      </c>
      <c r="D7860" s="2" t="str">
        <f t="shared" si="129"/>
        <v>Error?</v>
      </c>
      <c r="E7860" s="4" t="s">
        <v>1997</v>
      </c>
    </row>
    <row r="7861" spans="1:5" x14ac:dyDescent="0.2">
      <c r="A7861">
        <v>7800</v>
      </c>
      <c r="B7861" s="1831">
        <f>'PCTC-OEPP 27-28'!F129</f>
        <v>10205</v>
      </c>
      <c r="D7861" s="2" t="str">
        <f t="shared" si="129"/>
        <v>Error?</v>
      </c>
      <c r="E7861" s="4" t="s">
        <v>1997</v>
      </c>
    </row>
    <row r="7862" spans="1:5" x14ac:dyDescent="0.2">
      <c r="A7862">
        <v>7801</v>
      </c>
      <c r="B7862" s="1831">
        <f>'PCTC-OEPP 27-28'!F130</f>
        <v>11836</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0</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17364</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5588</v>
      </c>
      <c r="D7874" s="2" t="str">
        <f t="shared" si="129"/>
        <v>Error?</v>
      </c>
      <c r="E7874" s="4" t="s">
        <v>1997</v>
      </c>
    </row>
    <row r="7875" spans="1:5" x14ac:dyDescent="0.2">
      <c r="A7875">
        <v>7814</v>
      </c>
      <c r="B7875" s="1831">
        <f>'PCTC-OEPP 27-28'!F170</f>
        <v>17672</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714254</v>
      </c>
      <c r="D7877" s="2" t="str">
        <f t="shared" si="129"/>
        <v>Error?</v>
      </c>
      <c r="E7877" s="4" t="s">
        <v>1997</v>
      </c>
    </row>
    <row r="7878" spans="1:5" x14ac:dyDescent="0.2">
      <c r="A7878">
        <v>7817</v>
      </c>
      <c r="B7878" s="1831">
        <f>'PCTC-OEPP 27-28'!F176</f>
        <v>1817235</v>
      </c>
      <c r="D7878" s="2" t="str">
        <f t="shared" si="129"/>
        <v>Error?</v>
      </c>
      <c r="E7878" s="4" t="s">
        <v>1997</v>
      </c>
    </row>
    <row r="7879" spans="1:5" x14ac:dyDescent="0.2">
      <c r="A7879">
        <v>7818</v>
      </c>
      <c r="B7879" s="1831">
        <f>'PCTC-OEPP 27-28'!F178</f>
        <v>1984879</v>
      </c>
      <c r="D7879" s="2" t="str">
        <f t="shared" si="129"/>
        <v>Error?</v>
      </c>
      <c r="E7879" s="4" t="s">
        <v>1997</v>
      </c>
    </row>
    <row r="7880" spans="1:5" x14ac:dyDescent="0.2">
      <c r="A7880">
        <v>7819</v>
      </c>
      <c r="B7880" s="1831">
        <f>'PCTC-OEPP 27-28'!F180</f>
        <v>5371.7970230040592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5" t="s">
        <v>1180</v>
      </c>
      <c r="B2" s="2535"/>
      <c r="C2" s="2535"/>
      <c r="D2" s="2535"/>
      <c r="E2" s="2535"/>
      <c r="F2" s="2535"/>
      <c r="G2" s="2535"/>
      <c r="H2" s="2535"/>
      <c r="I2" s="2535"/>
      <c r="J2" s="2535"/>
      <c r="K2" s="2535"/>
      <c r="L2" s="2535"/>
    </row>
    <row r="3" spans="1:29" ht="13.5" customHeight="1" x14ac:dyDescent="0.2">
      <c r="A3" s="2521" t="s">
        <v>1179</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5" t="str">
        <f>COVER!A17</f>
        <v xml:space="preserve">   Central City SD 133</v>
      </c>
      <c r="B7" s="2516"/>
      <c r="C7" s="2516"/>
      <c r="D7" s="2554"/>
      <c r="E7" s="2555">
        <f>COVER!A13</f>
        <v>13058133002</v>
      </c>
      <c r="F7" s="2556"/>
      <c r="G7" s="2522" t="str">
        <f>COVER!T23</f>
        <v>066-004957</v>
      </c>
      <c r="H7" s="2523"/>
      <c r="I7" s="2523"/>
      <c r="J7" s="2523"/>
      <c r="K7" s="2523"/>
      <c r="L7" s="2524"/>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25"/>
      <c r="B9" s="2526"/>
      <c r="C9" s="2526"/>
      <c r="D9" s="2526"/>
      <c r="E9" s="2526"/>
      <c r="F9" s="2527"/>
      <c r="G9" s="2528" t="str">
        <f>COVER!T13</f>
        <v>SUSAN J. LYONS, CPA, P.C.</v>
      </c>
      <c r="H9" s="2529"/>
      <c r="I9" s="2529"/>
      <c r="J9" s="2529"/>
      <c r="K9" s="2529"/>
      <c r="L9" s="2530"/>
    </row>
    <row r="10" spans="1:29" ht="13.5" customHeight="1" x14ac:dyDescent="0.2">
      <c r="A10" s="2512" t="str">
        <f>COVER!A38</f>
        <v>TIM BRANON</v>
      </c>
      <c r="B10" s="2513"/>
      <c r="C10" s="2513"/>
      <c r="D10" s="2513"/>
      <c r="E10" s="2513"/>
      <c r="F10" s="2514"/>
      <c r="G10" s="2528" t="str">
        <f>COVER!T17</f>
        <v>5859 U.S. HIGHWAY 51</v>
      </c>
      <c r="H10" s="2541"/>
      <c r="I10" s="2541"/>
      <c r="J10" s="2541"/>
      <c r="K10" s="2541"/>
      <c r="L10" s="2542"/>
    </row>
    <row r="11" spans="1:29" ht="13.5" customHeight="1" x14ac:dyDescent="0.2">
      <c r="A11" s="962" t="s">
        <v>1501</v>
      </c>
      <c r="B11" s="963"/>
      <c r="C11" s="964"/>
      <c r="D11" s="969"/>
      <c r="E11" s="964"/>
      <c r="F11" s="968"/>
      <c r="G11" s="2528" t="str">
        <f>COVER!T19</f>
        <v>ODIN</v>
      </c>
      <c r="H11" s="2541"/>
      <c r="I11" s="2541"/>
      <c r="J11" s="2541"/>
      <c r="K11" s="2541"/>
      <c r="L11" s="2542"/>
    </row>
    <row r="12" spans="1:29" ht="13.5" customHeight="1" x14ac:dyDescent="0.2">
      <c r="A12" s="2546" t="s">
        <v>1500</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1502</v>
      </c>
      <c r="H13" s="2537"/>
      <c r="I13" s="2549" t="str">
        <f>COVER!T25</f>
        <v>slyons1007@gmail.com</v>
      </c>
      <c r="J13" s="2550"/>
      <c r="K13" s="2550"/>
      <c r="L13" s="2551"/>
    </row>
    <row r="14" spans="1:29" ht="13.5" customHeight="1" x14ac:dyDescent="0.2">
      <c r="A14" s="2528" t="str">
        <f>COVER!A19</f>
        <v>129 N. DOUGLAS</v>
      </c>
      <c r="B14" s="2541"/>
      <c r="C14" s="2541"/>
      <c r="D14" s="2541"/>
      <c r="E14" s="2541"/>
      <c r="F14" s="2542"/>
      <c r="G14" s="973" t="s">
        <v>1174</v>
      </c>
      <c r="H14" s="971"/>
      <c r="I14" s="971"/>
      <c r="J14" s="971"/>
      <c r="K14" s="971"/>
      <c r="L14" s="972"/>
    </row>
    <row r="15" spans="1:29" ht="13.5" customHeight="1" x14ac:dyDescent="0.2">
      <c r="A15" s="2528" t="str">
        <f>COVER!A21</f>
        <v>CENTRALIA</v>
      </c>
      <c r="B15" s="2541"/>
      <c r="C15" s="2541"/>
      <c r="D15" s="2541"/>
      <c r="E15" s="2541"/>
      <c r="F15" s="2542"/>
      <c r="G15" s="2538" t="str">
        <f>COVER!T15</f>
        <v>SUSAN J. LYONS</v>
      </c>
      <c r="H15" s="2539"/>
      <c r="I15" s="2539"/>
      <c r="J15" s="2539"/>
      <c r="K15" s="2539"/>
      <c r="L15" s="2540"/>
    </row>
    <row r="16" spans="1:29" ht="12.2" customHeight="1" x14ac:dyDescent="0.2">
      <c r="A16" s="2518">
        <f>COVER!A25</f>
        <v>62801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3" t="s">
        <v>1173</v>
      </c>
      <c r="H17" s="971"/>
      <c r="I17" s="971"/>
      <c r="J17" s="971"/>
      <c r="K17" s="975" t="s">
        <v>1172</v>
      </c>
      <c r="L17" s="968"/>
      <c r="M17" s="961"/>
    </row>
    <row r="18" spans="1:13" ht="12.2" customHeight="1" x14ac:dyDescent="0.2">
      <c r="A18" s="2512"/>
      <c r="B18" s="2513"/>
      <c r="C18" s="2513"/>
      <c r="D18" s="2513"/>
      <c r="E18" s="2513"/>
      <c r="F18" s="2514"/>
      <c r="G18" s="2515" t="str">
        <f>COVER!T21</f>
        <v>618-267-3213</v>
      </c>
      <c r="H18" s="2516"/>
      <c r="I18" s="2516"/>
      <c r="J18" s="2516"/>
      <c r="K18" s="2515">
        <f>COVER!X21</f>
        <v>0</v>
      </c>
      <c r="L18" s="251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1676</v>
      </c>
    </row>
    <row r="27" spans="1:13" s="976" customFormat="1" ht="9" customHeight="1" x14ac:dyDescent="0.2">
      <c r="B27" s="981"/>
      <c r="C27" s="980"/>
    </row>
    <row r="28" spans="1:13" s="976" customFormat="1" ht="12.2" customHeight="1" x14ac:dyDescent="0.2">
      <c r="A28" s="983"/>
      <c r="B28" s="979"/>
      <c r="C28" s="980" t="s">
        <v>1677</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7" t="str">
        <f>'Single Audit Cover'!A7</f>
        <v xml:space="preserve">   Central City SD 133</v>
      </c>
      <c r="B1" s="2558"/>
      <c r="C1" s="2558"/>
      <c r="D1" s="2558"/>
    </row>
    <row r="2" spans="1:11" s="990" customFormat="1" ht="12.75" x14ac:dyDescent="0.2">
      <c r="A2" s="2559">
        <f>'Single Audit Cover'!E7</f>
        <v>13058133002</v>
      </c>
      <c r="B2" s="2560"/>
      <c r="C2" s="2560"/>
      <c r="D2" s="2560"/>
    </row>
    <row r="3" spans="1:11" s="990" customFormat="1" ht="12.75" x14ac:dyDescent="0.2">
      <c r="A3" s="2557" t="s">
        <v>1495</v>
      </c>
      <c r="B3" s="2558"/>
      <c r="C3" s="2558"/>
      <c r="D3" s="2558"/>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1968</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2" t="str">
        <f>'Single Audit Cover'!A7</f>
        <v xml:space="preserve">   Central City SD 133</v>
      </c>
      <c r="B1" s="2562"/>
      <c r="C1" s="2562"/>
      <c r="D1" s="2562"/>
      <c r="E1" s="2562"/>
    </row>
    <row r="2" spans="1:5" x14ac:dyDescent="0.2">
      <c r="A2" s="2563">
        <f>'Single Audit Cover'!E7</f>
        <v>13058133002</v>
      </c>
      <c r="B2" s="2563"/>
      <c r="C2" s="2563"/>
      <c r="D2" s="2563"/>
      <c r="E2" s="2563"/>
    </row>
    <row r="3" spans="1:5" ht="4.5" customHeight="1" x14ac:dyDescent="0.2"/>
    <row r="4" spans="1:5" x14ac:dyDescent="0.2">
      <c r="A4" s="2562" t="s">
        <v>1233</v>
      </c>
      <c r="B4" s="2562"/>
      <c r="C4" s="2562"/>
      <c r="D4" s="2562"/>
      <c r="E4" s="2562"/>
    </row>
    <row r="5" spans="1:5" x14ac:dyDescent="0.2">
      <c r="A5" s="2565" t="str">
        <f>'Single Audit Cover'!A4</f>
        <v>Year Ending June 30, 2020</v>
      </c>
      <c r="B5" s="2565"/>
      <c r="C5" s="2565"/>
      <c r="D5" s="2565"/>
      <c r="E5" s="2565"/>
    </row>
    <row r="6" spans="1:5" x14ac:dyDescent="0.2">
      <c r="A6" s="2562" t="s">
        <v>1232</v>
      </c>
      <c r="B6" s="2562"/>
      <c r="C6" s="2562"/>
      <c r="D6" s="2562"/>
      <c r="E6" s="2562"/>
    </row>
    <row r="8" spans="1:5" x14ac:dyDescent="0.2">
      <c r="A8" s="1035" t="s">
        <v>1231</v>
      </c>
    </row>
    <row r="10" spans="1:5" x14ac:dyDescent="0.2">
      <c r="A10" s="1036" t="s">
        <v>1230</v>
      </c>
      <c r="B10" s="1037" t="s">
        <v>1229</v>
      </c>
      <c r="C10" s="1037"/>
      <c r="D10" s="1038">
        <f>SUM('Acct Summary 7-8'!C7:K7)</f>
        <v>454486</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2003</v>
      </c>
      <c r="B14" s="1037"/>
      <c r="C14" s="1037"/>
      <c r="D14" s="1039">
        <f>'ICR Computation 30'!E11</f>
        <v>15315</v>
      </c>
    </row>
    <row r="15" spans="1:5" x14ac:dyDescent="0.2">
      <c r="A15" s="1036"/>
      <c r="B15" s="1037"/>
      <c r="C15" s="1037"/>
    </row>
    <row r="16" spans="1:5" x14ac:dyDescent="0.2">
      <c r="A16" s="1036" t="s">
        <v>1814</v>
      </c>
      <c r="B16" s="1037"/>
      <c r="C16" s="1037"/>
    </row>
    <row r="17" spans="1:4" x14ac:dyDescent="0.2">
      <c r="A17" s="1036" t="s">
        <v>1963</v>
      </c>
      <c r="B17" s="1037" t="s">
        <v>1224</v>
      </c>
      <c r="C17" s="1037"/>
      <c r="D17" s="1039">
        <f>-SUM('Revenues 9-14'!C264:D264,'Revenues 9-14'!F264:G264)</f>
        <v>-17672</v>
      </c>
    </row>
    <row r="19" spans="1:4" ht="13.5" thickBot="1" x14ac:dyDescent="0.25">
      <c r="A19" s="1040" t="s">
        <v>1223</v>
      </c>
      <c r="D19" s="1041">
        <f>SUM(D10:D17)</f>
        <v>452129</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64"/>
      <c r="B24" s="2564"/>
      <c r="D24" s="1043"/>
    </row>
    <row r="25" spans="1:4" x14ac:dyDescent="0.2">
      <c r="A25" s="2561"/>
      <c r="B25" s="2561"/>
      <c r="D25" s="1043"/>
    </row>
    <row r="26" spans="1:4" x14ac:dyDescent="0.2">
      <c r="A26" s="2561"/>
      <c r="B26" s="2561"/>
      <c r="D26" s="1043"/>
    </row>
    <row r="27" spans="1:4" x14ac:dyDescent="0.2">
      <c r="A27" s="2561"/>
      <c r="B27" s="2561"/>
      <c r="D27" s="1043"/>
    </row>
    <row r="28" spans="1:4" x14ac:dyDescent="0.2">
      <c r="A28" s="2561"/>
      <c r="B28" s="2561"/>
      <c r="D28" s="1043"/>
    </row>
    <row r="29" spans="1:4" x14ac:dyDescent="0.2">
      <c r="A29" s="2561"/>
      <c r="B29" s="2561"/>
      <c r="D29" s="1043"/>
    </row>
    <row r="30" spans="1:4" x14ac:dyDescent="0.2">
      <c r="A30" s="2561"/>
      <c r="B30" s="2561"/>
      <c r="D30" s="1043"/>
    </row>
    <row r="32" spans="1:4" x14ac:dyDescent="0.2">
      <c r="A32" s="1035" t="s">
        <v>1221</v>
      </c>
      <c r="D32" s="1038">
        <f>SUM(D19:D30)</f>
        <v>452129</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61"/>
      <c r="B40" s="2561"/>
      <c r="D40" s="1043"/>
    </row>
    <row r="41" spans="1:4" x14ac:dyDescent="0.2">
      <c r="A41" s="2561"/>
      <c r="B41" s="2561"/>
      <c r="D41" s="1046"/>
    </row>
    <row r="42" spans="1:4" x14ac:dyDescent="0.2">
      <c r="A42" s="2561"/>
      <c r="B42" s="2561"/>
      <c r="D42" s="1046"/>
    </row>
    <row r="43" spans="1:4" x14ac:dyDescent="0.2">
      <c r="A43" s="2561"/>
      <c r="B43" s="2561"/>
      <c r="D43" s="1046"/>
    </row>
    <row r="44" spans="1:4" x14ac:dyDescent="0.2">
      <c r="A44" s="2561"/>
      <c r="B44" s="2561"/>
      <c r="D44" s="1046"/>
    </row>
    <row r="45" spans="1:4" x14ac:dyDescent="0.2">
      <c r="A45" s="2561"/>
      <c r="B45" s="2561"/>
      <c r="D45" s="1046"/>
    </row>
    <row r="47" spans="1:4" x14ac:dyDescent="0.2">
      <c r="B47" s="1047" t="s">
        <v>1215</v>
      </c>
      <c r="C47" s="1047"/>
      <c r="D47" s="1048">
        <f>SUM(D35:D45)</f>
        <v>0</v>
      </c>
    </row>
    <row r="49" spans="2:4" x14ac:dyDescent="0.2">
      <c r="B49" s="1047" t="s">
        <v>1214</v>
      </c>
      <c r="C49" s="1047"/>
      <c r="D49" s="1048">
        <f>D32-D47</f>
        <v>452129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Central City SD 133</v>
      </c>
      <c r="C1" s="2566"/>
      <c r="D1" s="2566"/>
      <c r="E1" s="2566"/>
      <c r="F1" s="2566"/>
      <c r="G1" s="2566"/>
      <c r="H1" s="2566"/>
      <c r="I1" s="2566"/>
      <c r="J1" s="2566"/>
      <c r="K1" s="2566"/>
      <c r="L1" s="2566"/>
      <c r="M1" s="2566"/>
    </row>
    <row r="2" spans="2:14" ht="15" x14ac:dyDescent="0.2">
      <c r="B2" s="2567">
        <f>'Single Audit Cover'!E7</f>
        <v>13058133002</v>
      </c>
      <c r="C2" s="2567"/>
      <c r="D2" s="2567"/>
      <c r="E2" s="2567"/>
      <c r="F2" s="2567"/>
      <c r="G2" s="2567"/>
      <c r="H2" s="2567"/>
      <c r="I2" s="2567"/>
      <c r="J2" s="2567"/>
      <c r="K2" s="2567"/>
      <c r="L2" s="2567"/>
      <c r="M2" s="2567"/>
      <c r="N2" s="1077"/>
    </row>
    <row r="3" spans="2:14" ht="15" x14ac:dyDescent="0.2">
      <c r="B3" s="2568" t="s">
        <v>1207</v>
      </c>
      <c r="C3" s="2568"/>
      <c r="D3" s="2568"/>
      <c r="E3" s="2568"/>
      <c r="F3" s="2568"/>
      <c r="G3" s="2568"/>
      <c r="H3" s="2568"/>
      <c r="I3" s="2568"/>
      <c r="J3" s="2568"/>
      <c r="K3" s="2568"/>
      <c r="L3" s="2568"/>
      <c r="M3" s="2568"/>
      <c r="N3" s="1077"/>
    </row>
    <row r="4" spans="2:14" ht="15" x14ac:dyDescent="0.2">
      <c r="B4" s="2569" t="str">
        <f>'Single Audit Cover'!A4</f>
        <v>Year Ending June 30, 2020</v>
      </c>
      <c r="C4" s="2569"/>
      <c r="D4" s="2569"/>
      <c r="E4" s="2569"/>
      <c r="F4" s="2569"/>
      <c r="G4" s="2569"/>
      <c r="H4" s="2569"/>
      <c r="I4" s="2569"/>
      <c r="J4" s="2569"/>
      <c r="K4" s="2569"/>
      <c r="L4" s="2569"/>
      <c r="M4" s="2569"/>
      <c r="N4" s="1077"/>
    </row>
    <row r="5" spans="2:14" x14ac:dyDescent="0.2">
      <c r="H5" s="1913"/>
      <c r="J5" s="1913"/>
    </row>
    <row r="6" spans="2:14" x14ac:dyDescent="0.2">
      <c r="B6" s="1078"/>
      <c r="C6" s="1079"/>
      <c r="D6" s="1080" t="s">
        <v>1253</v>
      </c>
      <c r="E6" s="1081" t="s">
        <v>523</v>
      </c>
      <c r="F6" s="1082"/>
      <c r="G6" s="1083" t="s">
        <v>1710</v>
      </c>
      <c r="H6" s="1081"/>
      <c r="I6" s="1081"/>
      <c r="J6" s="1914"/>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18" t="str">
        <f>"7/1/"&amp;MID('AFR20'!$E$2,3,2)-2&amp;"-6/30/"&amp;MID('AFR20'!$E$2,3,2)-1</f>
        <v>7/1/18-6/30/19</v>
      </c>
      <c r="I8" s="1094" t="s">
        <v>1250</v>
      </c>
      <c r="J8" s="1819" t="str">
        <f>"7/1/"&amp;MID('AFR20'!$E$2,3,2)-1&amp;"-6/30/"&amp;MID('AFR20'!$E$2,3,2)</f>
        <v>7/1/19-6/30/20</v>
      </c>
      <c r="K8" s="1094" t="s">
        <v>1249</v>
      </c>
      <c r="L8" s="1095" t="s">
        <v>1245</v>
      </c>
      <c r="M8" s="1096" t="s">
        <v>30</v>
      </c>
    </row>
    <row r="9" spans="2:14" ht="14.25" x14ac:dyDescent="0.2">
      <c r="B9" s="1100" t="s">
        <v>1247</v>
      </c>
      <c r="C9" s="1088" t="s">
        <v>1711</v>
      </c>
      <c r="D9" s="1089" t="s">
        <v>1712</v>
      </c>
      <c r="E9" s="1912" t="str">
        <f>"7/1/"&amp;MID('AFR20'!$E$2,3,2)-2&amp;"-6/30/"&amp;MID('AFR20'!$E$2,3,2)-1</f>
        <v>7/1/18-6/30/19</v>
      </c>
      <c r="F9" s="1912" t="str">
        <f>"7/1/"&amp;MID('AFR20'!$E$2,3,2)-1&amp;"-6/30/"&amp;MID('AFR20'!$E$2,3,2)</f>
        <v>7/1/19-6/30/20</v>
      </c>
      <c r="G9" s="1912" t="str">
        <f>"7/1/"&amp;MID('AFR20'!$E$2,3,2)-2&amp;"-6/30/"&amp;MID('AFR20'!$E$2,3,2)-1</f>
        <v>7/1/18-6/30/19</v>
      </c>
      <c r="H9" s="1092" t="s">
        <v>1564</v>
      </c>
      <c r="I9" s="1912"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1158</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1713</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Central City SD 133</v>
      </c>
      <c r="B1" s="2571"/>
      <c r="C1" s="2571"/>
      <c r="D1" s="2571"/>
      <c r="E1" s="2571"/>
      <c r="F1" s="2571"/>
    </row>
    <row r="2" spans="1:7" ht="13.5" customHeight="1" x14ac:dyDescent="0.2">
      <c r="A2" s="2567">
        <f>'Single Audit Cover'!E7</f>
        <v>13058133002</v>
      </c>
      <c r="B2" s="2567"/>
      <c r="C2" s="2567"/>
      <c r="D2" s="2567"/>
      <c r="E2" s="2567"/>
      <c r="F2" s="2567"/>
      <c r="G2" s="1050"/>
    </row>
    <row r="3" spans="1:7" ht="15.75" customHeight="1" x14ac:dyDescent="0.2">
      <c r="A3" s="2572" t="s">
        <v>1259</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1" t="s">
        <v>1704</v>
      </c>
      <c r="C6" s="295"/>
      <c r="D6" s="295"/>
    </row>
    <row r="7" spans="1:7" ht="60.95" customHeight="1" x14ac:dyDescent="0.2">
      <c r="A7" s="2570" t="s">
        <v>1705</v>
      </c>
      <c r="B7" s="2570"/>
      <c r="C7" s="2570"/>
      <c r="D7" s="2570"/>
      <c r="E7" s="2570"/>
      <c r="F7" s="2570"/>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1529</v>
      </c>
      <c r="B10" s="1055"/>
      <c r="C10" s="1056"/>
      <c r="D10" s="1055" t="s">
        <v>1530</v>
      </c>
      <c r="E10" s="1056"/>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70" t="s">
        <v>1707</v>
      </c>
      <c r="B13" s="2570"/>
      <c r="C13" s="2570"/>
      <c r="D13" s="2570"/>
      <c r="E13" s="2570"/>
      <c r="F13" s="2570"/>
    </row>
    <row r="14" spans="1:7" ht="9.75" customHeight="1" x14ac:dyDescent="0.2">
      <c r="C14" s="1035"/>
      <c r="D14" s="1035"/>
    </row>
    <row r="15" spans="1:7" ht="13.5" customHeight="1" x14ac:dyDescent="0.2">
      <c r="C15" s="1475" t="s">
        <v>1258</v>
      </c>
      <c r="D15" s="2575" t="s">
        <v>1257</v>
      </c>
      <c r="E15" s="2575"/>
      <c r="F15" s="2575"/>
    </row>
    <row r="16" spans="1:7" ht="13.5" customHeight="1" x14ac:dyDescent="0.2">
      <c r="A16" s="1057"/>
      <c r="B16" s="1051" t="s">
        <v>1256</v>
      </c>
      <c r="C16" s="1475" t="s">
        <v>1255</v>
      </c>
      <c r="D16" s="2576" t="s">
        <v>1570</v>
      </c>
      <c r="E16" s="2576"/>
      <c r="F16" s="2576"/>
    </row>
    <row r="17" spans="1:6" ht="20.45" customHeight="1" x14ac:dyDescent="0.2">
      <c r="A17" s="1058"/>
      <c r="B17" s="1059"/>
      <c r="C17" s="1060"/>
      <c r="D17" s="2574"/>
      <c r="E17" s="2574"/>
      <c r="F17" s="2574"/>
    </row>
    <row r="18" spans="1:6" ht="20.65" customHeight="1" x14ac:dyDescent="0.2">
      <c r="A18" s="1058"/>
      <c r="B18" s="1059"/>
      <c r="C18" s="1060"/>
      <c r="D18" s="2574"/>
      <c r="E18" s="2574"/>
      <c r="F18" s="2574"/>
    </row>
    <row r="19" spans="1:6" ht="20.65" customHeight="1" x14ac:dyDescent="0.2">
      <c r="A19" s="1058"/>
      <c r="B19" s="1059"/>
      <c r="C19" s="1060"/>
      <c r="D19" s="2574"/>
      <c r="E19" s="2574"/>
      <c r="F19" s="2574"/>
    </row>
    <row r="20" spans="1:6" ht="20.65" customHeight="1" x14ac:dyDescent="0.2">
      <c r="A20" s="1058"/>
      <c r="B20" s="1059"/>
      <c r="C20" s="1060"/>
      <c r="D20" s="2574"/>
      <c r="E20" s="2574"/>
      <c r="F20" s="2574"/>
    </row>
    <row r="21" spans="1:6" ht="20.65" customHeight="1" x14ac:dyDescent="0.2">
      <c r="A21" s="1058"/>
      <c r="B21" s="1059"/>
      <c r="C21" s="1060"/>
      <c r="D21" s="2574"/>
      <c r="E21" s="2574"/>
      <c r="F21" s="2574"/>
    </row>
    <row r="22" spans="1:6" ht="20.65" customHeight="1" x14ac:dyDescent="0.2">
      <c r="A22" s="1058"/>
      <c r="B22" s="1059"/>
      <c r="C22" s="1060"/>
      <c r="D22" s="2574"/>
      <c r="E22" s="2574"/>
      <c r="F22" s="2574"/>
    </row>
    <row r="23" spans="1:6" ht="20.65" customHeight="1" x14ac:dyDescent="0.2">
      <c r="A23" s="1058"/>
      <c r="B23" s="1059"/>
      <c r="C23" s="1060"/>
      <c r="D23" s="2574"/>
      <c r="E23" s="2574"/>
      <c r="F23" s="2574"/>
    </row>
    <row r="24" spans="1:6" ht="20.65" customHeight="1" x14ac:dyDescent="0.2">
      <c r="A24" s="1058"/>
      <c r="B24" s="1059"/>
      <c r="C24" s="1060"/>
      <c r="D24" s="2574"/>
      <c r="E24" s="2574"/>
      <c r="F24" s="2574"/>
    </row>
    <row r="25" spans="1:6" ht="20.65" customHeight="1" x14ac:dyDescent="0.2">
      <c r="A25" s="1058"/>
      <c r="B25" s="1059"/>
      <c r="C25" s="1060"/>
      <c r="D25" s="2574"/>
      <c r="E25" s="2574"/>
      <c r="F25" s="2574"/>
    </row>
    <row r="26" spans="1:6" ht="20.65" customHeight="1" x14ac:dyDescent="0.2">
      <c r="A26" s="1058"/>
      <c r="B26" s="1059"/>
      <c r="C26" s="1060"/>
      <c r="D26" s="2574"/>
      <c r="E26" s="2574"/>
      <c r="F26" s="2574"/>
    </row>
    <row r="27" spans="1:6" ht="20.65" customHeight="1" x14ac:dyDescent="0.2">
      <c r="A27" s="1058"/>
      <c r="B27" s="1059"/>
      <c r="C27" s="1060"/>
      <c r="D27" s="2574"/>
      <c r="E27" s="2574"/>
      <c r="F27" s="2574"/>
    </row>
    <row r="28" spans="1:6" ht="20.65" customHeight="1" x14ac:dyDescent="0.2">
      <c r="A28" s="1058"/>
      <c r="B28" s="1059"/>
      <c r="C28" s="1060"/>
      <c r="D28" s="2574"/>
      <c r="E28" s="2574"/>
      <c r="F28" s="2574"/>
    </row>
    <row r="29" spans="1:6" ht="20.65" customHeight="1" x14ac:dyDescent="0.2">
      <c r="A29" s="1058"/>
      <c r="B29" s="1059"/>
      <c r="C29" s="1060"/>
      <c r="D29" s="2574"/>
      <c r="E29" s="2574"/>
      <c r="F29" s="2574"/>
    </row>
    <row r="30" spans="1:6" ht="12" customHeight="1" x14ac:dyDescent="0.2">
      <c r="A30" s="306"/>
      <c r="B30" s="306"/>
      <c r="C30" s="1232"/>
      <c r="D30" s="1525"/>
      <c r="E30" s="1061"/>
    </row>
    <row r="31" spans="1:6" ht="12" customHeight="1" x14ac:dyDescent="0.2">
      <c r="A31" s="1062" t="s">
        <v>1531</v>
      </c>
      <c r="B31" s="306"/>
      <c r="C31" s="1232"/>
      <c r="D31" s="1525"/>
      <c r="E31" s="1061"/>
    </row>
    <row r="32" spans="1:6" ht="30" customHeight="1" x14ac:dyDescent="0.2">
      <c r="A32" s="2578" t="s">
        <v>1708</v>
      </c>
      <c r="B32" s="2578"/>
      <c r="C32" s="2578"/>
      <c r="D32" s="2578"/>
      <c r="E32" s="2578"/>
      <c r="F32" s="2578"/>
    </row>
    <row r="33" spans="1:6" ht="13.5" customHeight="1" x14ac:dyDescent="0.2">
      <c r="A33" s="306" t="s">
        <v>1416</v>
      </c>
      <c r="B33" s="306"/>
      <c r="C33" s="1063">
        <v>0</v>
      </c>
      <c r="D33" s="1525"/>
      <c r="E33" s="1061"/>
    </row>
    <row r="34" spans="1:6" ht="13.5" customHeight="1" x14ac:dyDescent="0.2">
      <c r="A34" s="306" t="s">
        <v>1810</v>
      </c>
      <c r="B34" s="306"/>
      <c r="C34" s="1064">
        <v>0</v>
      </c>
      <c r="D34" s="1525" t="s">
        <v>1571</v>
      </c>
      <c r="E34" s="2579">
        <f>+C33+C34</f>
        <v>0</v>
      </c>
      <c r="F34" s="2580"/>
    </row>
    <row r="35" spans="1:6" ht="12" customHeight="1" x14ac:dyDescent="0.2">
      <c r="A35" s="306"/>
      <c r="B35" s="306"/>
      <c r="C35" s="1526"/>
      <c r="D35" s="1525"/>
      <c r="E35" s="1065"/>
      <c r="F35" s="1066"/>
    </row>
    <row r="36" spans="1:6" ht="13.5" customHeight="1" x14ac:dyDescent="0.2">
      <c r="A36" s="1062" t="s">
        <v>1532</v>
      </c>
      <c r="B36" s="306"/>
      <c r="C36" s="1232"/>
      <c r="D36" s="1525"/>
      <c r="E36" s="1061"/>
    </row>
    <row r="37" spans="1:6" ht="14.25" customHeight="1" x14ac:dyDescent="0.2">
      <c r="A37" s="306" t="s">
        <v>1466</v>
      </c>
      <c r="B37" s="306"/>
      <c r="C37" s="1527"/>
      <c r="D37" s="1525"/>
      <c r="E37" s="1061"/>
    </row>
    <row r="38" spans="1:6" ht="14.25" customHeight="1" x14ac:dyDescent="0.2">
      <c r="A38" s="306"/>
      <c r="B38" s="306" t="s">
        <v>1417</v>
      </c>
      <c r="C38" s="1067"/>
      <c r="D38" s="1525"/>
      <c r="E38" s="1061"/>
    </row>
    <row r="39" spans="1:6" ht="14.25" customHeight="1" x14ac:dyDescent="0.2">
      <c r="A39" s="306"/>
      <c r="B39" s="306" t="s">
        <v>1418</v>
      </c>
      <c r="C39" s="1067"/>
      <c r="D39" s="1525"/>
      <c r="E39" s="1061"/>
    </row>
    <row r="40" spans="1:6" ht="14.25" customHeight="1" x14ac:dyDescent="0.2">
      <c r="A40" s="306"/>
      <c r="B40" s="306" t="s">
        <v>1419</v>
      </c>
      <c r="C40" s="1067"/>
      <c r="D40" s="1525"/>
      <c r="E40" s="1061"/>
    </row>
    <row r="41" spans="1:6" ht="14.25" customHeight="1" x14ac:dyDescent="0.2">
      <c r="A41" s="306"/>
      <c r="B41" s="306" t="s">
        <v>1420</v>
      </c>
      <c r="C41" s="1067"/>
      <c r="D41" s="1525"/>
      <c r="E41" s="1061"/>
    </row>
    <row r="42" spans="1:6" ht="14.25" customHeight="1" x14ac:dyDescent="0.2">
      <c r="A42" s="306" t="s">
        <v>1421</v>
      </c>
      <c r="B42" s="306"/>
      <c r="C42" s="1523"/>
      <c r="D42" s="1525"/>
      <c r="E42" s="1061"/>
    </row>
    <row r="43" spans="1:6" ht="14.25" customHeight="1" x14ac:dyDescent="0.2">
      <c r="A43" s="306" t="s">
        <v>1422</v>
      </c>
      <c r="B43" s="306"/>
      <c r="C43" s="1068"/>
      <c r="D43" s="1525"/>
      <c r="E43" s="1061"/>
    </row>
    <row r="44" spans="1:6" ht="14.25" customHeight="1" x14ac:dyDescent="0.2">
      <c r="A44" s="306"/>
      <c r="B44" s="306"/>
      <c r="C44" s="1527" t="s">
        <v>1423</v>
      </c>
      <c r="D44" s="1525"/>
      <c r="E44" s="1061"/>
    </row>
    <row r="45" spans="1:6" ht="13.5" customHeight="1" x14ac:dyDescent="0.2">
      <c r="B45" s="300"/>
      <c r="C45" s="1069"/>
      <c r="D45" s="1069"/>
    </row>
    <row r="46" spans="1:6" x14ac:dyDescent="0.2">
      <c r="A46" s="1070" t="s">
        <v>1709</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1" t="s">
        <v>1572</v>
      </c>
      <c r="C49" s="2581"/>
      <c r="D49" s="2581"/>
      <c r="E49" s="1167"/>
    </row>
    <row r="50" spans="1:5" s="1075" customFormat="1" ht="3.75" customHeight="1" x14ac:dyDescent="0.2">
      <c r="A50" s="1074"/>
      <c r="B50" s="1474"/>
      <c r="C50" s="1474"/>
      <c r="D50" s="1474"/>
      <c r="E50" s="1167"/>
    </row>
    <row r="51" spans="1:5" s="1075" customFormat="1" ht="20.25" customHeight="1" x14ac:dyDescent="0.2">
      <c r="A51" s="1076">
        <v>6</v>
      </c>
      <c r="B51" s="2577" t="s">
        <v>1533</v>
      </c>
      <c r="C51" s="2577"/>
      <c r="D51" s="2577"/>
    </row>
    <row r="52" spans="1:5" ht="14.25" customHeight="1" x14ac:dyDescent="0.2">
      <c r="A52" s="1076"/>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I42" sqref="I42:O4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1157</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t="s">
        <v>2076</v>
      </c>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8" t="s">
        <v>1615</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309</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2050</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2050</v>
      </c>
      <c r="C53" s="174">
        <v>22</v>
      </c>
      <c r="D53" s="242" t="s">
        <v>1444</v>
      </c>
      <c r="E53" s="243"/>
      <c r="F53" s="244"/>
      <c r="G53" s="244" t="s">
        <v>1443</v>
      </c>
      <c r="H53" s="245">
        <v>36161</v>
      </c>
      <c r="I53" s="232" t="s">
        <v>1465</v>
      </c>
    </row>
    <row r="54" spans="1:10" s="176" customFormat="1" x14ac:dyDescent="0.2">
      <c r="A54" s="214"/>
      <c r="B54" s="215" t="s">
        <v>2050</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2061</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1311</v>
      </c>
      <c r="B70" s="2171"/>
      <c r="C70" s="2171"/>
      <c r="D70" s="2171"/>
      <c r="E70" s="2172"/>
      <c r="F70" s="2172"/>
      <c r="G70" s="2172"/>
      <c r="H70" s="2172"/>
      <c r="I70" s="217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1308</v>
      </c>
      <c r="B83" s="2173"/>
      <c r="C83" s="2173"/>
      <c r="D83" s="2174"/>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4" t="s">
        <v>1988</v>
      </c>
      <c r="B85" s="2184"/>
      <c r="C85" s="2184"/>
      <c r="D85" s="2185"/>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1309</v>
      </c>
      <c r="B87" s="271"/>
      <c r="C87" s="272"/>
      <c r="D87" s="269"/>
      <c r="E87" s="264"/>
      <c r="F87" s="264"/>
      <c r="G87" s="264"/>
      <c r="H87" s="264"/>
      <c r="I87" s="265"/>
      <c r="J87" s="1727"/>
    </row>
    <row r="88" spans="1:10" s="176" customFormat="1" ht="13.5" customHeight="1" x14ac:dyDescent="0.2">
      <c r="A88" s="2186" t="s">
        <v>1988</v>
      </c>
      <c r="B88" s="2187"/>
      <c r="C88" s="2187"/>
      <c r="D88" s="2188"/>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1318</v>
      </c>
      <c r="D117" s="2166"/>
      <c r="E117" s="2167"/>
      <c r="F117" s="2167"/>
      <c r="G117" s="2167"/>
      <c r="H117" s="216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Central City SD 133</v>
      </c>
      <c r="C1" s="2587"/>
      <c r="D1" s="2587"/>
      <c r="E1" s="2587"/>
      <c r="F1" s="2587"/>
      <c r="G1" s="2587"/>
      <c r="H1" s="2587"/>
      <c r="I1" s="2587"/>
      <c r="J1" s="1177"/>
    </row>
    <row r="2" spans="2:10" s="295" customFormat="1" ht="12.75" customHeight="1" x14ac:dyDescent="0.2">
      <c r="B2" s="2588">
        <f>'Single Audit Cover'!E7</f>
        <v>13058133002</v>
      </c>
      <c r="C2" s="2589"/>
      <c r="D2" s="2589"/>
      <c r="E2" s="2589"/>
      <c r="F2" s="2589"/>
      <c r="G2" s="2589"/>
      <c r="H2" s="2589"/>
      <c r="I2" s="2589"/>
      <c r="J2" s="1177"/>
    </row>
    <row r="3" spans="2:10" s="295" customFormat="1" ht="12.75" customHeight="1" x14ac:dyDescent="0.2">
      <c r="B3" s="2590" t="s">
        <v>1273</v>
      </c>
      <c r="C3" s="2591"/>
      <c r="D3" s="2591"/>
      <c r="E3" s="2591"/>
      <c r="F3" s="2591"/>
      <c r="G3" s="2591"/>
      <c r="H3" s="2591"/>
      <c r="I3" s="2591"/>
      <c r="J3" s="1178"/>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0" t="s">
        <v>1272</v>
      </c>
      <c r="C7" s="2591"/>
      <c r="D7" s="2591"/>
      <c r="E7" s="2591"/>
      <c r="F7" s="2591"/>
      <c r="G7" s="2591"/>
      <c r="H7" s="2591"/>
      <c r="I7" s="2591"/>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92"/>
      <c r="D11" s="2592"/>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93"/>
      <c r="E29" s="2593"/>
      <c r="F29" s="2593"/>
      <c r="G29" s="2593"/>
      <c r="H29" s="2593"/>
      <c r="I29" s="2593"/>
    </row>
    <row r="30" spans="2:9" s="295" customFormat="1" x14ac:dyDescent="0.2">
      <c r="B30" s="1137"/>
      <c r="C30" s="300"/>
      <c r="D30" s="1188" t="s">
        <v>1724</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c r="H33" s="1075" t="s">
        <v>99</v>
      </c>
    </row>
    <row r="35" spans="2:9" x14ac:dyDescent="0.2">
      <c r="B35" s="1196" t="s">
        <v>1725</v>
      </c>
      <c r="C35" s="1197"/>
      <c r="D35" s="1042"/>
    </row>
    <row r="36" spans="2:9" ht="6" customHeight="1" x14ac:dyDescent="0.2">
      <c r="B36" s="1196"/>
      <c r="C36" s="1197"/>
      <c r="D36" s="1042"/>
    </row>
    <row r="37" spans="2:9" ht="17.25" customHeight="1" x14ac:dyDescent="0.2">
      <c r="B37" s="1198" t="s">
        <v>1726</v>
      </c>
      <c r="C37" s="2594" t="s">
        <v>1727</v>
      </c>
      <c r="D37" s="2595"/>
      <c r="E37" s="2595"/>
      <c r="F37" s="2596"/>
      <c r="G37" s="2594" t="s">
        <v>1574</v>
      </c>
      <c r="H37" s="2595"/>
      <c r="I37" s="2596"/>
    </row>
    <row r="38" spans="2:9" ht="16.5" customHeight="1" x14ac:dyDescent="0.2">
      <c r="B38" s="1199"/>
      <c r="C38" s="2582"/>
      <c r="D38" s="2583"/>
      <c r="E38" s="2583"/>
      <c r="F38" s="2584"/>
      <c r="G38" s="2597"/>
      <c r="H38" s="2598"/>
      <c r="I38" s="2599"/>
    </row>
    <row r="39" spans="2:9" ht="16.5" customHeight="1" x14ac:dyDescent="0.2">
      <c r="B39" s="1199"/>
      <c r="C39" s="2582"/>
      <c r="D39" s="2583"/>
      <c r="E39" s="2583"/>
      <c r="F39" s="2584"/>
      <c r="G39" s="2585"/>
      <c r="H39" s="2585"/>
      <c r="I39" s="2585"/>
    </row>
    <row r="40" spans="2:9" ht="16.5" customHeight="1" x14ac:dyDescent="0.2">
      <c r="B40" s="1199"/>
      <c r="C40" s="2582"/>
      <c r="D40" s="2583"/>
      <c r="E40" s="2583"/>
      <c r="F40" s="2584"/>
      <c r="G40" s="2585"/>
      <c r="H40" s="2585"/>
      <c r="I40" s="2585"/>
    </row>
    <row r="41" spans="2:9" ht="16.5" customHeight="1" x14ac:dyDescent="0.2">
      <c r="B41" s="1199"/>
      <c r="C41" s="2582"/>
      <c r="D41" s="2583"/>
      <c r="E41" s="2583"/>
      <c r="F41" s="2584"/>
      <c r="G41" s="2585"/>
      <c r="H41" s="2585"/>
      <c r="I41" s="2585"/>
    </row>
    <row r="42" spans="2:9" ht="16.5" customHeight="1" x14ac:dyDescent="0.2">
      <c r="B42" s="1199"/>
      <c r="C42" s="2582"/>
      <c r="D42" s="2583"/>
      <c r="E42" s="2583"/>
      <c r="F42" s="2584"/>
      <c r="G42" s="2585"/>
      <c r="H42" s="2585"/>
      <c r="I42" s="2585"/>
    </row>
    <row r="43" spans="2:9" ht="16.5" customHeight="1" x14ac:dyDescent="0.2">
      <c r="B43" s="1199"/>
      <c r="C43" s="2600" t="s">
        <v>1575</v>
      </c>
      <c r="D43" s="2601"/>
      <c r="E43" s="2601"/>
      <c r="F43" s="2602"/>
      <c r="G43" s="2603">
        <f>SUM(G38:I42)</f>
        <v>0</v>
      </c>
      <c r="H43" s="2603"/>
      <c r="I43" s="2603"/>
    </row>
    <row r="44" spans="2:9" ht="12.75" customHeight="1" x14ac:dyDescent="0.2"/>
    <row r="45" spans="2:9" ht="12.75" customHeight="1" x14ac:dyDescent="0.2">
      <c r="B45" s="1915" t="str">
        <f>"Total Federal Expenditures for 7/1/"&amp;MID('AFR20'!E2,3,2)-1&amp;"-6/30/"&amp;MID('AFR20'!E2,3,2)</f>
        <v>Total Federal Expenditures for 7/1/19-6/30/20</v>
      </c>
      <c r="C45" s="1916"/>
      <c r="D45" s="2604">
        <v>0</v>
      </c>
      <c r="E45" s="2605"/>
    </row>
    <row r="46" spans="2:9" ht="5.25" customHeight="1" x14ac:dyDescent="0.2">
      <c r="B46" s="1200"/>
      <c r="D46" s="1201"/>
      <c r="E46" s="1202"/>
    </row>
    <row r="47" spans="2:9" ht="12.75" customHeight="1" x14ac:dyDescent="0.2">
      <c r="B47" s="1075" t="s">
        <v>1576</v>
      </c>
      <c r="C47" s="1075"/>
      <c r="D47" s="1203" t="e">
        <f>+G43/D45</f>
        <v>#DIV/0!</v>
      </c>
      <c r="E47" s="1204"/>
      <c r="F47" s="1205"/>
      <c r="I47" s="1206"/>
    </row>
    <row r="48" spans="2:9" ht="9.9499999999999993" customHeight="1" x14ac:dyDescent="0.2"/>
    <row r="49" spans="1:9" x14ac:dyDescent="0.2">
      <c r="B49" s="1137" t="s">
        <v>1261</v>
      </c>
      <c r="C49" s="1057"/>
      <c r="D49" s="1057"/>
      <c r="E49" s="2606"/>
      <c r="F49" s="2606"/>
      <c r="G49" s="2606"/>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1728</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1729</v>
      </c>
      <c r="C58" s="1219"/>
      <c r="D58" s="1219"/>
    </row>
    <row r="59" spans="1:9" s="1216" customFormat="1" ht="3.95" customHeight="1" x14ac:dyDescent="0.2">
      <c r="A59" s="1213"/>
      <c r="B59" s="1218"/>
      <c r="C59" s="1219"/>
      <c r="D59" s="1219"/>
    </row>
    <row r="60" spans="1:9" s="1216" customFormat="1" ht="13.5" customHeight="1" x14ac:dyDescent="0.2">
      <c r="A60" s="1213"/>
      <c r="B60" s="1218" t="s">
        <v>1730</v>
      </c>
      <c r="C60" s="1219"/>
      <c r="D60" s="1219"/>
    </row>
    <row r="61" spans="1:9" s="1216" customFormat="1" ht="3.95" customHeight="1" x14ac:dyDescent="0.2">
      <c r="A61" s="1213"/>
      <c r="B61" s="1218"/>
      <c r="C61" s="1219"/>
      <c r="D61" s="1219"/>
    </row>
    <row r="62" spans="1:9" s="1216" customFormat="1" ht="12.75" customHeight="1" x14ac:dyDescent="0.2">
      <c r="A62" s="1213"/>
      <c r="B62" s="1218" t="s">
        <v>1731</v>
      </c>
      <c r="C62" s="1219"/>
      <c r="D62" s="1219"/>
    </row>
    <row r="63" spans="1:9" s="1216" customFormat="1" ht="13.5" customHeight="1" x14ac:dyDescent="0.2">
      <c r="A63" s="1213"/>
      <c r="B63" s="1217" t="s">
        <v>1579</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I42" sqref="I42:O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City SD 133</v>
      </c>
      <c r="C1" s="2586"/>
      <c r="D1" s="2586"/>
      <c r="E1" s="2586"/>
      <c r="F1" s="2586"/>
      <c r="G1" s="2586"/>
      <c r="H1" s="2586"/>
      <c r="I1" s="2586"/>
      <c r="J1" s="2586"/>
      <c r="K1" s="2586"/>
      <c r="L1" s="1143"/>
      <c r="M1" s="1143"/>
    </row>
    <row r="2" spans="1:13" ht="12" customHeight="1" x14ac:dyDescent="0.2">
      <c r="B2" s="2588">
        <f>'Single Audit Cover'!E7</f>
        <v>13058133002</v>
      </c>
      <c r="C2" s="2588"/>
      <c r="D2" s="2588"/>
      <c r="E2" s="2588"/>
      <c r="F2" s="2588"/>
      <c r="G2" s="2588"/>
      <c r="H2" s="2588"/>
      <c r="I2" s="2588"/>
      <c r="J2" s="2588"/>
      <c r="K2" s="2588"/>
      <c r="L2" s="1144"/>
      <c r="M2" s="1145"/>
    </row>
    <row r="3" spans="1:13" ht="10.35" customHeight="1" x14ac:dyDescent="0.2">
      <c r="B3" s="2609" t="s">
        <v>1273</v>
      </c>
      <c r="C3" s="2609"/>
      <c r="D3" s="2609"/>
      <c r="E3" s="2609"/>
      <c r="F3" s="2609"/>
      <c r="G3" s="2609"/>
      <c r="H3" s="2609"/>
      <c r="I3" s="2609"/>
      <c r="J3" s="2609"/>
      <c r="K3" s="2609"/>
      <c r="L3" s="1146"/>
      <c r="M3" s="114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1284</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1</v>
      </c>
      <c r="E10" s="300"/>
      <c r="F10" s="1155" t="s">
        <v>1283</v>
      </c>
      <c r="G10" s="1156"/>
      <c r="H10" s="1157" t="s">
        <v>1282</v>
      </c>
      <c r="I10" s="1156" t="s">
        <v>2050</v>
      </c>
      <c r="J10" s="1158" t="s">
        <v>1281</v>
      </c>
      <c r="K10" s="300"/>
      <c r="L10" s="1150"/>
    </row>
    <row r="11" spans="1:13" ht="13.5" customHeight="1" x14ac:dyDescent="0.2">
      <c r="B11" s="300"/>
      <c r="C11" s="300"/>
      <c r="D11" s="300"/>
      <c r="E11" s="300"/>
      <c r="F11" s="300"/>
      <c r="G11" s="1152"/>
      <c r="H11" s="300"/>
      <c r="I11" s="1159" t="s">
        <v>1280</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8" t="s">
        <v>2062</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67.5" customHeight="1" x14ac:dyDescent="0.2">
      <c r="B17" s="2608" t="s">
        <v>2063</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12" t="s">
        <v>2064</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8" t="s">
        <v>2065</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8" t="s">
        <v>2066</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7" t="s">
        <v>2067</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54" customHeight="1" x14ac:dyDescent="0.2">
      <c r="B32" s="2607" t="s">
        <v>2068</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6" zoomScale="110" zoomScaleNormal="110" workbookViewId="0">
      <selection activeCell="I42" sqref="I42:O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City SD 133</v>
      </c>
      <c r="C1" s="2586"/>
      <c r="D1" s="2586"/>
      <c r="E1" s="2586"/>
      <c r="F1" s="2586"/>
      <c r="G1" s="2586"/>
      <c r="H1" s="2586"/>
      <c r="I1" s="2586"/>
      <c r="J1" s="2586"/>
      <c r="K1" s="2586"/>
      <c r="L1" s="1143"/>
      <c r="M1" s="1143"/>
    </row>
    <row r="2" spans="1:13" ht="12" customHeight="1" x14ac:dyDescent="0.2">
      <c r="B2" s="2588">
        <f>'Single Audit Cover'!E7</f>
        <v>13058133002</v>
      </c>
      <c r="C2" s="2588"/>
      <c r="D2" s="2588"/>
      <c r="E2" s="2588"/>
      <c r="F2" s="2588"/>
      <c r="G2" s="2588"/>
      <c r="H2" s="2588"/>
      <c r="I2" s="2588"/>
      <c r="J2" s="2588"/>
      <c r="K2" s="2588"/>
      <c r="L2" s="1144"/>
      <c r="M2" s="1145"/>
    </row>
    <row r="3" spans="1:13" ht="10.35" customHeight="1" x14ac:dyDescent="0.2">
      <c r="B3" s="2609" t="s">
        <v>1273</v>
      </c>
      <c r="C3" s="2609"/>
      <c r="D3" s="2609"/>
      <c r="E3" s="2609"/>
      <c r="F3" s="2609"/>
      <c r="G3" s="2609"/>
      <c r="H3" s="2609"/>
      <c r="I3" s="2609"/>
      <c r="J3" s="2609"/>
      <c r="K3" s="2609"/>
      <c r="L3" s="2033"/>
      <c r="M3" s="2033"/>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1284</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2002</v>
      </c>
      <c r="E10" s="300"/>
      <c r="F10" s="1155" t="s">
        <v>1283</v>
      </c>
      <c r="G10" s="1156" t="s">
        <v>2050</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8" t="s">
        <v>2102</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8" t="s">
        <v>2105</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24" customHeight="1" x14ac:dyDescent="0.2">
      <c r="B20" s="2612" t="s">
        <v>2103</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8" t="s">
        <v>2117</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8" t="s">
        <v>2104</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54" customHeight="1" x14ac:dyDescent="0.2">
      <c r="B29" s="2607" t="s">
        <v>2106</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93" customHeight="1" x14ac:dyDescent="0.2">
      <c r="B32" s="2607" t="s">
        <v>2123</v>
      </c>
      <c r="C32" s="2607"/>
      <c r="D32" s="2608"/>
      <c r="E32" s="2608"/>
      <c r="F32" s="2608"/>
      <c r="G32" s="2608"/>
      <c r="H32" s="2608"/>
      <c r="I32" s="2608"/>
      <c r="J32" s="2608"/>
      <c r="K32" s="2608"/>
      <c r="L32" s="1150"/>
    </row>
    <row r="33" spans="1:13" s="300" customFormat="1" ht="0.75" hidden="1"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9" zoomScale="110" zoomScaleNormal="110" workbookViewId="0">
      <selection activeCell="I42" sqref="I42:O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City SD 133</v>
      </c>
      <c r="C1" s="2586"/>
      <c r="D1" s="2586"/>
      <c r="E1" s="2586"/>
      <c r="F1" s="2586"/>
      <c r="G1" s="2586"/>
      <c r="H1" s="2586"/>
      <c r="I1" s="2586"/>
      <c r="J1" s="2586"/>
      <c r="K1" s="2586"/>
      <c r="L1" s="1143"/>
      <c r="M1" s="1143"/>
    </row>
    <row r="2" spans="1:13" ht="12" customHeight="1" x14ac:dyDescent="0.2">
      <c r="B2" s="2588">
        <f>'Single Audit Cover'!E7</f>
        <v>13058133002</v>
      </c>
      <c r="C2" s="2588"/>
      <c r="D2" s="2588"/>
      <c r="E2" s="2588"/>
      <c r="F2" s="2588"/>
      <c r="G2" s="2588"/>
      <c r="H2" s="2588"/>
      <c r="I2" s="2588"/>
      <c r="J2" s="2588"/>
      <c r="K2" s="2588"/>
      <c r="L2" s="1144"/>
      <c r="M2" s="1145"/>
    </row>
    <row r="3" spans="1:13" ht="10.35" customHeight="1" x14ac:dyDescent="0.2">
      <c r="B3" s="2609" t="s">
        <v>1273</v>
      </c>
      <c r="C3" s="2609"/>
      <c r="D3" s="2609"/>
      <c r="E3" s="2609"/>
      <c r="F3" s="2609"/>
      <c r="G3" s="2609"/>
      <c r="H3" s="2609"/>
      <c r="I3" s="2609"/>
      <c r="J3" s="2609"/>
      <c r="K3" s="2609"/>
      <c r="L3" s="2036"/>
      <c r="M3" s="203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1284</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3</v>
      </c>
      <c r="E10" s="300"/>
      <c r="F10" s="1155" t="s">
        <v>1283</v>
      </c>
      <c r="G10" s="1156" t="s">
        <v>2050</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23.25" customHeight="1" x14ac:dyDescent="0.2">
      <c r="B14" s="2608" t="s">
        <v>2118</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72.75" customHeight="1" x14ac:dyDescent="0.2">
      <c r="B17" s="2608" t="s">
        <v>2121</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24.75" customHeight="1" x14ac:dyDescent="0.2">
      <c r="B20" s="2612" t="s">
        <v>2103</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8" t="s">
        <v>2122</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34.5" customHeight="1" x14ac:dyDescent="0.2">
      <c r="B26" s="2608" t="s">
        <v>2107</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55.5" customHeight="1" x14ac:dyDescent="0.2">
      <c r="B29" s="2607" t="s">
        <v>2108</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93" customHeight="1" x14ac:dyDescent="0.2">
      <c r="B32" s="2607" t="s">
        <v>2123</v>
      </c>
      <c r="C32" s="2607"/>
      <c r="D32" s="2608"/>
      <c r="E32" s="2608"/>
      <c r="F32" s="2608"/>
      <c r="G32" s="2608"/>
      <c r="H32" s="2608"/>
      <c r="I32" s="2608"/>
      <c r="J32" s="2608"/>
      <c r="K32" s="2608"/>
      <c r="L32" s="1150"/>
    </row>
    <row r="33" spans="1:13" s="300" customFormat="1" ht="4.5" hidden="1"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22" zoomScale="110" zoomScaleNormal="110" workbookViewId="0">
      <selection activeCell="I42" sqref="I42:O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City SD 133</v>
      </c>
      <c r="C1" s="2586"/>
      <c r="D1" s="2586"/>
      <c r="E1" s="2586"/>
      <c r="F1" s="2586"/>
      <c r="G1" s="2586"/>
      <c r="H1" s="2586"/>
      <c r="I1" s="2586"/>
      <c r="J1" s="2586"/>
      <c r="K1" s="2586"/>
      <c r="L1" s="1143"/>
      <c r="M1" s="1143"/>
    </row>
    <row r="2" spans="1:13" ht="12" customHeight="1" x14ac:dyDescent="0.2">
      <c r="B2" s="2588">
        <f>'Single Audit Cover'!E7</f>
        <v>13058133002</v>
      </c>
      <c r="C2" s="2588"/>
      <c r="D2" s="2588"/>
      <c r="E2" s="2588"/>
      <c r="F2" s="2588"/>
      <c r="G2" s="2588"/>
      <c r="H2" s="2588"/>
      <c r="I2" s="2588"/>
      <c r="J2" s="2588"/>
      <c r="K2" s="2588"/>
      <c r="L2" s="1144"/>
      <c r="M2" s="1145"/>
    </row>
    <row r="3" spans="1:13" ht="10.35" customHeight="1" x14ac:dyDescent="0.2">
      <c r="B3" s="2609" t="s">
        <v>1273</v>
      </c>
      <c r="C3" s="2609"/>
      <c r="D3" s="2609"/>
      <c r="E3" s="2609"/>
      <c r="F3" s="2609"/>
      <c r="G3" s="2609"/>
      <c r="H3" s="2609"/>
      <c r="I3" s="2609"/>
      <c r="J3" s="2609"/>
      <c r="K3" s="2609"/>
      <c r="L3" s="2036"/>
      <c r="M3" s="203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1284</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v>4</v>
      </c>
      <c r="E10" s="300"/>
      <c r="F10" s="1155" t="s">
        <v>1283</v>
      </c>
      <c r="G10" s="1156" t="s">
        <v>2050</v>
      </c>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8" t="s">
        <v>2109</v>
      </c>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8" t="s">
        <v>2110</v>
      </c>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12" t="s">
        <v>2113</v>
      </c>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8" t="s">
        <v>2119</v>
      </c>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8" t="s">
        <v>2111</v>
      </c>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7" t="s">
        <v>2120</v>
      </c>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607" t="s">
        <v>2112</v>
      </c>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Roman,Regular"A-9</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Central City SD 133</v>
      </c>
      <c r="C1" s="2586"/>
      <c r="D1" s="2586"/>
      <c r="E1" s="2586"/>
      <c r="F1" s="2586"/>
      <c r="G1" s="2586"/>
      <c r="H1" s="2586"/>
      <c r="I1" s="2586"/>
      <c r="J1" s="2586"/>
      <c r="K1" s="2586"/>
      <c r="L1" s="1143"/>
      <c r="M1" s="1143"/>
    </row>
    <row r="2" spans="1:13" ht="12" customHeight="1" x14ac:dyDescent="0.2">
      <c r="B2" s="2588">
        <f>'Single Audit Cover'!E7</f>
        <v>13058133002</v>
      </c>
      <c r="C2" s="2588"/>
      <c r="D2" s="2588"/>
      <c r="E2" s="2588"/>
      <c r="F2" s="2588"/>
      <c r="G2" s="2588"/>
      <c r="H2" s="2588"/>
      <c r="I2" s="2588"/>
      <c r="J2" s="2588"/>
      <c r="K2" s="2588"/>
      <c r="L2" s="1144"/>
      <c r="M2" s="1145"/>
    </row>
    <row r="3" spans="1:13" ht="10.35" customHeight="1" x14ac:dyDescent="0.2">
      <c r="B3" s="2609" t="s">
        <v>1273</v>
      </c>
      <c r="C3" s="2609"/>
      <c r="D3" s="2609"/>
      <c r="E3" s="2609"/>
      <c r="F3" s="2609"/>
      <c r="G3" s="2609"/>
      <c r="H3" s="2609"/>
      <c r="I3" s="2609"/>
      <c r="J3" s="2609"/>
      <c r="K3" s="2609"/>
      <c r="L3" s="2036"/>
      <c r="M3" s="2036"/>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0" t="s">
        <v>1284</v>
      </c>
      <c r="C7" s="2610"/>
      <c r="D7" s="2611"/>
      <c r="E7" s="2611"/>
      <c r="F7" s="2611"/>
      <c r="G7" s="2611"/>
      <c r="H7" s="2611"/>
      <c r="I7" s="2611"/>
      <c r="J7" s="2611"/>
      <c r="K7" s="2611"/>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17"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608"/>
      <c r="C14" s="2608"/>
      <c r="D14" s="2608"/>
      <c r="E14" s="2608"/>
      <c r="F14" s="2608"/>
      <c r="G14" s="2608"/>
      <c r="H14" s="2608"/>
      <c r="I14" s="2608"/>
      <c r="J14" s="2608"/>
      <c r="K14" s="2608"/>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608"/>
      <c r="C17" s="2608"/>
      <c r="D17" s="2608"/>
      <c r="E17" s="2608"/>
      <c r="F17" s="2608"/>
      <c r="G17" s="2608"/>
      <c r="H17" s="2608"/>
      <c r="I17" s="2608"/>
      <c r="J17" s="2608"/>
      <c r="K17" s="2608"/>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612"/>
      <c r="C20" s="2612"/>
      <c r="D20" s="2608"/>
      <c r="E20" s="2608"/>
      <c r="F20" s="2608"/>
      <c r="G20" s="2608"/>
      <c r="H20" s="2608"/>
      <c r="I20" s="2608"/>
      <c r="J20" s="2608"/>
      <c r="K20" s="2608"/>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608"/>
      <c r="C23" s="2608"/>
      <c r="D23" s="2608"/>
      <c r="E23" s="2608"/>
      <c r="F23" s="2608"/>
      <c r="G23" s="2608"/>
      <c r="H23" s="2608"/>
      <c r="I23" s="2608"/>
      <c r="J23" s="2608"/>
      <c r="K23" s="2608"/>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608"/>
      <c r="C26" s="2608"/>
      <c r="D26" s="2608"/>
      <c r="E26" s="2608"/>
      <c r="F26" s="2608"/>
      <c r="G26" s="2608"/>
      <c r="H26" s="2608"/>
      <c r="I26" s="2608"/>
      <c r="J26" s="2608"/>
      <c r="K26" s="2608"/>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607"/>
      <c r="C29" s="2607"/>
      <c r="D29" s="2608"/>
      <c r="E29" s="2608"/>
      <c r="F29" s="2608"/>
      <c r="G29" s="2608"/>
      <c r="H29" s="2608"/>
      <c r="I29" s="2608"/>
      <c r="J29" s="2608"/>
      <c r="K29" s="2608"/>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607"/>
      <c r="C32" s="2607"/>
      <c r="D32" s="2608"/>
      <c r="E32" s="2608"/>
      <c r="F32" s="2608"/>
      <c r="G32" s="2608"/>
      <c r="H32" s="2608"/>
      <c r="I32" s="2608"/>
      <c r="J32" s="2608"/>
      <c r="K32" s="2608"/>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Roman,Regular"A-7</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Central City SD 133</v>
      </c>
      <c r="C1" s="2613"/>
      <c r="D1" s="2613"/>
      <c r="E1" s="2613"/>
      <c r="F1" s="2613"/>
      <c r="G1" s="2613"/>
      <c r="H1" s="2613"/>
      <c r="I1" s="2613"/>
      <c r="J1" s="2613"/>
      <c r="K1" s="2613"/>
      <c r="L1" s="1220"/>
    </row>
    <row r="2" spans="1:12" ht="12.75" customHeight="1" x14ac:dyDescent="0.2">
      <c r="B2" s="2614">
        <f>'Single Audit Cover'!E7</f>
        <v>13058133002</v>
      </c>
      <c r="C2" s="2614"/>
      <c r="D2" s="2614"/>
      <c r="E2" s="2614"/>
      <c r="F2" s="2614"/>
      <c r="G2" s="2614"/>
      <c r="H2" s="2614"/>
      <c r="I2" s="2614"/>
      <c r="J2" s="2614"/>
      <c r="K2" s="2614"/>
      <c r="L2" s="1221"/>
    </row>
    <row r="3" spans="1:12" ht="12.75" customHeight="1" x14ac:dyDescent="0.2">
      <c r="B3" s="2609" t="s">
        <v>1273</v>
      </c>
      <c r="C3" s="2609"/>
      <c r="D3" s="2609"/>
      <c r="E3" s="2609"/>
      <c r="F3" s="2609"/>
      <c r="G3" s="2609"/>
      <c r="H3" s="2609"/>
      <c r="I3" s="2609"/>
      <c r="J3" s="2609"/>
      <c r="K3" s="2609"/>
      <c r="L3" s="1146"/>
    </row>
    <row r="4" spans="1:12" ht="12.75" customHeight="1" x14ac:dyDescent="0.2">
      <c r="B4" s="2609" t="str">
        <f>'Single Audit Cover'!A4</f>
        <v>Year Ending June 30, 2020</v>
      </c>
      <c r="C4" s="2609"/>
      <c r="D4" s="2609"/>
      <c r="E4" s="2609"/>
      <c r="F4" s="2609"/>
      <c r="G4" s="2609"/>
      <c r="H4" s="2609"/>
      <c r="I4" s="2609"/>
      <c r="J4" s="2609"/>
      <c r="K4" s="2609"/>
      <c r="L4" s="1146"/>
    </row>
    <row r="5" spans="1:12" ht="5.25" customHeight="1" x14ac:dyDescent="0.2">
      <c r="B5" s="1035" t="s">
        <v>1158</v>
      </c>
      <c r="C5" s="1035"/>
      <c r="L5" s="300"/>
    </row>
    <row r="6" spans="1:12" ht="30.75" customHeight="1" x14ac:dyDescent="0.2">
      <c r="A6" s="300"/>
      <c r="B6" s="2615" t="s">
        <v>1296</v>
      </c>
      <c r="C6" s="2615"/>
      <c r="D6" s="2615"/>
      <c r="E6" s="2615"/>
      <c r="F6" s="2615"/>
      <c r="G6" s="2615"/>
      <c r="H6" s="2615"/>
      <c r="I6" s="2615"/>
      <c r="J6" s="2615"/>
      <c r="K6" s="2615"/>
      <c r="L6" s="300"/>
    </row>
    <row r="7" spans="1:12" ht="4.5" customHeight="1" x14ac:dyDescent="0.2">
      <c r="B7" s="1148"/>
      <c r="C7" s="1148"/>
      <c r="D7" s="1148"/>
      <c r="E7" s="1148"/>
      <c r="F7" s="1148"/>
      <c r="G7" s="1149"/>
      <c r="H7" s="1148"/>
      <c r="I7" s="1149"/>
      <c r="J7" s="1148"/>
      <c r="K7" s="1148"/>
      <c r="L7" s="300"/>
    </row>
    <row r="8" spans="1:12" ht="13.5" customHeight="1" x14ac:dyDescent="0.2">
      <c r="B8" s="1155" t="s">
        <v>1732</v>
      </c>
      <c r="C8" s="1917"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93"/>
      <c r="G12" s="2593"/>
      <c r="H12" s="2593"/>
      <c r="I12" s="2593"/>
      <c r="J12" s="2593"/>
      <c r="K12" s="2593"/>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616"/>
      <c r="E14" s="2616"/>
      <c r="F14" s="2616"/>
      <c r="H14" s="1229" t="s">
        <v>1291</v>
      </c>
      <c r="I14" s="2617"/>
      <c r="J14" s="2617"/>
      <c r="K14" s="261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617"/>
      <c r="E16" s="2617"/>
      <c r="F16" s="2617"/>
      <c r="G16" s="2617"/>
      <c r="H16" s="2617"/>
      <c r="I16" s="2617"/>
      <c r="J16" s="2617"/>
      <c r="K16" s="2617"/>
      <c r="L16" s="300"/>
    </row>
    <row r="17" spans="2:12" ht="13.5" customHeight="1" x14ac:dyDescent="0.2">
      <c r="B17" s="1155" t="s">
        <v>1289</v>
      </c>
      <c r="C17" s="1155"/>
      <c r="D17" s="2618"/>
      <c r="E17" s="2618"/>
      <c r="F17" s="2618"/>
      <c r="G17" s="2618"/>
      <c r="H17" s="2618"/>
      <c r="I17" s="2618"/>
      <c r="J17" s="2618"/>
      <c r="K17" s="261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608"/>
      <c r="C20" s="2608"/>
      <c r="D20" s="2608"/>
      <c r="E20" s="2608"/>
      <c r="F20" s="2608"/>
      <c r="G20" s="2608"/>
      <c r="H20" s="2608"/>
      <c r="I20" s="2608"/>
      <c r="J20" s="2608"/>
      <c r="K20" s="2608"/>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1733</v>
      </c>
      <c r="C22" s="1231"/>
      <c r="D22" s="300"/>
      <c r="E22" s="300"/>
      <c r="F22" s="300"/>
      <c r="G22" s="1152"/>
      <c r="H22" s="300"/>
      <c r="I22" s="1152"/>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1734</v>
      </c>
      <c r="C25" s="1231"/>
      <c r="D25" s="300"/>
      <c r="E25" s="300"/>
      <c r="F25" s="300"/>
      <c r="G25" s="1152"/>
      <c r="H25" s="300"/>
      <c r="I25" s="1152"/>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1735</v>
      </c>
      <c r="C28" s="1231"/>
      <c r="D28" s="300"/>
      <c r="E28" s="300"/>
      <c r="F28" s="300"/>
      <c r="G28" s="1152"/>
      <c r="H28" s="300"/>
      <c r="I28" s="1152"/>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1736</v>
      </c>
      <c r="C40" s="1171"/>
      <c r="D40" s="1147"/>
      <c r="E40" s="1148"/>
      <c r="F40" s="1148"/>
      <c r="G40" s="1149"/>
      <c r="H40" s="1148"/>
      <c r="I40" s="1149"/>
      <c r="J40" s="1148"/>
      <c r="K40" s="1148"/>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1737</v>
      </c>
      <c r="C44" s="1174"/>
      <c r="D44" s="300"/>
      <c r="E44" s="300"/>
      <c r="F44" s="300"/>
    </row>
    <row r="45" spans="2:12" ht="10.5" customHeight="1" x14ac:dyDescent="0.2">
      <c r="B45" s="1175" t="s">
        <v>1738</v>
      </c>
      <c r="C45" s="1175"/>
      <c r="G45" s="295"/>
      <c r="I45" s="295"/>
    </row>
    <row r="46" spans="2:12" ht="11.1" customHeight="1" x14ac:dyDescent="0.2">
      <c r="B46" s="1175" t="s">
        <v>1739</v>
      </c>
      <c r="C46" s="1175"/>
      <c r="G46" s="295"/>
      <c r="I46" s="295"/>
    </row>
    <row r="47" spans="2:12" ht="11.1" customHeight="1" x14ac:dyDescent="0.2">
      <c r="B47" s="1175" t="s">
        <v>1740</v>
      </c>
      <c r="C47" s="1175"/>
      <c r="G47" s="295"/>
      <c r="I47" s="295"/>
    </row>
    <row r="48" spans="2:12" ht="11.1" customHeight="1" x14ac:dyDescent="0.2">
      <c r="B48" s="1175" t="s">
        <v>1741</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6" t="str">
        <f>'Single Audit Cover'!A7</f>
        <v xml:space="preserve">   Central City SD 133</v>
      </c>
      <c r="C1" s="2586"/>
      <c r="D1" s="2586"/>
      <c r="E1" s="1239"/>
    </row>
    <row r="2" spans="2:5" s="1057" customFormat="1" ht="12.75" customHeight="1" x14ac:dyDescent="0.2">
      <c r="B2" s="2588">
        <f>'Single Audit Cover'!E7</f>
        <v>13058133002</v>
      </c>
      <c r="C2" s="2588"/>
      <c r="D2" s="2588"/>
      <c r="E2" s="1240"/>
    </row>
    <row r="3" spans="2:5" ht="12.75" customHeight="1" x14ac:dyDescent="0.2">
      <c r="B3" s="2609" t="s">
        <v>1742</v>
      </c>
      <c r="C3" s="2609"/>
      <c r="D3" s="2609"/>
      <c r="E3" s="1049"/>
    </row>
    <row r="4" spans="2:5" s="1057" customFormat="1" ht="12.75" customHeight="1" x14ac:dyDescent="0.2">
      <c r="B4" s="2619" t="str">
        <f>'Single Audit Cover'!A4</f>
        <v>Year Ending June 30, 2020</v>
      </c>
      <c r="C4" s="2619"/>
      <c r="D4" s="2619"/>
      <c r="E4" s="1241"/>
    </row>
    <row r="5" spans="2:5" s="1057" customFormat="1" ht="40.15" customHeight="1" x14ac:dyDescent="0.2">
      <c r="B5" s="1242" t="s">
        <v>1743</v>
      </c>
      <c r="C5" s="306"/>
      <c r="D5" s="306"/>
      <c r="E5" s="306"/>
    </row>
    <row r="6" spans="2:5" s="1057" customFormat="1" ht="13.5" customHeight="1" x14ac:dyDescent="0.2">
      <c r="B6" s="1243" t="s">
        <v>1303</v>
      </c>
      <c r="C6" s="1243" t="s">
        <v>1302</v>
      </c>
      <c r="D6" s="1243" t="s">
        <v>1744</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1745</v>
      </c>
    </row>
    <row r="46" spans="2:5" ht="12.2" customHeight="1" x14ac:dyDescent="0.2">
      <c r="B46" s="1253" t="s">
        <v>1746</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I42" sqref="I42:O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382</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49">
        <v>19643000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1.0912399999999999E-2</v>
      </c>
      <c r="E10" s="333" t="s">
        <v>997</v>
      </c>
      <c r="F10" s="332">
        <v>1.5938E-3</v>
      </c>
      <c r="G10" s="333" t="s">
        <v>997</v>
      </c>
      <c r="H10" s="332">
        <v>1.0486E-3</v>
      </c>
      <c r="I10" s="333" t="s">
        <v>998</v>
      </c>
      <c r="J10" s="1423">
        <f>ROUND(D10+F10+H10,5)</f>
        <v>1.355E-2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2976094</v>
      </c>
      <c r="E16" s="1546"/>
      <c r="F16" s="1545">
        <f>SUM('Acct Summary 7-8'!C17,'Acct Summary 7-8'!D17,'Acct Summary 7-8'!F17)</f>
        <v>3226611</v>
      </c>
      <c r="G16" s="1546"/>
      <c r="H16" s="1545">
        <f>SUM(D16-F16)</f>
        <v>-250517</v>
      </c>
      <c r="I16" s="1547"/>
      <c r="J16" s="1545">
        <f>SUM('Acct Summary 7-8'!C81,'Acct Summary 7-8'!D81,'Acct Summary 7-8'!F81,'Acct Summary 7-8'!I81)</f>
        <v>858148</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2076</v>
      </c>
      <c r="C31" s="344" t="s">
        <v>581</v>
      </c>
      <c r="D31" s="232" t="s">
        <v>1062</v>
      </c>
      <c r="E31" s="217"/>
      <c r="F31" s="217"/>
      <c r="G31" s="340"/>
      <c r="H31" s="1424">
        <f>IF(B31="X",(J7*0.069),IF(B32="X",(J7*0.138),"Enter x in a.or b."))</f>
        <v>1355367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447796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I42" sqref="I42:O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551</v>
      </c>
      <c r="B2" s="2208"/>
      <c r="C2" s="2208"/>
      <c r="D2" s="2208"/>
      <c r="E2" s="2208"/>
      <c r="F2" s="2208"/>
      <c r="G2" s="2208"/>
      <c r="H2" s="2208"/>
      <c r="I2" s="2208"/>
      <c r="J2" s="2208"/>
      <c r="K2" s="2208"/>
      <c r="L2" s="2208"/>
      <c r="M2" s="2208"/>
      <c r="N2" s="2208"/>
      <c r="O2" s="2208"/>
      <c r="P2" s="2208"/>
      <c r="Q2" s="2208"/>
      <c r="R2" s="2208"/>
    </row>
    <row r="3" spans="1:18" ht="12.75" x14ac:dyDescent="0.2">
      <c r="A3" s="2209" t="s">
        <v>1395</v>
      </c>
      <c r="B3" s="2209"/>
      <c r="C3" s="2209"/>
      <c r="D3" s="2209"/>
      <c r="E3" s="2209"/>
      <c r="F3" s="2209"/>
      <c r="G3" s="2209"/>
      <c r="H3" s="2209"/>
      <c r="I3" s="2209"/>
      <c r="J3" s="2209"/>
      <c r="K3" s="2209"/>
      <c r="L3" s="2209"/>
      <c r="M3" s="2209"/>
      <c r="N3" s="2209"/>
      <c r="O3" s="2209"/>
      <c r="P3" s="2209"/>
      <c r="Q3" s="2209"/>
      <c r="R3" s="2209"/>
    </row>
    <row r="4" spans="1:18" x14ac:dyDescent="0.2">
      <c r="A4" s="2210" t="s">
        <v>1536</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Central City SD 133</v>
      </c>
      <c r="E7" s="368"/>
      <c r="G7" s="247"/>
      <c r="H7" s="364"/>
      <c r="I7" s="364"/>
      <c r="J7" s="364"/>
      <c r="K7" s="364"/>
      <c r="L7" s="307"/>
      <c r="M7" s="307"/>
      <c r="N7" s="307"/>
      <c r="O7" s="307"/>
      <c r="P7" s="307"/>
    </row>
    <row r="8" spans="1:18" ht="12.75" x14ac:dyDescent="0.2">
      <c r="A8" s="307"/>
      <c r="B8" s="307"/>
      <c r="C8" s="366" t="s">
        <v>1114</v>
      </c>
      <c r="D8" s="369">
        <f>COVER!A13</f>
        <v>13058133002</v>
      </c>
      <c r="E8" s="370"/>
      <c r="G8" s="307"/>
      <c r="H8" s="307"/>
      <c r="I8" s="307"/>
      <c r="J8" s="307"/>
      <c r="K8" s="307"/>
      <c r="L8" s="307"/>
      <c r="M8" s="307"/>
      <c r="N8" s="307"/>
      <c r="O8" s="307"/>
      <c r="P8" s="307"/>
    </row>
    <row r="9" spans="1:18" ht="12.75" x14ac:dyDescent="0.2">
      <c r="A9" s="307"/>
      <c r="B9" s="307"/>
      <c r="C9" s="366" t="s">
        <v>707</v>
      </c>
      <c r="D9" s="371" t="str">
        <f>COVER!A15</f>
        <v>MARION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858148</v>
      </c>
      <c r="I12" s="380"/>
      <c r="J12" s="380"/>
      <c r="K12" s="1558">
        <f>TRUNC((H12/H13*100000),5)/100000</f>
        <v>0.29054296769999999</v>
      </c>
      <c r="L12" s="381"/>
      <c r="M12" s="337" t="s">
        <v>1133</v>
      </c>
      <c r="N12" s="337"/>
      <c r="O12" s="1561">
        <v>0.35</v>
      </c>
      <c r="P12" s="213"/>
      <c r="Q12" s="213"/>
    </row>
    <row r="13" spans="1:18" s="382" customFormat="1" ht="12.75" x14ac:dyDescent="0.2">
      <c r="A13" s="213"/>
      <c r="B13" s="377"/>
      <c r="C13" s="2206" t="s">
        <v>1312</v>
      </c>
      <c r="D13" s="2207"/>
      <c r="E13" s="213"/>
      <c r="F13" s="383" t="s">
        <v>787</v>
      </c>
      <c r="G13" s="378"/>
      <c r="H13" s="1550">
        <f>SUM('Acct Summary 7-8'!C8+'Acct Summary 7-8'!D8+'Acct Summary 7-8'!F8+'Acct Summary 7-8'!I8)+H14</f>
        <v>2953601</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-22493</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t="str">
        <f>IF(K17&gt;1.2,"1",IF(K17&gt;1.1,"2",IF(K17&gt;1,"3",4)))</f>
        <v>3</v>
      </c>
      <c r="P16" s="211"/>
      <c r="R16" s="361"/>
    </row>
    <row r="17" spans="1:18" s="382" customFormat="1" ht="11.25" x14ac:dyDescent="0.2">
      <c r="A17" s="213"/>
      <c r="B17" s="377"/>
      <c r="C17" s="213" t="s">
        <v>791</v>
      </c>
      <c r="D17" s="213"/>
      <c r="E17" s="213"/>
      <c r="F17" s="213" t="s">
        <v>440</v>
      </c>
      <c r="G17" s="378"/>
      <c r="H17" s="1550">
        <f>SUM('Acct Summary 7-8'!C17+'Acct Summary 7-8'!D17+'Acct Summary 7-8'!F17)</f>
        <v>3226611</v>
      </c>
      <c r="I17" s="380"/>
      <c r="J17" s="389"/>
      <c r="K17" s="1558">
        <f>TRUNC((H17/H18*100000),5)/100000</f>
        <v>1.0924329317999999</v>
      </c>
      <c r="L17" s="381"/>
      <c r="M17" s="390" t="s">
        <v>1160</v>
      </c>
      <c r="O17" s="1564" t="str">
        <f>IF(AND(O16="2", J20 &gt; 2),"1",IF(AND(O16 = "1", J20 &gt; 2),"2",IF(AND(O16="1", J20 &gt;1),"1","0")))</f>
        <v>0</v>
      </c>
      <c r="P17" s="213"/>
    </row>
    <row r="18" spans="1:18" s="382" customFormat="1" ht="11.25" x14ac:dyDescent="0.2">
      <c r="A18" s="213"/>
      <c r="B18" s="377"/>
      <c r="C18" s="2206" t="s">
        <v>1305</v>
      </c>
      <c r="D18" s="2207"/>
      <c r="E18" s="213"/>
      <c r="F18" s="391" t="s">
        <v>788</v>
      </c>
      <c r="G18" s="378"/>
      <c r="H18" s="1550">
        <f>SUM('Acct Summary 7-8'!C8+'Acct Summary 7-8'!D8+'Acct Summary 7-8'!F8+'Acct Summary 7-8'!I8)+H19</f>
        <v>2953601</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-22493</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f>IF(K17&lt;=1,"0",TRUNC(((K12-0.1)/(K17-1)*100),5)/100)</f>
        <v>2.0614186000000001</v>
      </c>
      <c r="K20" s="1558" t="str">
        <f>IF(K17&lt;=1,"0",IF(AND(O16="2", J20 &gt; 2),TRUNC(((K12-0.1)/(K17-1)*100),5)/100,IF(AND(O16 = "1", J20 &gt; 2),TRUNC(((K12-0.1)/(K17-1)*100),5)/100,IF(AND(O16="1", J20 &gt;1),TRUNC(((K12-0.1)/(K17-1)*100),5)/100,""))))</f>
        <v/>
      </c>
      <c r="L20" s="213"/>
      <c r="M20" s="337" t="s">
        <v>1134</v>
      </c>
      <c r="N20" s="337"/>
      <c r="O20" s="1562">
        <f>(O16+O17)*O18</f>
        <v>1.0499999999999998</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3</v>
      </c>
      <c r="P23" s="211"/>
      <c r="R23" s="361"/>
    </row>
    <row r="24" spans="1:18" s="382" customFormat="1" ht="11.25" x14ac:dyDescent="0.2">
      <c r="A24" s="213"/>
      <c r="B24" s="377"/>
      <c r="C24" s="2203" t="s">
        <v>1394</v>
      </c>
      <c r="D24" s="2203"/>
      <c r="E24" s="213"/>
      <c r="F24" s="213" t="s">
        <v>441</v>
      </c>
      <c r="G24" s="378"/>
      <c r="H24" s="1550">
        <f>SUM('Assets-Liab 5-6'!C4+'Assets-Liab 5-6'!D4+'Assets-Liab 5-6'!F4+'Assets-Liab 5-6'!I4+'Assets-Liab 5-6'!C5+'Assets-Liab 5-6'!D5+'Assets-Liab 5-6'!F5+'Assets-Liab 5-6'!I5)</f>
        <v>862163</v>
      </c>
      <c r="I24" s="394"/>
      <c r="J24" s="394"/>
      <c r="K24" s="1554">
        <f>TRUNC(((H24/H25*100000)/100000),2)</f>
        <v>96.19</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8962.8083299999998</v>
      </c>
      <c r="I25" s="396"/>
      <c r="J25" s="396"/>
      <c r="K25" s="1557"/>
      <c r="L25" s="213"/>
      <c r="M25" s="337" t="s">
        <v>1134</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1892</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226238.2525</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3</v>
      </c>
      <c r="P31" s="211"/>
    </row>
    <row r="32" spans="1:18" s="382" customFormat="1" ht="11.25" x14ac:dyDescent="0.2">
      <c r="A32" s="213"/>
      <c r="B32" s="377"/>
      <c r="C32" s="213" t="s">
        <v>841</v>
      </c>
      <c r="D32" s="213"/>
      <c r="E32" s="213"/>
      <c r="F32" s="213"/>
      <c r="G32" s="378"/>
      <c r="H32" s="1550">
        <f>'FP Info 3'!H37</f>
        <v>447796</v>
      </c>
      <c r="I32" s="392"/>
      <c r="J32" s="392"/>
      <c r="K32" s="1554">
        <f>TRUNC(100-((((H32/H33*100))*100)/100),2)</f>
        <v>66.959999999999994</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1355367</v>
      </c>
      <c r="I33" s="392"/>
      <c r="J33" s="392"/>
      <c r="K33" s="379"/>
      <c r="L33" s="213"/>
      <c r="M33" s="401" t="s">
        <v>1134</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3.45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I42" sqref="I42:O42"/>
      <selection pane="bottomLeft" activeCell="I42" sqref="I42:O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2"/>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3" t="s">
        <v>966</v>
      </c>
      <c r="B3" s="2214"/>
      <c r="C3" s="1305"/>
      <c r="D3" s="1306"/>
      <c r="E3" s="1306"/>
      <c r="F3" s="1306"/>
      <c r="G3" s="1306"/>
      <c r="H3" s="1306"/>
      <c r="I3" s="1306"/>
      <c r="J3" s="1306"/>
      <c r="K3" s="1306"/>
      <c r="L3" s="1306"/>
      <c r="M3" s="1307"/>
      <c r="N3" s="1308"/>
    </row>
    <row r="4" spans="1:14" ht="13.5" customHeight="1" x14ac:dyDescent="0.2">
      <c r="A4" s="427" t="s">
        <v>1631</v>
      </c>
      <c r="B4" s="428"/>
      <c r="C4" s="1571">
        <v>746818</v>
      </c>
      <c r="D4" s="1572">
        <v>51971</v>
      </c>
      <c r="E4" s="1572">
        <v>82978</v>
      </c>
      <c r="F4" s="1572">
        <v>27661</v>
      </c>
      <c r="G4" s="1572">
        <v>12076</v>
      </c>
      <c r="H4" s="1572"/>
      <c r="I4" s="1572">
        <v>35713</v>
      </c>
      <c r="J4" s="1573">
        <v>8392</v>
      </c>
      <c r="K4" s="1572"/>
      <c r="L4" s="1572">
        <v>33960</v>
      </c>
      <c r="M4" s="1574"/>
      <c r="N4" s="1575"/>
    </row>
    <row r="5" spans="1:14" x14ac:dyDescent="0.2">
      <c r="A5" s="427" t="s">
        <v>984</v>
      </c>
      <c r="B5" s="429">
        <v>120</v>
      </c>
      <c r="C5" s="1571"/>
      <c r="D5" s="1572"/>
      <c r="E5" s="1572"/>
      <c r="F5" s="1572"/>
      <c r="G5" s="1572"/>
      <c r="H5" s="1572"/>
      <c r="I5" s="1572"/>
      <c r="J5" s="1573"/>
      <c r="K5" s="1576"/>
      <c r="L5" s="1577"/>
      <c r="M5" s="1574"/>
      <c r="N5" s="1575"/>
    </row>
    <row r="6" spans="1:14" ht="13.5" customHeight="1" x14ac:dyDescent="0.2">
      <c r="A6" s="430" t="s">
        <v>413</v>
      </c>
      <c r="B6" s="429">
        <v>130</v>
      </c>
      <c r="C6" s="1571"/>
      <c r="D6" s="1572"/>
      <c r="E6" s="1572"/>
      <c r="F6" s="1572"/>
      <c r="G6" s="1576"/>
      <c r="H6" s="1576"/>
      <c r="I6" s="1572"/>
      <c r="J6" s="1578"/>
      <c r="K6" s="1576"/>
      <c r="L6" s="1579"/>
      <c r="M6" s="1574"/>
      <c r="N6" s="1575"/>
    </row>
    <row r="7" spans="1:14" ht="13.5" customHeight="1" x14ac:dyDescent="0.2">
      <c r="A7" s="430" t="s">
        <v>414</v>
      </c>
      <c r="B7" s="429">
        <v>140</v>
      </c>
      <c r="C7" s="1580"/>
      <c r="D7" s="1573"/>
      <c r="E7" s="1573"/>
      <c r="F7" s="1573"/>
      <c r="G7" s="1573"/>
      <c r="H7" s="1573"/>
      <c r="I7" s="1573"/>
      <c r="J7" s="1573"/>
      <c r="K7" s="1573"/>
      <c r="L7" s="1581"/>
      <c r="M7" s="1574"/>
      <c r="N7" s="1575"/>
    </row>
    <row r="8" spans="1:14" ht="13.5" customHeight="1" x14ac:dyDescent="0.2">
      <c r="A8" s="430" t="s">
        <v>266</v>
      </c>
      <c r="B8" s="429">
        <v>150</v>
      </c>
      <c r="C8" s="1580"/>
      <c r="D8" s="1573"/>
      <c r="E8" s="1573"/>
      <c r="F8" s="1573"/>
      <c r="G8" s="1582"/>
      <c r="H8" s="1573"/>
      <c r="I8" s="1578"/>
      <c r="J8" s="1578"/>
      <c r="K8" s="1583"/>
      <c r="L8" s="1584"/>
      <c r="M8" s="1574"/>
      <c r="N8" s="1575"/>
    </row>
    <row r="9" spans="1:14" ht="13.5" customHeight="1" x14ac:dyDescent="0.2">
      <c r="A9" s="430" t="s">
        <v>267</v>
      </c>
      <c r="B9" s="429">
        <v>160</v>
      </c>
      <c r="C9" s="1580"/>
      <c r="D9" s="1573"/>
      <c r="E9" s="1573"/>
      <c r="F9" s="1573"/>
      <c r="G9" s="1573"/>
      <c r="H9" s="1582"/>
      <c r="I9" s="1573"/>
      <c r="J9" s="1573"/>
      <c r="K9" s="1573"/>
      <c r="L9" s="1573"/>
      <c r="M9" s="1574"/>
      <c r="N9" s="1575"/>
    </row>
    <row r="10" spans="1:14" ht="13.5" customHeight="1" x14ac:dyDescent="0.2">
      <c r="A10" s="430" t="s">
        <v>983</v>
      </c>
      <c r="B10" s="429">
        <v>170</v>
      </c>
      <c r="C10" s="1571"/>
      <c r="D10" s="1572"/>
      <c r="E10" s="1573"/>
      <c r="F10" s="1572"/>
      <c r="G10" s="1582"/>
      <c r="H10" s="1585"/>
      <c r="I10" s="1573"/>
      <c r="J10" s="1573"/>
      <c r="K10" s="1585"/>
      <c r="L10" s="1585"/>
      <c r="M10" s="1575"/>
      <c r="N10" s="1575"/>
    </row>
    <row r="11" spans="1:14" ht="13.5" customHeight="1" x14ac:dyDescent="0.2">
      <c r="A11" s="430" t="s">
        <v>268</v>
      </c>
      <c r="B11" s="429">
        <v>180</v>
      </c>
      <c r="C11" s="1580"/>
      <c r="D11" s="1573"/>
      <c r="E11" s="1573"/>
      <c r="F11" s="1573"/>
      <c r="G11" s="1573"/>
      <c r="H11" s="1573"/>
      <c r="I11" s="1582"/>
      <c r="J11" s="1582"/>
      <c r="K11" s="1573"/>
      <c r="L11" s="1573"/>
      <c r="M11" s="1575"/>
      <c r="N11" s="1575"/>
    </row>
    <row r="12" spans="1:14" ht="13.5" customHeight="1" x14ac:dyDescent="0.2">
      <c r="A12" s="430" t="s">
        <v>415</v>
      </c>
      <c r="B12" s="429">
        <v>190</v>
      </c>
      <c r="C12" s="1571"/>
      <c r="D12" s="1572"/>
      <c r="E12" s="1572"/>
      <c r="F12" s="1572"/>
      <c r="G12" s="1572"/>
      <c r="H12" s="1572"/>
      <c r="I12" s="1572"/>
      <c r="J12" s="1573"/>
      <c r="K12" s="1572"/>
      <c r="L12" s="1572"/>
      <c r="M12" s="1575"/>
      <c r="N12" s="1575"/>
    </row>
    <row r="13" spans="1:14" ht="13.5" customHeight="1" thickBot="1" x14ac:dyDescent="0.25">
      <c r="A13" s="1425" t="s">
        <v>638</v>
      </c>
      <c r="B13" s="1406"/>
      <c r="C13" s="1586">
        <f>SUM(C4:C12)</f>
        <v>746818</v>
      </c>
      <c r="D13" s="1586">
        <f t="shared" ref="D13:L13" si="0">SUM(D4:D12)</f>
        <v>51971</v>
      </c>
      <c r="E13" s="1586">
        <f t="shared" si="0"/>
        <v>82978</v>
      </c>
      <c r="F13" s="1586">
        <f t="shared" si="0"/>
        <v>27661</v>
      </c>
      <c r="G13" s="1586">
        <f t="shared" si="0"/>
        <v>12076</v>
      </c>
      <c r="H13" s="1586">
        <f t="shared" si="0"/>
        <v>0</v>
      </c>
      <c r="I13" s="1586">
        <f t="shared" si="0"/>
        <v>35713</v>
      </c>
      <c r="J13" s="1586">
        <f t="shared" si="0"/>
        <v>8392</v>
      </c>
      <c r="K13" s="1586">
        <f t="shared" si="0"/>
        <v>0</v>
      </c>
      <c r="L13" s="1586">
        <f t="shared" si="0"/>
        <v>33960</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v>13324</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v>4858610</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v>103116</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v>718117</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v>82978</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6">
        <f>'Short-Term Long-Term Debt 24'!J49</f>
        <v>364818</v>
      </c>
    </row>
    <row r="23" spans="1:14" ht="13.5" customHeight="1" thickBot="1" x14ac:dyDescent="0.25">
      <c r="A23" s="1425" t="s">
        <v>637</v>
      </c>
      <c r="B23" s="1428"/>
      <c r="C23" s="1574"/>
      <c r="D23" s="1574"/>
      <c r="E23" s="1574"/>
      <c r="F23" s="1574"/>
      <c r="G23" s="1574"/>
      <c r="H23" s="1574"/>
      <c r="I23" s="1574"/>
      <c r="J23" s="1574"/>
      <c r="K23" s="1574"/>
      <c r="L23" s="1574"/>
      <c r="M23" s="1593">
        <f>SUM(M15:M22)</f>
        <v>5693167</v>
      </c>
      <c r="N23" s="1593">
        <f>SUM(N21:N22)</f>
        <v>447796</v>
      </c>
    </row>
    <row r="24" spans="1:14" ht="18" customHeight="1" thickTop="1" x14ac:dyDescent="0.2">
      <c r="A24" s="2217" t="s">
        <v>593</v>
      </c>
      <c r="B24" s="2218"/>
      <c r="C24" s="1594"/>
      <c r="D24" s="1589"/>
      <c r="E24" s="1589"/>
      <c r="F24" s="1589"/>
      <c r="G24" s="1589"/>
      <c r="H24" s="1589"/>
      <c r="I24" s="1589"/>
      <c r="J24" s="1589"/>
      <c r="K24" s="1589"/>
      <c r="L24" s="1589"/>
      <c r="M24" s="1588"/>
      <c r="N24" s="1595"/>
    </row>
    <row r="25" spans="1:14" x14ac:dyDescent="0.2">
      <c r="A25" s="430" t="s">
        <v>639</v>
      </c>
      <c r="B25" s="429">
        <v>410</v>
      </c>
      <c r="C25" s="1582"/>
      <c r="D25" s="1582"/>
      <c r="E25" s="1582"/>
      <c r="F25" s="1582"/>
      <c r="G25" s="1582"/>
      <c r="H25" s="1583"/>
      <c r="I25" s="1574"/>
      <c r="J25" s="1582"/>
      <c r="K25" s="1582"/>
      <c r="L25" s="1574"/>
      <c r="M25" s="1574"/>
      <c r="N25" s="1574"/>
    </row>
    <row r="26" spans="1:14" x14ac:dyDescent="0.2">
      <c r="A26" s="430" t="s">
        <v>640</v>
      </c>
      <c r="B26" s="429">
        <v>420</v>
      </c>
      <c r="C26" s="1573"/>
      <c r="D26" s="1573"/>
      <c r="E26" s="1573"/>
      <c r="F26" s="1573"/>
      <c r="G26" s="1573"/>
      <c r="H26" s="1573"/>
      <c r="I26" s="1573"/>
      <c r="J26" s="1578"/>
      <c r="K26" s="1573"/>
      <c r="L26" s="1574"/>
      <c r="M26" s="1574"/>
      <c r="N26" s="1574"/>
    </row>
    <row r="27" spans="1:14" ht="13.5" customHeight="1" x14ac:dyDescent="0.2">
      <c r="A27" s="430" t="s">
        <v>641</v>
      </c>
      <c r="B27" s="429">
        <v>430</v>
      </c>
      <c r="C27" s="1573"/>
      <c r="D27" s="1573"/>
      <c r="E27" s="1573"/>
      <c r="F27" s="1573"/>
      <c r="G27" s="1573"/>
      <c r="H27" s="1573"/>
      <c r="I27" s="1573"/>
      <c r="J27" s="1573"/>
      <c r="K27" s="1573"/>
      <c r="L27" s="1574"/>
      <c r="M27" s="1574"/>
      <c r="N27" s="1574"/>
    </row>
    <row r="28" spans="1:14" ht="13.5" customHeight="1" x14ac:dyDescent="0.2">
      <c r="A28" s="430" t="s">
        <v>642</v>
      </c>
      <c r="B28" s="429">
        <v>440</v>
      </c>
      <c r="C28" s="1573"/>
      <c r="D28" s="1573"/>
      <c r="E28" s="1578"/>
      <c r="F28" s="1573"/>
      <c r="G28" s="1578"/>
      <c r="H28" s="1578"/>
      <c r="I28" s="1573"/>
      <c r="J28" s="1573"/>
      <c r="K28" s="1583"/>
      <c r="L28" s="1574"/>
      <c r="M28" s="1574"/>
      <c r="N28" s="1574"/>
    </row>
    <row r="29" spans="1:14" ht="13.5" customHeight="1" x14ac:dyDescent="0.2">
      <c r="A29" s="430" t="s">
        <v>643</v>
      </c>
      <c r="B29" s="429">
        <v>460</v>
      </c>
      <c r="C29" s="1596"/>
      <c r="D29" s="1597"/>
      <c r="E29" s="1578"/>
      <c r="F29" s="1573"/>
      <c r="G29" s="1578"/>
      <c r="H29" s="1578"/>
      <c r="I29" s="1578"/>
      <c r="J29" s="1578"/>
      <c r="K29" s="1573"/>
      <c r="L29" s="1574"/>
      <c r="M29" s="1574"/>
      <c r="N29" s="1574"/>
    </row>
    <row r="30" spans="1:14" ht="13.5" customHeight="1" x14ac:dyDescent="0.2">
      <c r="A30" s="430" t="s">
        <v>644</v>
      </c>
      <c r="B30" s="429">
        <v>470</v>
      </c>
      <c r="C30" s="1573"/>
      <c r="D30" s="1578"/>
      <c r="E30" s="1573"/>
      <c r="F30" s="1573"/>
      <c r="G30" s="1573"/>
      <c r="H30" s="1573"/>
      <c r="I30" s="1573"/>
      <c r="J30" s="1573"/>
      <c r="K30" s="1582"/>
      <c r="L30" s="1574"/>
      <c r="M30" s="1574"/>
      <c r="N30" s="1574"/>
    </row>
    <row r="31" spans="1:14" ht="13.5" customHeight="1" x14ac:dyDescent="0.2">
      <c r="A31" s="430" t="s">
        <v>645</v>
      </c>
      <c r="B31" s="429">
        <v>480</v>
      </c>
      <c r="C31" s="1572">
        <v>4015</v>
      </c>
      <c r="D31" s="1573"/>
      <c r="E31" s="1573"/>
      <c r="F31" s="1572"/>
      <c r="G31" s="1573"/>
      <c r="H31" s="1573"/>
      <c r="I31" s="1573"/>
      <c r="J31" s="1573"/>
      <c r="K31" s="1573"/>
      <c r="L31" s="1574"/>
      <c r="M31" s="1574"/>
      <c r="N31" s="1574"/>
    </row>
    <row r="32" spans="1:14" ht="13.5" customHeight="1" x14ac:dyDescent="0.2">
      <c r="A32" s="434" t="s">
        <v>646</v>
      </c>
      <c r="B32" s="435">
        <v>490</v>
      </c>
      <c r="C32" s="1598"/>
      <c r="D32" s="1598"/>
      <c r="E32" s="1578"/>
      <c r="F32" s="1578"/>
      <c r="G32" s="1578"/>
      <c r="H32" s="1578"/>
      <c r="I32" s="1578"/>
      <c r="J32" s="1578"/>
      <c r="K32" s="1583"/>
      <c r="L32" s="1574"/>
      <c r="M32" s="1574"/>
      <c r="N32" s="1574"/>
    </row>
    <row r="33" spans="1:14" ht="13.5" customHeight="1" x14ac:dyDescent="0.2">
      <c r="A33" s="436" t="s">
        <v>299</v>
      </c>
      <c r="B33" s="435">
        <v>493</v>
      </c>
      <c r="C33" s="1573"/>
      <c r="D33" s="1573"/>
      <c r="E33" s="1573"/>
      <c r="F33" s="1573"/>
      <c r="G33" s="1573"/>
      <c r="H33" s="1573"/>
      <c r="I33" s="1573"/>
      <c r="J33" s="1573"/>
      <c r="K33" s="1573"/>
      <c r="L33" s="1573">
        <v>33960</v>
      </c>
      <c r="M33" s="1574"/>
      <c r="N33" s="1575"/>
    </row>
    <row r="34" spans="1:14" ht="13.5" customHeight="1" thickBot="1" x14ac:dyDescent="0.25">
      <c r="A34" s="1426" t="s">
        <v>648</v>
      </c>
      <c r="B34" s="1427"/>
      <c r="C34" s="1599">
        <f>SUM(C25:C33)</f>
        <v>4015</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33960</v>
      </c>
      <c r="M34" s="1574"/>
      <c r="N34" s="1584"/>
    </row>
    <row r="35" spans="1:14" ht="18" customHeight="1" thickTop="1" x14ac:dyDescent="0.2">
      <c r="A35" s="2219" t="s">
        <v>525</v>
      </c>
      <c r="B35" s="222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447796</v>
      </c>
    </row>
    <row r="37" spans="1:14" ht="13.5" thickBot="1" x14ac:dyDescent="0.25">
      <c r="A37" s="1425" t="s">
        <v>647</v>
      </c>
      <c r="B37" s="1428"/>
      <c r="C37" s="1581"/>
      <c r="D37" s="1581"/>
      <c r="E37" s="1581"/>
      <c r="F37" s="1581"/>
      <c r="G37" s="1581"/>
      <c r="H37" s="1581"/>
      <c r="I37" s="1581"/>
      <c r="J37" s="1581"/>
      <c r="K37" s="1581"/>
      <c r="L37" s="1584"/>
      <c r="M37" s="1574"/>
      <c r="N37" s="1593">
        <f>SUM(N36:N36)</f>
        <v>447796</v>
      </c>
    </row>
    <row r="38" spans="1:14" s="307" customFormat="1" ht="13.5" customHeight="1" thickTop="1" x14ac:dyDescent="0.2">
      <c r="A38" s="438" t="s">
        <v>416</v>
      </c>
      <c r="B38" s="432">
        <v>714</v>
      </c>
      <c r="C38" s="1572"/>
      <c r="D38" s="1572"/>
      <c r="E38" s="1572"/>
      <c r="F38" s="1572"/>
      <c r="G38" s="1572">
        <v>2776</v>
      </c>
      <c r="H38" s="1572"/>
      <c r="I38" s="1572"/>
      <c r="J38" s="1573"/>
      <c r="K38" s="1572"/>
      <c r="L38" s="1585"/>
      <c r="M38" s="1603"/>
      <c r="N38" s="1603"/>
    </row>
    <row r="39" spans="1:14" s="307" customFormat="1" ht="13.5" customHeight="1" x14ac:dyDescent="0.2">
      <c r="A39" s="438" t="s">
        <v>338</v>
      </c>
      <c r="B39" s="432">
        <v>730</v>
      </c>
      <c r="C39" s="1572">
        <v>742803</v>
      </c>
      <c r="D39" s="1572">
        <v>51971</v>
      </c>
      <c r="E39" s="1572">
        <v>82978</v>
      </c>
      <c r="F39" s="1572">
        <v>27661</v>
      </c>
      <c r="G39" s="1572">
        <v>9300</v>
      </c>
      <c r="H39" s="1572"/>
      <c r="I39" s="1572">
        <v>35713</v>
      </c>
      <c r="J39" s="1573">
        <v>8392</v>
      </c>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5693167</v>
      </c>
      <c r="N40" s="1603"/>
    </row>
    <row r="41" spans="1:14" ht="13.5" customHeight="1" thickBot="1" x14ac:dyDescent="0.25">
      <c r="A41" s="1425" t="s">
        <v>649</v>
      </c>
      <c r="B41" s="1404"/>
      <c r="C41" s="1593">
        <f>(SUM(C34,C37,C38,C39))</f>
        <v>746818</v>
      </c>
      <c r="D41" s="1593">
        <f t="shared" ref="D41:L41" si="2">SUM(D34,D37,D38:D39)</f>
        <v>51971</v>
      </c>
      <c r="E41" s="1593">
        <f t="shared" si="2"/>
        <v>82978</v>
      </c>
      <c r="F41" s="1593">
        <f t="shared" si="2"/>
        <v>27661</v>
      </c>
      <c r="G41" s="1593">
        <f t="shared" si="2"/>
        <v>12076</v>
      </c>
      <c r="H41" s="1593">
        <f t="shared" si="2"/>
        <v>0</v>
      </c>
      <c r="I41" s="1593">
        <f t="shared" si="2"/>
        <v>35713</v>
      </c>
      <c r="J41" s="1593">
        <f t="shared" si="2"/>
        <v>8392</v>
      </c>
      <c r="K41" s="1593">
        <f t="shared" si="2"/>
        <v>0</v>
      </c>
      <c r="L41" s="1593">
        <f t="shared" si="2"/>
        <v>33960</v>
      </c>
      <c r="M41" s="1593">
        <f>SUM(M40)</f>
        <v>5693167</v>
      </c>
      <c r="N41" s="1593">
        <f>SUM(N37)</f>
        <v>447796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I42" sqref="I42:O42"/>
      <selection pane="bottomLeft" activeCell="I42" sqref="I42:O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0"/>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1" t="s">
        <v>1164</v>
      </c>
      <c r="B3" s="2242"/>
      <c r="C3" s="1310"/>
      <c r="D3" s="1311"/>
      <c r="E3" s="1311"/>
      <c r="F3" s="1311"/>
      <c r="G3" s="1311"/>
      <c r="H3" s="1311"/>
      <c r="I3" s="1311"/>
      <c r="J3" s="1311"/>
      <c r="K3" s="1312"/>
      <c r="L3" s="446"/>
    </row>
    <row r="4" spans="1:13" ht="15.75" customHeight="1" x14ac:dyDescent="0.2">
      <c r="A4" s="1536" t="s">
        <v>1481</v>
      </c>
      <c r="B4" s="1537">
        <v>1000</v>
      </c>
      <c r="C4" s="1605">
        <f>'Revenues 9-14'!C109</f>
        <v>293205</v>
      </c>
      <c r="D4" s="1605">
        <f>'Revenues 9-14'!D109</f>
        <v>59896</v>
      </c>
      <c r="E4" s="1605">
        <f>'Revenues 9-14'!E109</f>
        <v>77196</v>
      </c>
      <c r="F4" s="1605">
        <f>'Revenues 9-14'!F109</f>
        <v>20500</v>
      </c>
      <c r="G4" s="1605">
        <f>'Revenues 9-14'!G109</f>
        <v>82007</v>
      </c>
      <c r="H4" s="1605">
        <f>'Revenues 9-14'!H109</f>
        <v>0</v>
      </c>
      <c r="I4" s="1605">
        <f>'Revenues 9-14'!I109</f>
        <v>628</v>
      </c>
      <c r="J4" s="1605">
        <f>'Revenues 9-14'!J109</f>
        <v>12809</v>
      </c>
      <c r="K4" s="1605">
        <f>'Revenues 9-14'!K109</f>
        <v>0</v>
      </c>
      <c r="L4" s="325"/>
    </row>
    <row r="5" spans="1:13" ht="15.75" customHeight="1" x14ac:dyDescent="0.2">
      <c r="A5" s="1313" t="s">
        <v>1482</v>
      </c>
      <c r="B5" s="1314">
        <v>2000</v>
      </c>
      <c r="C5" s="1606">
        <f>'Revenues 9-14'!C114</f>
        <v>0</v>
      </c>
      <c r="D5" s="1606">
        <f>'Revenues 9-14'!D114</f>
        <v>0</v>
      </c>
      <c r="E5" s="1607"/>
      <c r="F5" s="1606">
        <f>'Revenues 9-14'!F114</f>
        <v>0</v>
      </c>
      <c r="G5" s="1606">
        <f>'Revenues 9-14'!G114</f>
        <v>0</v>
      </c>
      <c r="H5" s="1608" t="s">
        <v>1158</v>
      </c>
      <c r="I5" s="1609" t="s">
        <v>1158</v>
      </c>
      <c r="J5" s="1610" t="s">
        <v>1158</v>
      </c>
      <c r="K5" s="1611" t="s">
        <v>1158</v>
      </c>
      <c r="L5" s="325"/>
    </row>
    <row r="6" spans="1:13" ht="15.75" customHeight="1" x14ac:dyDescent="0.2">
      <c r="A6" s="1313" t="s">
        <v>1483</v>
      </c>
      <c r="B6" s="1315">
        <v>3000</v>
      </c>
      <c r="C6" s="1606">
        <f>'Revenues 9-14'!C170</f>
        <v>1918665</v>
      </c>
      <c r="D6" s="1606">
        <f>'Revenues 9-14'!D170</f>
        <v>198688</v>
      </c>
      <c r="E6" s="1606">
        <f>'Revenues 9-14'!E170</f>
        <v>0</v>
      </c>
      <c r="F6" s="1606">
        <f>'Revenues 9-14'!F170</f>
        <v>30026</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1484</v>
      </c>
      <c r="B7" s="1315">
        <v>4000</v>
      </c>
      <c r="C7" s="1606">
        <f>'Revenues 9-14'!C267</f>
        <v>454486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1161</v>
      </c>
      <c r="B8" s="1406"/>
      <c r="C8" s="1593">
        <f>SUM(C4:C7)</f>
        <v>2666356</v>
      </c>
      <c r="D8" s="1593">
        <f t="shared" ref="D8:K8" si="0">SUM(D4:D7)</f>
        <v>258584</v>
      </c>
      <c r="E8" s="1593">
        <f t="shared" si="0"/>
        <v>77196</v>
      </c>
      <c r="F8" s="1593">
        <f t="shared" si="0"/>
        <v>50526</v>
      </c>
      <c r="G8" s="1593">
        <f t="shared" si="0"/>
        <v>82007</v>
      </c>
      <c r="H8" s="1593">
        <f t="shared" si="0"/>
        <v>0</v>
      </c>
      <c r="I8" s="1593">
        <f t="shared" si="0"/>
        <v>628</v>
      </c>
      <c r="J8" s="1593">
        <f t="shared" si="0"/>
        <v>12809</v>
      </c>
      <c r="K8" s="1593">
        <f t="shared" si="0"/>
        <v>0</v>
      </c>
      <c r="L8" s="325"/>
    </row>
    <row r="9" spans="1:13" ht="15.75" thickTop="1" x14ac:dyDescent="0.2">
      <c r="A9" s="449" t="s">
        <v>1633</v>
      </c>
      <c r="B9" s="450">
        <v>3998</v>
      </c>
      <c r="C9" s="1585">
        <v>870956</v>
      </c>
      <c r="D9" s="1612"/>
      <c r="E9" s="1585"/>
      <c r="F9" s="1585"/>
      <c r="G9" s="1613"/>
      <c r="H9" s="1585"/>
      <c r="I9" s="1608" t="s">
        <v>1158</v>
      </c>
      <c r="J9" s="1582"/>
      <c r="K9" s="1585"/>
      <c r="L9" s="325"/>
    </row>
    <row r="10" spans="1:13" s="452" customFormat="1" ht="13.5" thickBot="1" x14ac:dyDescent="0.25">
      <c r="A10" s="1425" t="s">
        <v>1162</v>
      </c>
      <c r="B10" s="1406"/>
      <c r="C10" s="1593">
        <f>SUM(C8:C9)</f>
        <v>3537312</v>
      </c>
      <c r="D10" s="1593">
        <f t="shared" ref="D10:K10" si="1">SUM(D8:D9)</f>
        <v>258584</v>
      </c>
      <c r="E10" s="1593">
        <f t="shared" si="1"/>
        <v>77196</v>
      </c>
      <c r="F10" s="1593">
        <f t="shared" si="1"/>
        <v>50526</v>
      </c>
      <c r="G10" s="1593">
        <f t="shared" si="1"/>
        <v>82007</v>
      </c>
      <c r="H10" s="1593">
        <f t="shared" si="1"/>
        <v>0</v>
      </c>
      <c r="I10" s="1593">
        <f t="shared" si="1"/>
        <v>628</v>
      </c>
      <c r="J10" s="1593">
        <f t="shared" si="1"/>
        <v>12809</v>
      </c>
      <c r="K10" s="1593">
        <f t="shared" si="1"/>
        <v>0</v>
      </c>
      <c r="L10" s="451"/>
    </row>
    <row r="11" spans="1:13" s="452" customFormat="1" ht="16.7" customHeight="1" thickTop="1" x14ac:dyDescent="0.2">
      <c r="A11" s="2215" t="s">
        <v>1165</v>
      </c>
      <c r="B11" s="2216"/>
      <c r="C11" s="1601"/>
      <c r="D11" s="1602"/>
      <c r="E11" s="1602"/>
      <c r="F11" s="1602"/>
      <c r="G11" s="1602"/>
      <c r="H11" s="1602"/>
      <c r="I11" s="1602"/>
      <c r="J11" s="1602"/>
      <c r="K11" s="1614"/>
      <c r="L11" s="451"/>
    </row>
    <row r="12" spans="1:13" ht="15.75" customHeight="1" x14ac:dyDescent="0.2">
      <c r="A12" s="1313" t="s">
        <v>452</v>
      </c>
      <c r="B12" s="1315">
        <v>1000</v>
      </c>
      <c r="C12" s="1605">
        <f>'Expenditures 15-22'!K33</f>
        <v>1558209</v>
      </c>
      <c r="D12" s="1615" t="s">
        <v>1158</v>
      </c>
      <c r="E12" s="1574" t="s">
        <v>1158</v>
      </c>
      <c r="F12" s="1574" t="s">
        <v>1158</v>
      </c>
      <c r="G12" s="1605">
        <f>'Expenditures 15-22'!K229</f>
        <v>41665</v>
      </c>
      <c r="H12" s="1616"/>
      <c r="I12" s="1574" t="s">
        <v>1158</v>
      </c>
      <c r="J12" s="1574" t="s">
        <v>1158</v>
      </c>
      <c r="K12" s="1616" t="s">
        <v>1158</v>
      </c>
      <c r="L12" s="325"/>
    </row>
    <row r="13" spans="1:13" ht="15.75" customHeight="1" x14ac:dyDescent="0.2">
      <c r="A13" s="1313" t="s">
        <v>453</v>
      </c>
      <c r="B13" s="1315">
        <v>2000</v>
      </c>
      <c r="C13" s="1606">
        <f>'Expenditures 15-22'!K74</f>
        <v>815497</v>
      </c>
      <c r="D13" s="1606">
        <f>'Expenditures 15-22'!K129</f>
        <v>416414</v>
      </c>
      <c r="E13" s="1575" t="s">
        <v>1158</v>
      </c>
      <c r="F13" s="1606">
        <f>'Expenditures 15-22'!K184</f>
        <v>224254</v>
      </c>
      <c r="G13" s="1606">
        <f>'Expenditures 15-22'!K279</f>
        <v>52422</v>
      </c>
      <c r="H13" s="1606">
        <f>'Expenditures 15-22'!K303</f>
        <v>0</v>
      </c>
      <c r="I13" s="1574" t="s">
        <v>1158</v>
      </c>
      <c r="J13" s="1606">
        <f>'Expenditures 15-22'!K330</f>
        <v>4418</v>
      </c>
      <c r="K13" s="1617">
        <f>'Expenditures 15-22'!K352</f>
        <v>0</v>
      </c>
      <c r="L13" s="325"/>
    </row>
    <row r="14" spans="1:13" ht="15.75" customHeight="1" x14ac:dyDescent="0.2">
      <c r="A14" s="1313" t="s">
        <v>445</v>
      </c>
      <c r="B14" s="1315">
        <v>3000</v>
      </c>
      <c r="C14" s="1606">
        <f>'Expenditures 15-22'!K75</f>
        <v>19812</v>
      </c>
      <c r="D14" s="1606">
        <f>'Expenditures 15-22'!K130</f>
        <v>0</v>
      </c>
      <c r="E14" s="1615" t="s">
        <v>1158</v>
      </c>
      <c r="F14" s="1606">
        <f>'Expenditures 15-22'!K185</f>
        <v>0</v>
      </c>
      <c r="G14" s="1606">
        <f>'Expenditures 15-22'!K280</f>
        <v>0</v>
      </c>
      <c r="H14" s="1611"/>
      <c r="I14" s="1574" t="s">
        <v>1158</v>
      </c>
      <c r="J14" s="1574" t="s">
        <v>1158</v>
      </c>
      <c r="K14" s="1611" t="s">
        <v>1158</v>
      </c>
      <c r="L14" s="325"/>
    </row>
    <row r="15" spans="1:13" ht="15.75" customHeight="1" x14ac:dyDescent="0.2">
      <c r="A15" s="1313" t="s">
        <v>107</v>
      </c>
      <c r="B15" s="1315">
        <v>4000</v>
      </c>
      <c r="C15" s="1606">
        <f>'Expenditures 15-22'!K102</f>
        <v>154675</v>
      </c>
      <c r="D15" s="1606">
        <f>'Expenditures 15-22'!K139</f>
        <v>0</v>
      </c>
      <c r="E15" s="1606">
        <f>'Expenditures 15-22'!K160</f>
        <v>0</v>
      </c>
      <c r="F15" s="1606">
        <f>'Expenditures 15-22'!K196</f>
        <v>0</v>
      </c>
      <c r="G15" s="1606">
        <f>'Expenditures 15-22'!K285</f>
        <v>0</v>
      </c>
      <c r="H15" s="1606">
        <f>'Expenditures 15-22'!K310</f>
        <v>0</v>
      </c>
      <c r="I15" s="1574" t="s">
        <v>1158</v>
      </c>
      <c r="J15" s="1618">
        <f>'Expenditures 15-22'!K334</f>
        <v>0</v>
      </c>
      <c r="K15" s="1606">
        <f>'Expenditures 15-22'!K357</f>
        <v>0</v>
      </c>
      <c r="L15" s="325"/>
    </row>
    <row r="16" spans="1:13" ht="15.75" customHeight="1" x14ac:dyDescent="0.2">
      <c r="A16" s="1313" t="s">
        <v>446</v>
      </c>
      <c r="B16" s="1315">
        <v>5000</v>
      </c>
      <c r="C16" s="1606">
        <f>'Expenditures 15-22'!K112</f>
        <v>0</v>
      </c>
      <c r="D16" s="1606">
        <f>'Expenditures 15-22'!K149</f>
        <v>0</v>
      </c>
      <c r="E16" s="1606">
        <f>'Expenditures 15-22'!K172</f>
        <v>99319</v>
      </c>
      <c r="F16" s="1606">
        <f>'Expenditures 15-22'!K208</f>
        <v>37750</v>
      </c>
      <c r="G16" s="1606">
        <f>'Expenditures 15-22'!K293</f>
        <v>0</v>
      </c>
      <c r="H16" s="1619"/>
      <c r="I16" s="1574" t="s">
        <v>1158</v>
      </c>
      <c r="J16" s="1620">
        <f>'Expenditures 15-22'!K340</f>
        <v>0</v>
      </c>
      <c r="K16" s="1606">
        <f>'Expenditures 15-22'!K365</f>
        <v>0</v>
      </c>
      <c r="L16" s="325"/>
    </row>
    <row r="17" spans="1:12" ht="13.5" thickBot="1" x14ac:dyDescent="0.25">
      <c r="A17" s="1405" t="s">
        <v>48</v>
      </c>
      <c r="B17" s="1406"/>
      <c r="C17" s="1593">
        <f t="shared" ref="C17:H17" si="2">SUM(C12:C16)</f>
        <v>2548193</v>
      </c>
      <c r="D17" s="1593">
        <f t="shared" si="2"/>
        <v>416414</v>
      </c>
      <c r="E17" s="1593">
        <f t="shared" si="2"/>
        <v>99319</v>
      </c>
      <c r="F17" s="1593">
        <f t="shared" si="2"/>
        <v>262004</v>
      </c>
      <c r="G17" s="1593">
        <f t="shared" si="2"/>
        <v>94087</v>
      </c>
      <c r="H17" s="1593">
        <f t="shared" si="2"/>
        <v>0</v>
      </c>
      <c r="I17" s="1574"/>
      <c r="J17" s="1593">
        <f>SUM(J12:J16)</f>
        <v>4418</v>
      </c>
      <c r="K17" s="1593">
        <f>SUM(K12:K16)</f>
        <v>0</v>
      </c>
      <c r="L17" s="325"/>
    </row>
    <row r="18" spans="1:12" ht="15" customHeight="1" thickTop="1" x14ac:dyDescent="0.2">
      <c r="A18" s="1429" t="s">
        <v>1634</v>
      </c>
      <c r="B18" s="1430">
        <v>4180</v>
      </c>
      <c r="C18" s="1605">
        <f t="shared" ref="C18:H18" si="3">C9</f>
        <v>870956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501</v>
      </c>
      <c r="B19" s="1406"/>
      <c r="C19" s="1593">
        <f t="shared" ref="C19:H19" si="4">SUM(C17:C18)</f>
        <v>3419149</v>
      </c>
      <c r="D19" s="1593">
        <f t="shared" si="4"/>
        <v>416414</v>
      </c>
      <c r="E19" s="1593">
        <f t="shared" si="4"/>
        <v>99319</v>
      </c>
      <c r="F19" s="1593">
        <f t="shared" si="4"/>
        <v>262004</v>
      </c>
      <c r="G19" s="1593">
        <f t="shared" si="4"/>
        <v>94087</v>
      </c>
      <c r="H19" s="1593">
        <f t="shared" si="4"/>
        <v>0</v>
      </c>
      <c r="I19" s="1574"/>
      <c r="J19" s="1593">
        <f>SUM(J17:J18)</f>
        <v>4418</v>
      </c>
      <c r="K19" s="1593">
        <f>SUM(K17:K18)</f>
        <v>0</v>
      </c>
      <c r="L19" s="325"/>
    </row>
    <row r="20" spans="1:12" ht="16.5" thickTop="1" thickBot="1" x14ac:dyDescent="0.25">
      <c r="A20" s="2231" t="s">
        <v>1635</v>
      </c>
      <c r="B20" s="2232"/>
      <c r="C20" s="1621">
        <f>C8-C17</f>
        <v>118163</v>
      </c>
      <c r="D20" s="1621">
        <f t="shared" ref="D20:K20" si="5">D8-D17</f>
        <v>-157830</v>
      </c>
      <c r="E20" s="1621">
        <f t="shared" si="5"/>
        <v>-22123</v>
      </c>
      <c r="F20" s="1621">
        <f t="shared" si="5"/>
        <v>-211478</v>
      </c>
      <c r="G20" s="1621">
        <f t="shared" si="5"/>
        <v>-12080</v>
      </c>
      <c r="H20" s="1621">
        <f t="shared" si="5"/>
        <v>0</v>
      </c>
      <c r="I20" s="1621">
        <f t="shared" si="5"/>
        <v>628</v>
      </c>
      <c r="J20" s="1621">
        <f t="shared" si="5"/>
        <v>8391</v>
      </c>
      <c r="K20" s="1621">
        <f t="shared" si="5"/>
        <v>0</v>
      </c>
      <c r="L20" s="325"/>
    </row>
    <row r="21" spans="1:12" ht="16.7" customHeight="1" thickTop="1" x14ac:dyDescent="0.2">
      <c r="A21" s="2243" t="s">
        <v>590</v>
      </c>
      <c r="B21" s="2244"/>
      <c r="C21" s="1601"/>
      <c r="D21" s="1602"/>
      <c r="E21" s="1602"/>
      <c r="F21" s="1602"/>
      <c r="G21" s="1602"/>
      <c r="H21" s="1602"/>
      <c r="I21" s="1602"/>
      <c r="J21" s="1602"/>
      <c r="K21" s="1614"/>
      <c r="L21" s="453"/>
    </row>
    <row r="22" spans="1:12" ht="15.75" customHeight="1" collapsed="1" x14ac:dyDescent="0.2">
      <c r="A22" s="2239" t="s">
        <v>591</v>
      </c>
      <c r="B22" s="2240"/>
      <c r="C22" s="1581"/>
      <c r="D22" s="1581"/>
      <c r="E22" s="1581"/>
      <c r="F22" s="1581"/>
      <c r="G22" s="1581"/>
      <c r="H22" s="1581"/>
      <c r="I22" s="1581"/>
      <c r="J22" s="1581"/>
      <c r="K22" s="1581"/>
      <c r="L22" s="325"/>
    </row>
    <row r="23" spans="1:12" s="433" customFormat="1" ht="15.75" customHeight="1" x14ac:dyDescent="0.2">
      <c r="A23" s="2235" t="s">
        <v>289</v>
      </c>
      <c r="B23" s="2236"/>
      <c r="C23" s="1584"/>
      <c r="D23" s="1581"/>
      <c r="E23" s="1581"/>
      <c r="F23" s="1581"/>
      <c r="G23" s="1581"/>
      <c r="H23" s="1581"/>
      <c r="I23" s="1581"/>
      <c r="J23" s="1581"/>
      <c r="K23" s="1581"/>
      <c r="L23" s="453"/>
    </row>
    <row r="24" spans="1:12" s="433" customFormat="1" ht="13.5" customHeight="1" x14ac:dyDescent="0.2">
      <c r="A24" s="1259" t="s">
        <v>1636</v>
      </c>
      <c r="B24" s="454">
        <v>7110</v>
      </c>
      <c r="C24" s="1573"/>
      <c r="D24" s="1581"/>
      <c r="E24" s="1581"/>
      <c r="F24" s="1581"/>
      <c r="G24" s="1581"/>
      <c r="H24" s="1581"/>
      <c r="I24" s="1581"/>
      <c r="J24" s="1581"/>
      <c r="K24" s="1581"/>
      <c r="L24" s="453"/>
    </row>
    <row r="25" spans="1:12" s="433" customFormat="1" ht="13.5" customHeight="1" x14ac:dyDescent="0.2">
      <c r="A25" s="1259" t="s">
        <v>1637</v>
      </c>
      <c r="B25" s="454">
        <v>7110</v>
      </c>
      <c r="C25" s="1573"/>
      <c r="D25" s="1573">
        <v>50000</v>
      </c>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v>25000</v>
      </c>
      <c r="G27" s="1584"/>
      <c r="H27" s="1584"/>
      <c r="I27" s="1584"/>
      <c r="J27" s="1584"/>
      <c r="K27" s="1584"/>
      <c r="L27" s="453"/>
    </row>
    <row r="28" spans="1:12" s="433" customFormat="1" ht="13.5" customHeight="1" x14ac:dyDescent="0.2">
      <c r="A28" s="1259" t="s">
        <v>1380</v>
      </c>
      <c r="B28" s="432">
        <v>7140</v>
      </c>
      <c r="C28" s="1573"/>
      <c r="D28" s="1573"/>
      <c r="E28" s="1573"/>
      <c r="F28" s="1573"/>
      <c r="G28" s="1573"/>
      <c r="H28" s="1573"/>
      <c r="I28" s="1573"/>
      <c r="J28" s="1573"/>
      <c r="K28" s="1573"/>
      <c r="L28" s="453"/>
    </row>
    <row r="29" spans="1:12" s="433" customFormat="1" ht="13.5" customHeight="1" x14ac:dyDescent="0.2">
      <c r="A29" s="1259" t="s">
        <v>290</v>
      </c>
      <c r="B29" s="432">
        <v>7150</v>
      </c>
      <c r="C29" s="1579"/>
      <c r="D29" s="1573"/>
      <c r="E29" s="1579"/>
      <c r="F29" s="1579"/>
      <c r="G29" s="1579"/>
      <c r="H29" s="1579"/>
      <c r="I29" s="1579"/>
      <c r="J29" s="1579"/>
      <c r="K29" s="1579"/>
      <c r="L29" s="453"/>
    </row>
    <row r="30" spans="1:12" s="433" customFormat="1" ht="26.25" x14ac:dyDescent="0.2">
      <c r="A30" s="1259" t="s">
        <v>1770</v>
      </c>
      <c r="B30" s="455">
        <v>7160</v>
      </c>
      <c r="C30" s="1581"/>
      <c r="D30" s="1573"/>
      <c r="E30" s="1581"/>
      <c r="F30" s="1581"/>
      <c r="G30" s="1581"/>
      <c r="H30" s="1581"/>
      <c r="I30" s="1581"/>
      <c r="J30" s="1581"/>
      <c r="K30" s="1581"/>
      <c r="L30" s="453"/>
    </row>
    <row r="31" spans="1:12" s="433" customFormat="1" ht="26.25" x14ac:dyDescent="0.2">
      <c r="A31" s="1259" t="s">
        <v>1774</v>
      </c>
      <c r="B31" s="455">
        <v>7170</v>
      </c>
      <c r="C31" s="1581"/>
      <c r="D31" s="1581"/>
      <c r="E31" s="1578"/>
      <c r="F31" s="1581"/>
      <c r="G31" s="1581"/>
      <c r="H31" s="1581"/>
      <c r="I31" s="1581"/>
      <c r="J31" s="1581"/>
      <c r="K31" s="1581"/>
      <c r="L31" s="453"/>
    </row>
    <row r="32" spans="1:12" s="433" customFormat="1" ht="15.75" customHeight="1" x14ac:dyDescent="0.2">
      <c r="A32" s="2237" t="s">
        <v>973</v>
      </c>
      <c r="B32" s="2238"/>
      <c r="C32" s="1581"/>
      <c r="D32" s="1581"/>
      <c r="E32" s="1579"/>
      <c r="F32" s="1581"/>
      <c r="G32" s="1581"/>
      <c r="H32" s="1581"/>
      <c r="I32" s="1581"/>
      <c r="J32" s="1581"/>
      <c r="K32" s="1581"/>
      <c r="L32" s="453"/>
    </row>
    <row r="33" spans="1:12" s="433" customFormat="1" x14ac:dyDescent="0.2">
      <c r="A33" s="1259" t="s">
        <v>408</v>
      </c>
      <c r="B33" s="454">
        <v>7210</v>
      </c>
      <c r="C33" s="1573"/>
      <c r="D33" s="1573"/>
      <c r="E33" s="1573"/>
      <c r="F33" s="1573"/>
      <c r="G33" s="1581"/>
      <c r="H33" s="1573"/>
      <c r="I33" s="1573"/>
      <c r="J33" s="1573"/>
      <c r="K33" s="1573"/>
      <c r="L33" s="453"/>
    </row>
    <row r="34" spans="1:12" s="433" customFormat="1" x14ac:dyDescent="0.2">
      <c r="A34" s="1259" t="s">
        <v>993</v>
      </c>
      <c r="B34" s="454">
        <v>7220</v>
      </c>
      <c r="C34" s="1573"/>
      <c r="D34" s="1573"/>
      <c r="E34" s="1573"/>
      <c r="F34" s="1573"/>
      <c r="G34" s="1581"/>
      <c r="H34" s="1582"/>
      <c r="I34" s="1582"/>
      <c r="J34" s="1582"/>
      <c r="K34" s="1582"/>
      <c r="L34" s="453"/>
    </row>
    <row r="35" spans="1:12" s="433" customFormat="1" x14ac:dyDescent="0.2">
      <c r="A35" s="1259" t="s">
        <v>982</v>
      </c>
      <c r="B35" s="454">
        <v>7230</v>
      </c>
      <c r="C35" s="1573"/>
      <c r="D35" s="1573"/>
      <c r="E35" s="1573"/>
      <c r="F35" s="1573"/>
      <c r="G35" s="1584"/>
      <c r="H35" s="1573"/>
      <c r="I35" s="1573"/>
      <c r="J35" s="1573"/>
      <c r="K35" s="1573"/>
      <c r="L35" s="453"/>
    </row>
    <row r="36" spans="1:12" s="433" customFormat="1" ht="15" x14ac:dyDescent="0.2">
      <c r="A36" s="1259" t="s">
        <v>1638</v>
      </c>
      <c r="B36" s="454">
        <v>7300</v>
      </c>
      <c r="C36" s="1573"/>
      <c r="D36" s="1573"/>
      <c r="E36" s="1573"/>
      <c r="F36" s="1573"/>
      <c r="G36" s="1573"/>
      <c r="H36" s="1573"/>
      <c r="I36" s="1579"/>
      <c r="J36" s="1573"/>
      <c r="K36" s="1573"/>
      <c r="L36" s="453"/>
    </row>
    <row r="37" spans="1:12" s="433" customFormat="1" x14ac:dyDescent="0.2">
      <c r="A37" s="1259" t="s">
        <v>437</v>
      </c>
      <c r="B37" s="454">
        <v>7400</v>
      </c>
      <c r="C37" s="1579"/>
      <c r="D37" s="1579"/>
      <c r="E37" s="1606">
        <f>SUM(C54:D57,H54:H57)</f>
        <v>19469</v>
      </c>
      <c r="F37" s="1579"/>
      <c r="G37" s="1579"/>
      <c r="H37" s="1579"/>
      <c r="I37" s="1581"/>
      <c r="J37" s="1579"/>
      <c r="K37" s="1579"/>
      <c r="L37" s="453"/>
    </row>
    <row r="38" spans="1:12" s="433" customFormat="1" x14ac:dyDescent="0.2">
      <c r="A38" s="1259" t="s">
        <v>438</v>
      </c>
      <c r="B38" s="454">
        <v>7500</v>
      </c>
      <c r="C38" s="1581"/>
      <c r="D38" s="1581"/>
      <c r="E38" s="1606">
        <f>SUM(C58:D61,H58:H61)</f>
        <v>3024</v>
      </c>
      <c r="F38" s="1581"/>
      <c r="G38" s="1581"/>
      <c r="H38" s="1581"/>
      <c r="I38" s="1581"/>
      <c r="J38" s="1581"/>
      <c r="K38" s="1581"/>
      <c r="L38" s="453"/>
    </row>
    <row r="39" spans="1:12" s="433" customFormat="1" x14ac:dyDescent="0.2">
      <c r="A39" s="1259" t="s">
        <v>439</v>
      </c>
      <c r="B39" s="454">
        <v>7600</v>
      </c>
      <c r="C39" s="1581"/>
      <c r="D39" s="1581"/>
      <c r="E39" s="1606">
        <f>SUM(C62:D65)</f>
        <v>0</v>
      </c>
      <c r="F39" s="1581"/>
      <c r="G39" s="1581"/>
      <c r="H39" s="1581"/>
      <c r="I39" s="1581"/>
      <c r="J39" s="1581"/>
      <c r="K39" s="1581"/>
      <c r="L39" s="453"/>
    </row>
    <row r="40" spans="1:12" s="433" customFormat="1" ht="13.5" customHeight="1" x14ac:dyDescent="0.2">
      <c r="A40" s="1259" t="s">
        <v>636</v>
      </c>
      <c r="B40" s="432">
        <v>7700</v>
      </c>
      <c r="C40" s="1581"/>
      <c r="D40" s="1581"/>
      <c r="E40" s="1606">
        <f>SUM(C66:D69)</f>
        <v>0</v>
      </c>
      <c r="F40" s="1581"/>
      <c r="G40" s="1581"/>
      <c r="H40" s="1584"/>
      <c r="I40" s="1581"/>
      <c r="J40" s="1581"/>
      <c r="K40" s="1581"/>
      <c r="L40" s="453"/>
    </row>
    <row r="41" spans="1:12" s="433" customFormat="1" ht="13.5" customHeight="1" x14ac:dyDescent="0.2">
      <c r="A41" s="1259" t="s">
        <v>634</v>
      </c>
      <c r="B41" s="432">
        <v>7800</v>
      </c>
      <c r="C41" s="1584"/>
      <c r="D41" s="1584"/>
      <c r="E41" s="1622"/>
      <c r="F41" s="1584"/>
      <c r="G41" s="1584"/>
      <c r="H41" s="1606">
        <f>SUM(C70:D73)</f>
        <v>0</v>
      </c>
      <c r="I41" s="1581"/>
      <c r="J41" s="1581"/>
      <c r="K41" s="1584"/>
      <c r="L41" s="453"/>
    </row>
    <row r="42" spans="1:12" s="433" customFormat="1" ht="13.5" customHeight="1" x14ac:dyDescent="0.2">
      <c r="A42" s="1259" t="s">
        <v>635</v>
      </c>
      <c r="B42" s="432">
        <v>7900</v>
      </c>
      <c r="C42" s="1573"/>
      <c r="D42" s="1573"/>
      <c r="E42" s="1573"/>
      <c r="F42" s="1573"/>
      <c r="G42" s="1573"/>
      <c r="H42" s="1573"/>
      <c r="I42" s="1584"/>
      <c r="J42" s="1584"/>
      <c r="K42" s="1573"/>
      <c r="L42" s="453"/>
    </row>
    <row r="43" spans="1:12" s="433" customFormat="1" ht="13.5" customHeight="1" x14ac:dyDescent="0.2">
      <c r="A43" s="1259" t="s">
        <v>369</v>
      </c>
      <c r="B43" s="432">
        <v>7990</v>
      </c>
      <c r="C43" s="1573"/>
      <c r="D43" s="1573">
        <v>67818</v>
      </c>
      <c r="E43" s="1573"/>
      <c r="F43" s="1573">
        <v>176832</v>
      </c>
      <c r="G43" s="1573"/>
      <c r="H43" s="1573"/>
      <c r="I43" s="1573"/>
      <c r="J43" s="1573"/>
      <c r="K43" s="1573"/>
      <c r="L43" s="453"/>
    </row>
    <row r="44" spans="1:12" s="433" customFormat="1" ht="13.5" customHeight="1" thickBot="1" x14ac:dyDescent="0.25">
      <c r="A44" s="2245" t="s">
        <v>370</v>
      </c>
      <c r="B44" s="2246"/>
      <c r="C44" s="1623">
        <f>SUM(C24:C43)</f>
        <v>0</v>
      </c>
      <c r="D44" s="1623">
        <f t="shared" ref="D44:K44" si="6">SUM(D24:D43)</f>
        <v>117818</v>
      </c>
      <c r="E44" s="1623">
        <f t="shared" si="6"/>
        <v>22493</v>
      </c>
      <c r="F44" s="1623">
        <f t="shared" si="6"/>
        <v>201832</v>
      </c>
      <c r="G44" s="1623">
        <f t="shared" si="6"/>
        <v>0</v>
      </c>
      <c r="H44" s="1623">
        <f t="shared" si="6"/>
        <v>0</v>
      </c>
      <c r="I44" s="1623">
        <f t="shared" si="6"/>
        <v>0</v>
      </c>
      <c r="J44" s="1623">
        <f t="shared" si="6"/>
        <v>0</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6">
        <f>SUM(C24,C25:H25,J25:K25)</f>
        <v>50000</v>
      </c>
      <c r="J47" s="1581"/>
      <c r="K47" s="1581"/>
      <c r="L47" s="456"/>
    </row>
    <row r="48" spans="1:12" s="433" customFormat="1" ht="15" x14ac:dyDescent="0.2">
      <c r="A48" s="1260" t="s">
        <v>1640</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25000</v>
      </c>
      <c r="D49" s="1573"/>
      <c r="E49" s="1584"/>
      <c r="F49" s="1573"/>
      <c r="G49" s="1584"/>
      <c r="H49" s="1584"/>
      <c r="I49" s="1581"/>
      <c r="J49" s="1584"/>
      <c r="K49" s="1581"/>
      <c r="L49" s="453"/>
    </row>
    <row r="50" spans="1:12" s="433" customFormat="1" x14ac:dyDescent="0.2">
      <c r="A50" s="1260" t="s">
        <v>1380</v>
      </c>
      <c r="B50" s="432">
        <v>8140</v>
      </c>
      <c r="C50" s="1573"/>
      <c r="D50" s="1573"/>
      <c r="E50" s="1573"/>
      <c r="F50" s="1573"/>
      <c r="G50" s="1573"/>
      <c r="H50" s="1573"/>
      <c r="I50" s="1581"/>
      <c r="J50" s="1573"/>
      <c r="K50" s="1581"/>
      <c r="L50" s="453"/>
    </row>
    <row r="51" spans="1:12" s="433" customFormat="1" x14ac:dyDescent="0.2">
      <c r="A51" s="1260" t="s">
        <v>290</v>
      </c>
      <c r="B51" s="432">
        <v>8150</v>
      </c>
      <c r="C51" s="1579"/>
      <c r="D51" s="1579"/>
      <c r="E51" s="1579"/>
      <c r="F51" s="1579"/>
      <c r="G51" s="1579"/>
      <c r="H51" s="1606">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6">
        <f>D30</f>
        <v>0</v>
      </c>
      <c r="L52" s="453"/>
    </row>
    <row r="53" spans="1:12" s="433" customFormat="1" ht="26.25" x14ac:dyDescent="0.2">
      <c r="A53" s="1260" t="s">
        <v>1772</v>
      </c>
      <c r="B53" s="432">
        <v>8170</v>
      </c>
      <c r="C53" s="1584"/>
      <c r="D53" s="1584"/>
      <c r="E53" s="1581"/>
      <c r="F53" s="1581"/>
      <c r="G53" s="1581"/>
      <c r="H53" s="1584"/>
      <c r="I53" s="1581"/>
      <c r="J53" s="1581"/>
      <c r="K53" s="1606">
        <f>E31</f>
        <v>0</v>
      </c>
      <c r="L53" s="453"/>
    </row>
    <row r="54" spans="1:12" s="433" customFormat="1" ht="13.5" thickBot="1" x14ac:dyDescent="0.25">
      <c r="A54" s="1260" t="s">
        <v>686</v>
      </c>
      <c r="B54" s="432">
        <v>8410</v>
      </c>
      <c r="C54" s="1625"/>
      <c r="D54" s="1625"/>
      <c r="E54" s="1581"/>
      <c r="F54" s="1581"/>
      <c r="G54" s="1581"/>
      <c r="H54" s="1625"/>
      <c r="I54" s="1581"/>
      <c r="J54" s="1581"/>
      <c r="K54" s="1579"/>
      <c r="L54" s="453"/>
    </row>
    <row r="55" spans="1:12" s="433" customFormat="1" ht="14.25" thickTop="1" thickBot="1" x14ac:dyDescent="0.25">
      <c r="A55" s="1261" t="s">
        <v>687</v>
      </c>
      <c r="B55" s="432">
        <v>8420</v>
      </c>
      <c r="C55" s="1626"/>
      <c r="D55" s="1626"/>
      <c r="E55" s="1581"/>
      <c r="F55" s="1581"/>
      <c r="G55" s="1581"/>
      <c r="H55" s="1625"/>
      <c r="I55" s="1581"/>
      <c r="J55" s="1581"/>
      <c r="K55" s="1581"/>
      <c r="L55" s="453"/>
    </row>
    <row r="56" spans="1:12" s="433" customFormat="1" ht="14.25" thickTop="1" thickBot="1" x14ac:dyDescent="0.25">
      <c r="A56" s="1260" t="s">
        <v>576</v>
      </c>
      <c r="B56" s="432">
        <v>8430</v>
      </c>
      <c r="C56" s="1626"/>
      <c r="D56" s="1626">
        <v>19469</v>
      </c>
      <c r="E56" s="1581"/>
      <c r="F56" s="1581"/>
      <c r="G56" s="1581"/>
      <c r="H56" s="1625"/>
      <c r="I56" s="1581"/>
      <c r="J56" s="1581"/>
      <c r="K56" s="1581"/>
      <c r="L56" s="453"/>
    </row>
    <row r="57" spans="1:12" s="433" customFormat="1" ht="14.25" thickTop="1" thickBot="1" x14ac:dyDescent="0.25">
      <c r="A57" s="1261" t="s">
        <v>573</v>
      </c>
      <c r="B57" s="432">
        <v>8440</v>
      </c>
      <c r="C57" s="1626"/>
      <c r="D57" s="1626"/>
      <c r="E57" s="1581"/>
      <c r="F57" s="1581"/>
      <c r="G57" s="1581"/>
      <c r="H57" s="1625"/>
      <c r="I57" s="1581"/>
      <c r="J57" s="1581"/>
      <c r="K57" s="1581"/>
      <c r="L57" s="453"/>
    </row>
    <row r="58" spans="1:12" s="433" customFormat="1" ht="14.25" thickTop="1" thickBot="1" x14ac:dyDescent="0.25">
      <c r="A58" s="1260" t="s">
        <v>574</v>
      </c>
      <c r="B58" s="432">
        <v>8510</v>
      </c>
      <c r="C58" s="1626"/>
      <c r="D58" s="1626"/>
      <c r="E58" s="1581"/>
      <c r="F58" s="1581"/>
      <c r="G58" s="1581"/>
      <c r="H58" s="1625"/>
      <c r="I58" s="1581"/>
      <c r="J58" s="1581"/>
      <c r="K58" s="1581"/>
      <c r="L58" s="453"/>
    </row>
    <row r="59" spans="1:12" s="433" customFormat="1" ht="14.25" thickTop="1" thickBot="1" x14ac:dyDescent="0.25">
      <c r="A59" s="1262" t="s">
        <v>688</v>
      </c>
      <c r="B59" s="432">
        <v>8520</v>
      </c>
      <c r="C59" s="1626"/>
      <c r="D59" s="1626"/>
      <c r="E59" s="1581"/>
      <c r="F59" s="1581"/>
      <c r="G59" s="1581"/>
      <c r="H59" s="1625"/>
      <c r="I59" s="1581"/>
      <c r="J59" s="1581"/>
      <c r="K59" s="1581"/>
      <c r="L59" s="453"/>
    </row>
    <row r="60" spans="1:12" s="433" customFormat="1" ht="14.25" thickTop="1" thickBot="1" x14ac:dyDescent="0.25">
      <c r="A60" s="1260" t="s">
        <v>575</v>
      </c>
      <c r="B60" s="432">
        <v>8530</v>
      </c>
      <c r="C60" s="1626"/>
      <c r="D60" s="1626">
        <v>3024</v>
      </c>
      <c r="E60" s="1581"/>
      <c r="F60" s="1581"/>
      <c r="G60" s="1581"/>
      <c r="H60" s="1625"/>
      <c r="I60" s="1581"/>
      <c r="J60" s="1581"/>
      <c r="K60" s="1581"/>
      <c r="L60" s="453"/>
    </row>
    <row r="61" spans="1:12" s="433" customFormat="1" ht="14.25" thickTop="1" thickBot="1" x14ac:dyDescent="0.25">
      <c r="A61" s="1261" t="s">
        <v>737</v>
      </c>
      <c r="B61" s="432">
        <v>8540</v>
      </c>
      <c r="C61" s="1626"/>
      <c r="D61" s="1626"/>
      <c r="E61" s="1581"/>
      <c r="F61" s="1581"/>
      <c r="G61" s="1581"/>
      <c r="H61" s="1625"/>
      <c r="I61" s="1581"/>
      <c r="J61" s="1581"/>
      <c r="K61" s="1581"/>
      <c r="L61" s="453"/>
    </row>
    <row r="62" spans="1:12" s="433" customFormat="1" ht="13.5" customHeight="1" thickTop="1" thickBot="1" x14ac:dyDescent="0.25">
      <c r="A62" s="1260" t="s">
        <v>738</v>
      </c>
      <c r="B62" s="432">
        <v>8610</v>
      </c>
      <c r="C62" s="1626"/>
      <c r="D62" s="1626"/>
      <c r="E62" s="1581"/>
      <c r="F62" s="1581"/>
      <c r="G62" s="1581"/>
      <c r="H62" s="1581"/>
      <c r="I62" s="1581"/>
      <c r="J62" s="1581"/>
      <c r="K62" s="1581"/>
      <c r="L62" s="453"/>
    </row>
    <row r="63" spans="1:12" s="433" customFormat="1" ht="14.25" thickTop="1" thickBot="1" x14ac:dyDescent="0.25">
      <c r="A63" s="1261" t="s">
        <v>689</v>
      </c>
      <c r="B63" s="432">
        <v>8620</v>
      </c>
      <c r="C63" s="1626"/>
      <c r="D63" s="1626"/>
      <c r="E63" s="1581"/>
      <c r="F63" s="1581"/>
      <c r="G63" s="1581"/>
      <c r="H63" s="1581"/>
      <c r="I63" s="1581"/>
      <c r="J63" s="1581"/>
      <c r="K63" s="1581"/>
      <c r="L63" s="453"/>
    </row>
    <row r="64" spans="1:12" s="433" customFormat="1" ht="13.5" customHeight="1" thickTop="1" thickBot="1" x14ac:dyDescent="0.25">
      <c r="A64" s="1260" t="s">
        <v>739</v>
      </c>
      <c r="B64" s="432">
        <v>8630</v>
      </c>
      <c r="C64" s="1626"/>
      <c r="D64" s="1626"/>
      <c r="E64" s="1581"/>
      <c r="F64" s="1581"/>
      <c r="G64" s="1581"/>
      <c r="H64" s="1581"/>
      <c r="I64" s="1581"/>
      <c r="J64" s="1581"/>
      <c r="K64" s="1581"/>
      <c r="L64" s="453"/>
    </row>
    <row r="65" spans="1:12" s="433" customFormat="1" ht="14.25" thickTop="1" thickBot="1" x14ac:dyDescent="0.25">
      <c r="A65" s="1261" t="s">
        <v>740</v>
      </c>
      <c r="B65" s="432">
        <v>8640</v>
      </c>
      <c r="C65" s="1626"/>
      <c r="D65" s="1626"/>
      <c r="E65" s="1581"/>
      <c r="F65" s="1581"/>
      <c r="G65" s="1581"/>
      <c r="H65" s="1581"/>
      <c r="I65" s="1581"/>
      <c r="J65" s="1581"/>
      <c r="K65" s="1581"/>
      <c r="L65" s="453"/>
    </row>
    <row r="66" spans="1:12" s="433" customFormat="1" ht="14.25" thickTop="1" thickBot="1" x14ac:dyDescent="0.25">
      <c r="A66" s="1260" t="s">
        <v>741</v>
      </c>
      <c r="B66" s="432">
        <v>8710</v>
      </c>
      <c r="C66" s="1626"/>
      <c r="D66" s="1626"/>
      <c r="E66" s="1581"/>
      <c r="F66" s="1581"/>
      <c r="G66" s="1581"/>
      <c r="H66" s="1581"/>
      <c r="I66" s="1581"/>
      <c r="J66" s="1581"/>
      <c r="K66" s="1581"/>
      <c r="L66" s="453"/>
    </row>
    <row r="67" spans="1:12" s="433" customFormat="1" ht="14.25" thickTop="1" thickBot="1" x14ac:dyDescent="0.25">
      <c r="A67" s="1261" t="s">
        <v>690</v>
      </c>
      <c r="B67" s="432">
        <v>8720</v>
      </c>
      <c r="C67" s="1626"/>
      <c r="D67" s="1626"/>
      <c r="E67" s="1581"/>
      <c r="F67" s="1581"/>
      <c r="G67" s="1581"/>
      <c r="H67" s="1581"/>
      <c r="I67" s="1581"/>
      <c r="J67" s="1581"/>
      <c r="K67" s="1581"/>
      <c r="L67" s="453"/>
    </row>
    <row r="68" spans="1:12" s="433" customFormat="1" ht="14.25" thickTop="1" thickBot="1" x14ac:dyDescent="0.25">
      <c r="A68" s="1262" t="s">
        <v>742</v>
      </c>
      <c r="B68" s="432">
        <v>8730</v>
      </c>
      <c r="C68" s="1626"/>
      <c r="D68" s="1626"/>
      <c r="E68" s="1581"/>
      <c r="F68" s="1581"/>
      <c r="G68" s="1581"/>
      <c r="H68" s="1581"/>
      <c r="I68" s="1581"/>
      <c r="J68" s="1581"/>
      <c r="K68" s="1581"/>
      <c r="L68" s="453"/>
    </row>
    <row r="69" spans="1:12" s="433" customFormat="1" ht="14.25" thickTop="1" thickBot="1" x14ac:dyDescent="0.25">
      <c r="A69" s="1261" t="s">
        <v>743</v>
      </c>
      <c r="B69" s="432">
        <v>8740</v>
      </c>
      <c r="C69" s="1626"/>
      <c r="D69" s="1626"/>
      <c r="E69" s="1581"/>
      <c r="F69" s="1581"/>
      <c r="G69" s="1581"/>
      <c r="H69" s="1581"/>
      <c r="I69" s="1581"/>
      <c r="J69" s="1581"/>
      <c r="K69" s="1581"/>
      <c r="L69" s="453"/>
    </row>
    <row r="70" spans="1:12" s="433" customFormat="1" ht="14.25" thickTop="1" thickBot="1" x14ac:dyDescent="0.25">
      <c r="A70" s="1260" t="s">
        <v>744</v>
      </c>
      <c r="B70" s="432">
        <v>8810</v>
      </c>
      <c r="C70" s="1626"/>
      <c r="D70" s="1626"/>
      <c r="E70" s="1581"/>
      <c r="F70" s="1581"/>
      <c r="G70" s="1581"/>
      <c r="H70" s="1581"/>
      <c r="I70" s="1581"/>
      <c r="J70" s="1581"/>
      <c r="K70" s="1581"/>
      <c r="L70" s="453"/>
    </row>
    <row r="71" spans="1:12" s="433" customFormat="1" ht="14.25" thickTop="1" thickBot="1" x14ac:dyDescent="0.25">
      <c r="A71" s="1260" t="s">
        <v>748</v>
      </c>
      <c r="B71" s="432">
        <v>8820</v>
      </c>
      <c r="C71" s="1626"/>
      <c r="D71" s="1626"/>
      <c r="E71" s="1581"/>
      <c r="F71" s="1581"/>
      <c r="G71" s="1581"/>
      <c r="H71" s="1581"/>
      <c r="I71" s="1581"/>
      <c r="J71" s="1581"/>
      <c r="K71" s="1581"/>
      <c r="L71" s="453"/>
    </row>
    <row r="72" spans="1:12" s="433" customFormat="1" ht="14.25" thickTop="1" thickBot="1" x14ac:dyDescent="0.25">
      <c r="A72" s="1260" t="s">
        <v>745</v>
      </c>
      <c r="B72" s="432">
        <v>8830</v>
      </c>
      <c r="C72" s="1626"/>
      <c r="D72" s="1626"/>
      <c r="E72" s="1581"/>
      <c r="F72" s="1581"/>
      <c r="G72" s="1581"/>
      <c r="H72" s="1581"/>
      <c r="I72" s="1581"/>
      <c r="J72" s="1581"/>
      <c r="K72" s="1581"/>
      <c r="L72" s="453"/>
    </row>
    <row r="73" spans="1:12" s="433" customFormat="1" ht="14.25" thickTop="1" thickBot="1" x14ac:dyDescent="0.25">
      <c r="A73" s="1260" t="s">
        <v>746</v>
      </c>
      <c r="B73" s="432">
        <v>8840</v>
      </c>
      <c r="C73" s="1626"/>
      <c r="D73" s="1626"/>
      <c r="E73" s="1581"/>
      <c r="F73" s="1581"/>
      <c r="G73" s="1581"/>
      <c r="H73" s="1581"/>
      <c r="I73" s="1581"/>
      <c r="J73" s="1581"/>
      <c r="K73" s="1584"/>
      <c r="L73" s="453"/>
    </row>
    <row r="74" spans="1:12" s="433" customFormat="1" ht="14.25" thickTop="1" thickBot="1" x14ac:dyDescent="0.25">
      <c r="A74" s="1260" t="s">
        <v>371</v>
      </c>
      <c r="B74" s="432">
        <v>8910</v>
      </c>
      <c r="C74" s="1626"/>
      <c r="D74" s="1626"/>
      <c r="E74" s="1584"/>
      <c r="F74" s="1625"/>
      <c r="G74" s="1625"/>
      <c r="H74" s="1625"/>
      <c r="I74" s="1584"/>
      <c r="J74" s="1584"/>
      <c r="K74" s="1625"/>
      <c r="L74" s="453"/>
    </row>
    <row r="75" spans="1:12" s="433" customFormat="1" ht="14.25" thickTop="1" thickBot="1" x14ac:dyDescent="0.25">
      <c r="A75" s="1263" t="s">
        <v>435</v>
      </c>
      <c r="B75" s="432">
        <v>8990</v>
      </c>
      <c r="C75" s="1626"/>
      <c r="D75" s="1626"/>
      <c r="E75" s="1625"/>
      <c r="F75" s="1627"/>
      <c r="G75" s="1627"/>
      <c r="H75" s="1627"/>
      <c r="I75" s="1625"/>
      <c r="J75" s="1625"/>
      <c r="K75" s="1627"/>
      <c r="L75" s="453"/>
    </row>
    <row r="76" spans="1:12" s="433" customFormat="1" ht="14.25" thickTop="1" thickBot="1" x14ac:dyDescent="0.25">
      <c r="A76" s="2221" t="s">
        <v>436</v>
      </c>
      <c r="B76" s="2222"/>
      <c r="C76" s="1623">
        <f t="shared" ref="C76:K76" si="7">SUM(C47:C75)</f>
        <v>25000</v>
      </c>
      <c r="D76" s="1623">
        <f t="shared" si="7"/>
        <v>22493</v>
      </c>
      <c r="E76" s="1623">
        <f t="shared" si="7"/>
        <v>0</v>
      </c>
      <c r="F76" s="1623">
        <f t="shared" si="7"/>
        <v>0</v>
      </c>
      <c r="G76" s="1623">
        <f t="shared" si="7"/>
        <v>0</v>
      </c>
      <c r="H76" s="1623">
        <f t="shared" si="7"/>
        <v>0</v>
      </c>
      <c r="I76" s="1623">
        <f t="shared" si="7"/>
        <v>50000</v>
      </c>
      <c r="J76" s="1623">
        <f t="shared" si="7"/>
        <v>0</v>
      </c>
      <c r="K76" s="1623">
        <f t="shared" si="7"/>
        <v>0</v>
      </c>
      <c r="L76" s="453"/>
    </row>
    <row r="77" spans="1:12" ht="14.25" thickTop="1" thickBot="1" x14ac:dyDescent="0.25">
      <c r="A77" s="2223" t="s">
        <v>1166</v>
      </c>
      <c r="B77" s="2224"/>
      <c r="C77" s="1623">
        <f t="shared" ref="C77:K77" si="8">C44-C76</f>
        <v>-25000</v>
      </c>
      <c r="D77" s="1623">
        <f t="shared" si="8"/>
        <v>95325</v>
      </c>
      <c r="E77" s="1623">
        <f t="shared" si="8"/>
        <v>22493</v>
      </c>
      <c r="F77" s="1623">
        <f t="shared" si="8"/>
        <v>201832</v>
      </c>
      <c r="G77" s="1623">
        <f t="shared" si="8"/>
        <v>0</v>
      </c>
      <c r="H77" s="1623">
        <f t="shared" si="8"/>
        <v>0</v>
      </c>
      <c r="I77" s="1623">
        <f t="shared" si="8"/>
        <v>-50000</v>
      </c>
      <c r="J77" s="1623">
        <f t="shared" si="8"/>
        <v>0</v>
      </c>
      <c r="K77" s="1623">
        <f t="shared" si="8"/>
        <v>0</v>
      </c>
      <c r="L77" s="325"/>
    </row>
    <row r="78" spans="1:12" ht="21.75" customHeight="1" thickTop="1" thickBot="1" x14ac:dyDescent="0.25">
      <c r="A78" s="2227" t="s">
        <v>592</v>
      </c>
      <c r="B78" s="2228"/>
      <c r="C78" s="1628">
        <f t="shared" ref="C78:K78" si="9">C20+C77</f>
        <v>93163</v>
      </c>
      <c r="D78" s="1628">
        <f t="shared" si="9"/>
        <v>-62505</v>
      </c>
      <c r="E78" s="1628">
        <f t="shared" si="9"/>
        <v>370</v>
      </c>
      <c r="F78" s="1628">
        <f t="shared" si="9"/>
        <v>-9646</v>
      </c>
      <c r="G78" s="1628">
        <f t="shared" si="9"/>
        <v>-12080</v>
      </c>
      <c r="H78" s="1628">
        <f t="shared" si="9"/>
        <v>0</v>
      </c>
      <c r="I78" s="1628">
        <f t="shared" si="9"/>
        <v>-49372</v>
      </c>
      <c r="J78" s="1628">
        <f t="shared" si="9"/>
        <v>8391</v>
      </c>
      <c r="K78" s="1628">
        <f t="shared" si="9"/>
        <v>0</v>
      </c>
      <c r="L78" s="457"/>
    </row>
    <row r="79" spans="1:12" ht="13.5" thickTop="1" x14ac:dyDescent="0.2">
      <c r="A79" s="1843" t="str">
        <f>"Fund Balances - July 1, "&amp;'AFR20'!E2-1</f>
        <v>Fund Balances - July 1, 2019</v>
      </c>
      <c r="B79" s="458"/>
      <c r="C79" s="1582">
        <v>649640</v>
      </c>
      <c r="D79" s="1629">
        <v>114476</v>
      </c>
      <c r="E79" s="1629">
        <v>82608</v>
      </c>
      <c r="F79" s="1629">
        <v>37307</v>
      </c>
      <c r="G79" s="1629">
        <v>24156</v>
      </c>
      <c r="H79" s="1629"/>
      <c r="I79" s="1629">
        <v>85085</v>
      </c>
      <c r="J79" s="1629">
        <v>1</v>
      </c>
      <c r="K79" s="1629"/>
      <c r="L79" s="325"/>
    </row>
    <row r="80" spans="1:12" x14ac:dyDescent="0.2">
      <c r="A80" s="2233" t="s">
        <v>1771</v>
      </c>
      <c r="B80" s="2234"/>
      <c r="C80" s="1573"/>
      <c r="D80" s="1573"/>
      <c r="E80" s="1573"/>
      <c r="F80" s="1573"/>
      <c r="G80" s="1573"/>
      <c r="H80" s="1573"/>
      <c r="I80" s="1573"/>
      <c r="J80" s="1573"/>
      <c r="K80" s="1573"/>
      <c r="L80" s="325"/>
    </row>
    <row r="81" spans="1:12" ht="13.5" thickBot="1" x14ac:dyDescent="0.25">
      <c r="A81" s="2225" t="str">
        <f>"Fund Balances - June 30, "&amp;'AFR20'!E2</f>
        <v>Fund Balances - June 30, 2020</v>
      </c>
      <c r="B81" s="2226"/>
      <c r="C81" s="1593">
        <f>(SUM(C78:C80))</f>
        <v>742803</v>
      </c>
      <c r="D81" s="1593">
        <f>SUM(D78:D80)</f>
        <v>51971</v>
      </c>
      <c r="E81" s="1593">
        <f t="shared" ref="E81:K81" si="10">SUM(E78:E80)</f>
        <v>82978</v>
      </c>
      <c r="F81" s="1593">
        <f t="shared" si="10"/>
        <v>27661</v>
      </c>
      <c r="G81" s="1593">
        <f t="shared" si="10"/>
        <v>12076</v>
      </c>
      <c r="H81" s="1593">
        <f t="shared" si="10"/>
        <v>0</v>
      </c>
      <c r="I81" s="1593">
        <f t="shared" si="10"/>
        <v>35713</v>
      </c>
      <c r="J81" s="1593">
        <f t="shared" si="10"/>
        <v>8392</v>
      </c>
      <c r="K81" s="1593">
        <f t="shared" si="10"/>
        <v>0</v>
      </c>
      <c r="L81" s="325"/>
    </row>
    <row r="82" spans="1:12" ht="0.75" customHeight="1" thickTop="1" thickBot="1" x14ac:dyDescent="0.25">
      <c r="A82" s="459" t="s">
        <v>339</v>
      </c>
      <c r="B82" s="460"/>
      <c r="C82" s="461">
        <f>(C81-C79)</f>
        <v>93163</v>
      </c>
      <c r="D82" s="461">
        <f t="shared" ref="D82:K82" si="11">(D81-D79)</f>
        <v>-62505</v>
      </c>
      <c r="E82" s="461">
        <f t="shared" si="11"/>
        <v>370</v>
      </c>
      <c r="F82" s="461">
        <f t="shared" si="11"/>
        <v>-9646</v>
      </c>
      <c r="G82" s="461">
        <f t="shared" si="11"/>
        <v>-12080</v>
      </c>
      <c r="H82" s="461">
        <f t="shared" si="11"/>
        <v>0</v>
      </c>
      <c r="I82" s="461">
        <f t="shared" si="11"/>
        <v>-49372</v>
      </c>
      <c r="J82" s="461">
        <f t="shared" si="11"/>
        <v>8391</v>
      </c>
      <c r="K82" s="461">
        <f t="shared" si="11"/>
        <v>0</v>
      </c>
    </row>
    <row r="83" spans="1:12" ht="14.25" hidden="1" thickTop="1" thickBot="1" x14ac:dyDescent="0.25">
      <c r="A83" s="462" t="s">
        <v>340</v>
      </c>
      <c r="B83" s="428"/>
      <c r="C83" s="463">
        <f>C82/C81</f>
        <v>0.12542087202124924</v>
      </c>
      <c r="D83" s="463">
        <f t="shared" ref="D83:K83" si="12">D82/D81</f>
        <v>-1.2026899617094149</v>
      </c>
      <c r="E83" s="463">
        <f t="shared" si="12"/>
        <v>4.4590132324230517E-3</v>
      </c>
      <c r="F83" s="463">
        <f t="shared" si="12"/>
        <v>-0.34872202740320307</v>
      </c>
      <c r="G83" s="463">
        <f t="shared" si="12"/>
        <v>-1.0003312355084466</v>
      </c>
      <c r="H83" s="463" t="e">
        <f t="shared" si="12"/>
        <v>#DIV/0!</v>
      </c>
      <c r="I83" s="463">
        <f t="shared" si="12"/>
        <v>-1.3824657687676756</v>
      </c>
      <c r="J83" s="463">
        <f t="shared" si="12"/>
        <v>0.99988083889418489</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1" activePane="bottomLeft" state="frozen"/>
      <selection activeCell="I42" sqref="I42:O42"/>
      <selection pane="bottomLeft" activeCell="C146" sqref="C14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1778</v>
      </c>
      <c r="B1" s="416"/>
      <c r="C1" s="417" t="s">
        <v>421</v>
      </c>
      <c r="D1" s="417" t="s">
        <v>422</v>
      </c>
      <c r="E1" s="417" t="s">
        <v>423</v>
      </c>
      <c r="F1" s="417" t="s">
        <v>424</v>
      </c>
      <c r="G1" s="417" t="s">
        <v>425</v>
      </c>
      <c r="H1" s="417" t="s">
        <v>426</v>
      </c>
      <c r="I1" s="417" t="s">
        <v>427</v>
      </c>
      <c r="J1" s="417" t="s">
        <v>428</v>
      </c>
      <c r="K1" s="417" t="s">
        <v>750</v>
      </c>
    </row>
    <row r="2" spans="1:12" ht="36" x14ac:dyDescent="0.2">
      <c r="A2" s="2230"/>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585">
        <v>206928</v>
      </c>
      <c r="D5" s="1585">
        <v>30221</v>
      </c>
      <c r="E5" s="1572">
        <v>74753</v>
      </c>
      <c r="F5" s="1630">
        <v>19882</v>
      </c>
      <c r="G5" s="1572">
        <v>40994</v>
      </c>
      <c r="H5" s="1572"/>
      <c r="I5" s="1572"/>
      <c r="J5" s="1573">
        <v>12568</v>
      </c>
      <c r="K5" s="1572"/>
    </row>
    <row r="6" spans="1:12" ht="15" x14ac:dyDescent="0.2">
      <c r="A6" s="427" t="s">
        <v>1642</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409</v>
      </c>
      <c r="B8" s="429">
        <v>1150</v>
      </c>
      <c r="C8" s="1579"/>
      <c r="D8" s="1579"/>
      <c r="E8" s="1581"/>
      <c r="F8" s="1581"/>
      <c r="G8" s="1585">
        <v>24566</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410</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206928</v>
      </c>
      <c r="D12" s="1632">
        <f t="shared" si="0"/>
        <v>30221</v>
      </c>
      <c r="E12" s="1632">
        <f t="shared" si="0"/>
        <v>74753</v>
      </c>
      <c r="F12" s="1632">
        <f t="shared" si="0"/>
        <v>19882</v>
      </c>
      <c r="G12" s="1632">
        <f t="shared" si="0"/>
        <v>65560</v>
      </c>
      <c r="H12" s="1632">
        <f t="shared" si="0"/>
        <v>0</v>
      </c>
      <c r="I12" s="1632">
        <f t="shared" si="0"/>
        <v>0</v>
      </c>
      <c r="J12" s="1632">
        <f t="shared" si="0"/>
        <v>12568</v>
      </c>
      <c r="K12" s="1593">
        <f t="shared" si="0"/>
        <v>0</v>
      </c>
    </row>
    <row r="13" spans="1:12" ht="15.75" customHeight="1" thickTop="1" x14ac:dyDescent="0.2">
      <c r="A13" s="1329" t="s">
        <v>447</v>
      </c>
      <c r="B13" s="1330">
        <v>1200</v>
      </c>
      <c r="C13" s="1633"/>
      <c r="D13" s="1633"/>
      <c r="E13" s="1633"/>
      <c r="F13" s="1633"/>
      <c r="G13" s="1633"/>
      <c r="H13" s="1633"/>
      <c r="I13" s="1633"/>
      <c r="J13" s="1633"/>
      <c r="K13" s="1574"/>
    </row>
    <row r="14" spans="1:12" x14ac:dyDescent="0.2">
      <c r="A14" s="427" t="s">
        <v>3</v>
      </c>
      <c r="B14" s="429">
        <v>1210</v>
      </c>
      <c r="C14" s="1631">
        <v>2339</v>
      </c>
      <c r="D14" s="1572">
        <v>342</v>
      </c>
      <c r="E14" s="1572">
        <v>845</v>
      </c>
      <c r="F14" s="1572">
        <v>225</v>
      </c>
      <c r="G14" s="1572">
        <v>741</v>
      </c>
      <c r="H14" s="1572"/>
      <c r="I14" s="1572"/>
      <c r="J14" s="1573">
        <v>142</v>
      </c>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1643</v>
      </c>
      <c r="B16" s="471">
        <v>1230</v>
      </c>
      <c r="C16" s="1631">
        <v>32927</v>
      </c>
      <c r="D16" s="1572"/>
      <c r="E16" s="1572"/>
      <c r="F16" s="1572"/>
      <c r="G16" s="1572">
        <v>15000</v>
      </c>
      <c r="H16" s="1572"/>
      <c r="I16" s="1572"/>
      <c r="J16" s="1573"/>
      <c r="K16" s="1572"/>
    </row>
    <row r="17" spans="1:11" ht="12.75" customHeight="1" x14ac:dyDescent="0.2">
      <c r="A17" s="427" t="s">
        <v>801</v>
      </c>
      <c r="B17" s="429">
        <v>1290</v>
      </c>
      <c r="C17" s="1631"/>
      <c r="D17" s="1572"/>
      <c r="E17" s="1572"/>
      <c r="F17" s="1572"/>
      <c r="G17" s="1572"/>
      <c r="H17" s="1572"/>
      <c r="I17" s="1572"/>
      <c r="J17" s="1573"/>
      <c r="K17" s="1572"/>
    </row>
    <row r="18" spans="1:11" ht="12.75" customHeight="1" thickBot="1" x14ac:dyDescent="0.25">
      <c r="A18" s="1405" t="s">
        <v>533</v>
      </c>
      <c r="B18" s="1406"/>
      <c r="C18" s="1634">
        <f>SUM(C14:C17)</f>
        <v>35266</v>
      </c>
      <c r="D18" s="1634">
        <f t="shared" ref="D18:K18" si="1">SUM(D14:D17)</f>
        <v>342</v>
      </c>
      <c r="E18" s="1634">
        <f t="shared" si="1"/>
        <v>845</v>
      </c>
      <c r="F18" s="1634">
        <f t="shared" si="1"/>
        <v>225</v>
      </c>
      <c r="G18" s="1634">
        <f t="shared" si="1"/>
        <v>15741</v>
      </c>
      <c r="H18" s="1634">
        <f t="shared" si="1"/>
        <v>0</v>
      </c>
      <c r="I18" s="1634">
        <f t="shared" si="1"/>
        <v>0</v>
      </c>
      <c r="J18" s="1634">
        <f t="shared" si="1"/>
        <v>142</v>
      </c>
      <c r="K18" s="1635">
        <f t="shared" si="1"/>
        <v>0</v>
      </c>
    </row>
    <row r="19" spans="1:11" ht="15.75" customHeight="1" thickTop="1" x14ac:dyDescent="0.2">
      <c r="A19" s="1329" t="s">
        <v>448</v>
      </c>
      <c r="B19" s="1330">
        <v>1300</v>
      </c>
      <c r="C19" s="1636"/>
      <c r="D19" s="1636"/>
      <c r="E19" s="1636"/>
      <c r="F19" s="1636"/>
      <c r="G19" s="1633"/>
      <c r="H19" s="1636"/>
      <c r="I19" s="1636"/>
      <c r="J19" s="1636"/>
      <c r="K19" s="1637"/>
    </row>
    <row r="20" spans="1:11" x14ac:dyDescent="0.2">
      <c r="A20" s="427" t="s">
        <v>1063</v>
      </c>
      <c r="B20" s="429">
        <v>1311</v>
      </c>
      <c r="C20" s="1572"/>
      <c r="D20" s="1574"/>
      <c r="E20" s="1574"/>
      <c r="F20" s="1574"/>
      <c r="G20" s="1574"/>
      <c r="H20" s="1574"/>
      <c r="I20" s="1574"/>
      <c r="J20" s="1574"/>
      <c r="K20" s="1574"/>
    </row>
    <row r="21" spans="1:11" ht="12.75" customHeight="1" x14ac:dyDescent="0.2">
      <c r="A21" s="427" t="s">
        <v>826</v>
      </c>
      <c r="B21" s="429">
        <v>1312</v>
      </c>
      <c r="C21" s="1631"/>
      <c r="D21" s="1574"/>
      <c r="E21" s="1574"/>
      <c r="F21" s="1574"/>
      <c r="G21" s="1574"/>
      <c r="H21" s="1574"/>
      <c r="I21" s="1574"/>
      <c r="J21" s="1574"/>
      <c r="K21" s="1574"/>
    </row>
    <row r="22" spans="1:11" ht="12.75" customHeight="1" x14ac:dyDescent="0.2">
      <c r="A22" s="427" t="s">
        <v>1064</v>
      </c>
      <c r="B22" s="429">
        <v>1313</v>
      </c>
      <c r="C22" s="1631"/>
      <c r="D22" s="1574"/>
      <c r="E22" s="1574"/>
      <c r="F22" s="1574"/>
      <c r="G22" s="1574"/>
      <c r="H22" s="1574"/>
      <c r="I22" s="1574"/>
      <c r="J22" s="1574"/>
      <c r="K22" s="1574"/>
    </row>
    <row r="23" spans="1:11" ht="12.75" customHeight="1" x14ac:dyDescent="0.2">
      <c r="A23" s="427" t="s">
        <v>1065</v>
      </c>
      <c r="B23" s="429">
        <v>1314</v>
      </c>
      <c r="C23" s="1597"/>
      <c r="D23" s="1574"/>
      <c r="E23" s="1574"/>
      <c r="F23" s="1574"/>
      <c r="G23" s="1574"/>
      <c r="H23" s="1574"/>
      <c r="I23" s="1574"/>
      <c r="J23" s="1574"/>
      <c r="K23" s="1574"/>
    </row>
    <row r="24" spans="1:11" ht="12.75" customHeight="1" x14ac:dyDescent="0.2">
      <c r="A24" s="427" t="s">
        <v>1019</v>
      </c>
      <c r="B24" s="429">
        <v>1321</v>
      </c>
      <c r="C24" s="1631"/>
      <c r="D24" s="1574"/>
      <c r="E24" s="1574"/>
      <c r="F24" s="1574"/>
      <c r="G24" s="1574"/>
      <c r="H24" s="1574"/>
      <c r="I24" s="1574"/>
      <c r="J24" s="1574"/>
      <c r="K24" s="1574"/>
    </row>
    <row r="25" spans="1:11" ht="12.75" customHeight="1" x14ac:dyDescent="0.2">
      <c r="A25" s="427" t="s">
        <v>827</v>
      </c>
      <c r="B25" s="429">
        <v>1322</v>
      </c>
      <c r="C25" s="1631"/>
      <c r="D25" s="1574"/>
      <c r="E25" s="1574"/>
      <c r="F25" s="1574"/>
      <c r="G25" s="1574"/>
      <c r="H25" s="1574"/>
      <c r="I25" s="1574"/>
      <c r="J25" s="1574"/>
      <c r="K25" s="1574"/>
    </row>
    <row r="26" spans="1:11" ht="12.75" customHeight="1" x14ac:dyDescent="0.2">
      <c r="A26" s="427" t="s">
        <v>1091</v>
      </c>
      <c r="B26" s="429">
        <v>1323</v>
      </c>
      <c r="C26" s="1631"/>
      <c r="D26" s="1574"/>
      <c r="E26" s="1574"/>
      <c r="F26" s="1574"/>
      <c r="G26" s="1574"/>
      <c r="H26" s="1574"/>
      <c r="I26" s="1574"/>
      <c r="J26" s="1574"/>
      <c r="K26" s="1574"/>
    </row>
    <row r="27" spans="1:11" ht="12.75" customHeight="1" x14ac:dyDescent="0.2">
      <c r="A27" s="427" t="s">
        <v>1015</v>
      </c>
      <c r="B27" s="429">
        <v>1324</v>
      </c>
      <c r="C27" s="1597"/>
      <c r="D27" s="1574"/>
      <c r="E27" s="1574"/>
      <c r="F27" s="1574"/>
      <c r="G27" s="1574"/>
      <c r="H27" s="1574"/>
      <c r="I27" s="1574"/>
      <c r="J27" s="1574"/>
      <c r="K27" s="1574"/>
    </row>
    <row r="28" spans="1:11" ht="12.75" customHeight="1" x14ac:dyDescent="0.2">
      <c r="A28" s="427" t="s">
        <v>1016</v>
      </c>
      <c r="B28" s="429">
        <v>1331</v>
      </c>
      <c r="C28" s="1631"/>
      <c r="D28" s="1574"/>
      <c r="E28" s="1574"/>
      <c r="F28" s="1574"/>
      <c r="G28" s="1574"/>
      <c r="H28" s="1574"/>
      <c r="I28" s="1574"/>
      <c r="J28" s="1574"/>
      <c r="K28" s="1574"/>
    </row>
    <row r="29" spans="1:11" ht="12.75" customHeight="1" x14ac:dyDescent="0.2">
      <c r="A29" s="427" t="s">
        <v>828</v>
      </c>
      <c r="B29" s="429">
        <v>1332</v>
      </c>
      <c r="C29" s="1631"/>
      <c r="D29" s="1574"/>
      <c r="E29" s="1574"/>
      <c r="F29" s="1574"/>
      <c r="G29" s="1574"/>
      <c r="H29" s="1574"/>
      <c r="I29" s="1574"/>
      <c r="J29" s="1574"/>
      <c r="K29" s="1574"/>
    </row>
    <row r="30" spans="1:11" ht="12.75" customHeight="1" x14ac:dyDescent="0.2">
      <c r="A30" s="427" t="s">
        <v>1018</v>
      </c>
      <c r="B30" s="429">
        <v>1333</v>
      </c>
      <c r="C30" s="1631"/>
      <c r="D30" s="1574"/>
      <c r="E30" s="1574"/>
      <c r="F30" s="1574"/>
      <c r="G30" s="1574"/>
      <c r="H30" s="1574"/>
      <c r="I30" s="1574"/>
      <c r="J30" s="1574"/>
      <c r="K30" s="1574"/>
    </row>
    <row r="31" spans="1:11" ht="12.75" customHeight="1" x14ac:dyDescent="0.2">
      <c r="A31" s="427" t="s">
        <v>1017</v>
      </c>
      <c r="B31" s="429">
        <v>1334</v>
      </c>
      <c r="C31" s="1597"/>
      <c r="D31" s="1574"/>
      <c r="E31" s="1574"/>
      <c r="F31" s="1574"/>
      <c r="G31" s="1574"/>
      <c r="H31" s="1574"/>
      <c r="I31" s="1574"/>
      <c r="J31" s="1574"/>
      <c r="K31" s="1574"/>
    </row>
    <row r="32" spans="1:11" ht="12.75" customHeight="1" x14ac:dyDescent="0.2">
      <c r="A32" s="427" t="s">
        <v>490</v>
      </c>
      <c r="B32" s="429">
        <v>1341</v>
      </c>
      <c r="C32" s="1631"/>
      <c r="D32" s="1574"/>
      <c r="E32" s="1574"/>
      <c r="F32" s="1574"/>
      <c r="G32" s="1574"/>
      <c r="H32" s="1574"/>
      <c r="I32" s="1574"/>
      <c r="J32" s="1574"/>
      <c r="K32" s="1574"/>
    </row>
    <row r="33" spans="1:11" ht="12.75" customHeight="1" x14ac:dyDescent="0.2">
      <c r="A33" s="427" t="s">
        <v>829</v>
      </c>
      <c r="B33" s="429">
        <v>1342</v>
      </c>
      <c r="C33" s="1631">
        <v>1924</v>
      </c>
      <c r="D33" s="1574"/>
      <c r="E33" s="1574"/>
      <c r="F33" s="1574"/>
      <c r="G33" s="1574"/>
      <c r="H33" s="1574"/>
      <c r="I33" s="1574"/>
      <c r="J33" s="1574"/>
      <c r="K33" s="1574"/>
    </row>
    <row r="34" spans="1:11" ht="12.75" customHeight="1" x14ac:dyDescent="0.2">
      <c r="A34" s="427" t="s">
        <v>491</v>
      </c>
      <c r="B34" s="429">
        <v>1343</v>
      </c>
      <c r="C34" s="1631"/>
      <c r="D34" s="1574"/>
      <c r="E34" s="1574"/>
      <c r="F34" s="1574"/>
      <c r="G34" s="1574"/>
      <c r="H34" s="1574"/>
      <c r="I34" s="1574"/>
      <c r="J34" s="1574"/>
      <c r="K34" s="1574"/>
    </row>
    <row r="35" spans="1:11" ht="12.75" customHeight="1" x14ac:dyDescent="0.2">
      <c r="A35" s="427" t="s">
        <v>489</v>
      </c>
      <c r="B35" s="429">
        <v>1344</v>
      </c>
      <c r="C35" s="1597"/>
      <c r="D35" s="1574"/>
      <c r="E35" s="1574"/>
      <c r="F35" s="1574"/>
      <c r="G35" s="1574"/>
      <c r="H35" s="1574"/>
      <c r="I35" s="1574"/>
      <c r="J35" s="1574"/>
      <c r="K35" s="1574"/>
    </row>
    <row r="36" spans="1:11" ht="12.75" customHeight="1" x14ac:dyDescent="0.2">
      <c r="A36" s="427" t="s">
        <v>825</v>
      </c>
      <c r="B36" s="429">
        <v>1351</v>
      </c>
      <c r="C36" s="1631"/>
      <c r="D36" s="1574"/>
      <c r="E36" s="1574"/>
      <c r="F36" s="1574"/>
      <c r="G36" s="1574"/>
      <c r="H36" s="1574"/>
      <c r="I36" s="1574"/>
      <c r="J36" s="1574"/>
      <c r="K36" s="1574"/>
    </row>
    <row r="37" spans="1:11" ht="12.75" customHeight="1" x14ac:dyDescent="0.2">
      <c r="A37" s="427" t="s">
        <v>830</v>
      </c>
      <c r="B37" s="429">
        <v>1352</v>
      </c>
      <c r="C37" s="1631"/>
      <c r="D37" s="1574"/>
      <c r="E37" s="1574"/>
      <c r="F37" s="1574"/>
      <c r="G37" s="1574"/>
      <c r="H37" s="1574"/>
      <c r="I37" s="1574"/>
      <c r="J37" s="1574"/>
      <c r="K37" s="1574"/>
    </row>
    <row r="38" spans="1:11" ht="12.75" customHeight="1" x14ac:dyDescent="0.2">
      <c r="A38" s="427" t="s">
        <v>588</v>
      </c>
      <c r="B38" s="429">
        <v>1353</v>
      </c>
      <c r="C38" s="1631"/>
      <c r="D38" s="1574"/>
      <c r="E38" s="1574"/>
      <c r="F38" s="1574"/>
      <c r="G38" s="1574"/>
      <c r="H38" s="1574"/>
      <c r="I38" s="1574"/>
      <c r="J38" s="1574"/>
      <c r="K38" s="1574"/>
    </row>
    <row r="39" spans="1:11" ht="12.75" customHeight="1" x14ac:dyDescent="0.2">
      <c r="A39" s="1264" t="s">
        <v>589</v>
      </c>
      <c r="B39" s="474">
        <v>1354</v>
      </c>
      <c r="C39" s="1597"/>
      <c r="D39" s="1574"/>
      <c r="E39" s="1574"/>
      <c r="F39" s="1574"/>
      <c r="G39" s="1574"/>
      <c r="H39" s="1574"/>
      <c r="I39" s="1574"/>
      <c r="J39" s="1574"/>
      <c r="K39" s="1574"/>
    </row>
    <row r="40" spans="1:11" ht="12.75" customHeight="1" thickBot="1" x14ac:dyDescent="0.25">
      <c r="A40" s="1405" t="s">
        <v>534</v>
      </c>
      <c r="B40" s="1406"/>
      <c r="C40" s="1593">
        <f>SUM(C20:C39)</f>
        <v>1924</v>
      </c>
      <c r="D40" s="1574"/>
      <c r="E40" s="1574"/>
      <c r="F40" s="1574"/>
      <c r="G40" s="1574"/>
      <c r="H40" s="1574"/>
      <c r="I40" s="1574"/>
      <c r="J40" s="1574"/>
      <c r="K40" s="1574"/>
    </row>
    <row r="41" spans="1:11" ht="15.75" customHeight="1" thickTop="1" x14ac:dyDescent="0.2">
      <c r="A41" s="1329" t="s">
        <v>271</v>
      </c>
      <c r="B41" s="1330">
        <v>1400</v>
      </c>
      <c r="C41" s="1574"/>
      <c r="D41" s="1574"/>
      <c r="E41" s="1574"/>
      <c r="F41" s="1616"/>
      <c r="G41" s="1574"/>
      <c r="H41" s="1574"/>
      <c r="I41" s="1574"/>
      <c r="J41" s="1574"/>
      <c r="K41" s="1574"/>
    </row>
    <row r="42" spans="1:11" ht="12.75" customHeight="1" x14ac:dyDescent="0.2">
      <c r="A42" s="427" t="s">
        <v>1066</v>
      </c>
      <c r="B42" s="429">
        <v>1411</v>
      </c>
      <c r="C42" s="1574"/>
      <c r="D42" s="1574"/>
      <c r="E42" s="1574"/>
      <c r="F42" s="1585"/>
      <c r="G42" s="1574"/>
      <c r="H42" s="1574"/>
      <c r="I42" s="1574"/>
      <c r="J42" s="1574"/>
      <c r="K42" s="1574"/>
    </row>
    <row r="43" spans="1:11" ht="12.75" customHeight="1" x14ac:dyDescent="0.2">
      <c r="A43" s="427" t="s">
        <v>831</v>
      </c>
      <c r="B43" s="429">
        <v>1412</v>
      </c>
      <c r="C43" s="1574"/>
      <c r="D43" s="1574"/>
      <c r="E43" s="1574"/>
      <c r="F43" s="1572"/>
      <c r="G43" s="1574"/>
      <c r="H43" s="1574"/>
      <c r="I43" s="1574"/>
      <c r="J43" s="1574"/>
      <c r="K43" s="1574"/>
    </row>
    <row r="44" spans="1:11" ht="12.75" customHeight="1" x14ac:dyDescent="0.2">
      <c r="A44" s="427" t="s">
        <v>380</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1163</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832</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1096</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1097</v>
      </c>
      <c r="B56" s="475">
        <v>1442</v>
      </c>
      <c r="C56" s="1574"/>
      <c r="D56" s="1574"/>
      <c r="E56" s="1574"/>
      <c r="F56" s="1572"/>
      <c r="G56" s="1574"/>
      <c r="H56" s="1574"/>
      <c r="I56" s="1574"/>
      <c r="J56" s="1574"/>
      <c r="K56" s="1574"/>
    </row>
    <row r="57" spans="1:11" ht="12.75" customHeight="1" x14ac:dyDescent="0.2">
      <c r="A57" s="1265" t="s">
        <v>485</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872</v>
      </c>
      <c r="B59" s="475">
        <v>1451</v>
      </c>
      <c r="C59" s="1574"/>
      <c r="D59" s="1574"/>
      <c r="E59" s="1574"/>
      <c r="F59" s="1572"/>
      <c r="G59" s="1574"/>
      <c r="H59" s="1574"/>
      <c r="I59" s="1574"/>
      <c r="J59" s="1574"/>
      <c r="K59" s="1574"/>
    </row>
    <row r="60" spans="1:11" ht="12.75" customHeight="1" x14ac:dyDescent="0.2">
      <c r="A60" s="1265" t="s">
        <v>1098</v>
      </c>
      <c r="B60" s="475">
        <v>1452</v>
      </c>
      <c r="C60" s="1574"/>
      <c r="D60" s="1574"/>
      <c r="E60" s="1574"/>
      <c r="F60" s="1572"/>
      <c r="G60" s="1574"/>
      <c r="H60" s="1574"/>
      <c r="I60" s="1574"/>
      <c r="J60" s="1574"/>
      <c r="K60" s="1574"/>
    </row>
    <row r="61" spans="1:11" ht="12.75" customHeight="1" x14ac:dyDescent="0.2">
      <c r="A61" s="479" t="s">
        <v>873</v>
      </c>
      <c r="B61" s="475">
        <v>1453</v>
      </c>
      <c r="C61" s="1574"/>
      <c r="D61" s="1574"/>
      <c r="E61" s="1574"/>
      <c r="F61" s="1572"/>
      <c r="G61" s="1574"/>
      <c r="H61" s="1574"/>
      <c r="I61" s="1574"/>
      <c r="J61" s="1574"/>
      <c r="K61" s="1574"/>
    </row>
    <row r="62" spans="1:11" ht="12.75" customHeight="1" x14ac:dyDescent="0.2">
      <c r="A62" s="1266" t="s">
        <v>874</v>
      </c>
      <c r="B62" s="476">
        <v>1454</v>
      </c>
      <c r="C62" s="1574"/>
      <c r="D62" s="1574"/>
      <c r="E62" s="1574"/>
      <c r="F62" s="1573"/>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572">
        <v>10324</v>
      </c>
      <c r="D65" s="1572">
        <v>2151</v>
      </c>
      <c r="E65" s="1572">
        <v>1598</v>
      </c>
      <c r="F65" s="1573">
        <v>393</v>
      </c>
      <c r="G65" s="1572">
        <v>706</v>
      </c>
      <c r="H65" s="1572"/>
      <c r="I65" s="1572">
        <v>628</v>
      </c>
      <c r="J65" s="1573">
        <v>99</v>
      </c>
      <c r="K65" s="1572"/>
    </row>
    <row r="66" spans="1:11" ht="12.75" customHeight="1" x14ac:dyDescent="0.2">
      <c r="A66" s="427" t="s">
        <v>673</v>
      </c>
      <c r="B66" s="429">
        <v>1520</v>
      </c>
      <c r="C66" s="1572"/>
      <c r="D66" s="1572"/>
      <c r="E66" s="1572"/>
      <c r="F66" s="1572"/>
      <c r="G66" s="1572"/>
      <c r="H66" s="1572"/>
      <c r="I66" s="1572"/>
      <c r="J66" s="1573"/>
      <c r="K66" s="1572"/>
    </row>
    <row r="67" spans="1:11" ht="12.75" customHeight="1" thickBot="1" x14ac:dyDescent="0.25">
      <c r="A67" s="1405" t="s">
        <v>482</v>
      </c>
      <c r="B67" s="1406"/>
      <c r="C67" s="1593">
        <f>SUM(C65:C66)</f>
        <v>10324</v>
      </c>
      <c r="D67" s="1593">
        <f t="shared" ref="D67:K67" si="2">SUM(D65:D66)</f>
        <v>2151</v>
      </c>
      <c r="E67" s="1593">
        <f t="shared" si="2"/>
        <v>1598</v>
      </c>
      <c r="F67" s="1593">
        <f t="shared" si="2"/>
        <v>393</v>
      </c>
      <c r="G67" s="1593">
        <f t="shared" si="2"/>
        <v>706</v>
      </c>
      <c r="H67" s="1593">
        <f t="shared" si="2"/>
        <v>0</v>
      </c>
      <c r="I67" s="1593">
        <f t="shared" si="2"/>
        <v>628</v>
      </c>
      <c r="J67" s="1593">
        <f t="shared" si="2"/>
        <v>99</v>
      </c>
      <c r="K67" s="1593">
        <f t="shared" si="2"/>
        <v>0</v>
      </c>
    </row>
    <row r="68" spans="1:11" ht="15.75" customHeight="1" thickTop="1" x14ac:dyDescent="0.2">
      <c r="A68" s="1329" t="s">
        <v>451</v>
      </c>
      <c r="B68" s="1331">
        <v>1600</v>
      </c>
      <c r="C68" s="1633"/>
      <c r="D68" s="1574"/>
      <c r="E68" s="1574"/>
      <c r="F68" s="1574"/>
      <c r="G68" s="1574"/>
      <c r="H68" s="1574"/>
      <c r="I68" s="1574"/>
      <c r="J68" s="1574"/>
      <c r="K68" s="1574"/>
    </row>
    <row r="69" spans="1:11" ht="12.75" customHeight="1" x14ac:dyDescent="0.2">
      <c r="A69" s="427" t="s">
        <v>660</v>
      </c>
      <c r="B69" s="429">
        <v>1611</v>
      </c>
      <c r="C69" s="1572">
        <v>722</v>
      </c>
      <c r="D69" s="1574"/>
      <c r="E69" s="1574"/>
      <c r="F69" s="1574"/>
      <c r="G69" s="1574"/>
      <c r="H69" s="1574"/>
      <c r="I69" s="1574"/>
      <c r="J69" s="1574"/>
      <c r="K69" s="1574"/>
    </row>
    <row r="70" spans="1:11" ht="12.75" customHeight="1" x14ac:dyDescent="0.2">
      <c r="A70" s="427" t="s">
        <v>989</v>
      </c>
      <c r="B70" s="429">
        <v>1612</v>
      </c>
      <c r="C70" s="1631"/>
      <c r="D70" s="1574"/>
      <c r="E70" s="1574"/>
      <c r="F70" s="1574"/>
      <c r="G70" s="1574"/>
      <c r="H70" s="1574"/>
      <c r="I70" s="1574"/>
      <c r="J70" s="1574"/>
      <c r="K70" s="1574"/>
    </row>
    <row r="71" spans="1:11" ht="12.75" customHeight="1" x14ac:dyDescent="0.2">
      <c r="A71" s="427" t="s">
        <v>270</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990</v>
      </c>
      <c r="B73" s="429">
        <v>1620</v>
      </c>
      <c r="C73" s="1631">
        <v>953</v>
      </c>
      <c r="D73" s="1574"/>
      <c r="E73" s="1574"/>
      <c r="F73" s="1574"/>
      <c r="G73" s="1574"/>
      <c r="H73" s="1574"/>
      <c r="I73" s="1574"/>
      <c r="J73" s="1574"/>
      <c r="K73" s="1574"/>
    </row>
    <row r="74" spans="1:11" ht="12.75" customHeight="1" x14ac:dyDescent="0.2">
      <c r="A74" s="427" t="s">
        <v>25</v>
      </c>
      <c r="B74" s="429">
        <v>1690</v>
      </c>
      <c r="C74" s="1631">
        <v>19209</v>
      </c>
      <c r="D74" s="1574"/>
      <c r="E74" s="1574"/>
      <c r="F74" s="1574"/>
      <c r="G74" s="1574"/>
      <c r="H74" s="1574"/>
      <c r="I74" s="1574"/>
      <c r="J74" s="1574"/>
      <c r="K74" s="1574"/>
    </row>
    <row r="75" spans="1:11" ht="12.75" customHeight="1" thickBot="1" x14ac:dyDescent="0.25">
      <c r="A75" s="1405" t="s">
        <v>543</v>
      </c>
      <c r="B75" s="1406"/>
      <c r="C75" s="1593">
        <f>SUM(C69:C74)</f>
        <v>20884</v>
      </c>
      <c r="D75" s="1574"/>
      <c r="E75" s="1574"/>
      <c r="F75" s="1574"/>
      <c r="G75" s="1574"/>
      <c r="H75" s="1574"/>
      <c r="I75" s="1574"/>
      <c r="J75" s="1574"/>
      <c r="K75" s="1574"/>
    </row>
    <row r="76" spans="1:11" ht="15.75" customHeight="1" thickTop="1" x14ac:dyDescent="0.2">
      <c r="A76" s="1329" t="s">
        <v>875</v>
      </c>
      <c r="B76" s="1331">
        <v>1700</v>
      </c>
      <c r="C76" s="1633"/>
      <c r="D76" s="1574"/>
      <c r="E76" s="1574"/>
      <c r="F76" s="1574"/>
      <c r="G76" s="1574"/>
      <c r="H76" s="1574"/>
      <c r="I76" s="1574"/>
      <c r="J76" s="1574"/>
      <c r="K76" s="1574"/>
    </row>
    <row r="77" spans="1:11" ht="12.75" customHeight="1" x14ac:dyDescent="0.2">
      <c r="A77" s="427" t="s">
        <v>544</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545</v>
      </c>
      <c r="B79" s="429">
        <v>1720</v>
      </c>
      <c r="C79" s="1631"/>
      <c r="D79" s="1572"/>
      <c r="E79" s="1574"/>
      <c r="F79" s="1574"/>
      <c r="G79" s="1574"/>
      <c r="H79" s="1574"/>
      <c r="I79" s="1574"/>
      <c r="J79" s="1574"/>
      <c r="K79" s="1574"/>
    </row>
    <row r="80" spans="1:11" ht="12.75" customHeight="1" x14ac:dyDescent="0.2">
      <c r="A80" s="427" t="s">
        <v>546</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547</v>
      </c>
      <c r="B84" s="429">
        <v>1811</v>
      </c>
      <c r="C84" s="1572">
        <v>3001</v>
      </c>
      <c r="D84" s="1574"/>
      <c r="E84" s="1574"/>
      <c r="F84" s="1574"/>
      <c r="G84" s="1574"/>
      <c r="H84" s="1574"/>
      <c r="I84" s="1574"/>
      <c r="J84" s="1574"/>
      <c r="K84" s="1574"/>
    </row>
    <row r="85" spans="1:11" ht="12.75" customHeight="1" x14ac:dyDescent="0.2">
      <c r="A85" s="427" t="s">
        <v>548</v>
      </c>
      <c r="B85" s="429">
        <v>1812</v>
      </c>
      <c r="C85" s="1631"/>
      <c r="D85" s="1574"/>
      <c r="E85" s="1574"/>
      <c r="F85" s="1574"/>
      <c r="G85" s="1574"/>
      <c r="H85" s="1574"/>
      <c r="I85" s="1574"/>
      <c r="J85" s="1574"/>
      <c r="K85" s="1574"/>
    </row>
    <row r="86" spans="1:11" ht="12.75" customHeight="1" x14ac:dyDescent="0.2">
      <c r="A86" s="427" t="s">
        <v>991</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549</v>
      </c>
      <c r="B88" s="429">
        <v>1821</v>
      </c>
      <c r="C88" s="1631"/>
      <c r="D88" s="1574"/>
      <c r="E88" s="1574"/>
      <c r="F88" s="1574"/>
      <c r="G88" s="1574"/>
      <c r="H88" s="1574"/>
      <c r="I88" s="1574"/>
      <c r="J88" s="1574"/>
      <c r="K88" s="1574"/>
    </row>
    <row r="89" spans="1:11" ht="12.75" customHeight="1" x14ac:dyDescent="0.2">
      <c r="A89" s="427" t="s">
        <v>708</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756</v>
      </c>
      <c r="B92" s="429">
        <v>1890</v>
      </c>
      <c r="C92" s="1631"/>
      <c r="D92" s="1574"/>
      <c r="E92" s="1574"/>
      <c r="F92" s="1574"/>
      <c r="G92" s="1574"/>
      <c r="H92" s="1574"/>
      <c r="I92" s="1574"/>
      <c r="J92" s="1574"/>
      <c r="K92" s="1574"/>
    </row>
    <row r="93" spans="1:11" ht="12.75" customHeight="1" thickBot="1" x14ac:dyDescent="0.25">
      <c r="A93" s="1405" t="s">
        <v>241</v>
      </c>
      <c r="B93" s="1406"/>
      <c r="C93" s="1593">
        <f>SUM(C84:C92)</f>
        <v>3001</v>
      </c>
      <c r="D93" s="1574"/>
      <c r="E93" s="1574"/>
      <c r="F93" s="1574"/>
      <c r="G93" s="1574"/>
      <c r="H93" s="1574"/>
      <c r="I93" s="1574"/>
      <c r="J93" s="1574"/>
      <c r="K93" s="1574"/>
    </row>
    <row r="94" spans="1:11" ht="15.75" customHeight="1" thickTop="1" x14ac:dyDescent="0.2">
      <c r="A94" s="1329" t="s">
        <v>1126</v>
      </c>
      <c r="B94" s="1331">
        <v>1900</v>
      </c>
      <c r="C94" s="1633"/>
      <c r="D94" s="1616"/>
      <c r="E94" s="1574"/>
      <c r="F94" s="1574"/>
      <c r="G94" s="1574"/>
      <c r="H94" s="1574"/>
      <c r="I94" s="1574"/>
      <c r="J94" s="1574"/>
      <c r="K94" s="1574"/>
    </row>
    <row r="95" spans="1:11" ht="12.75" customHeight="1" x14ac:dyDescent="0.2">
      <c r="A95" s="427" t="s">
        <v>1054</v>
      </c>
      <c r="B95" s="429">
        <v>1910</v>
      </c>
      <c r="C95" s="1572"/>
      <c r="D95" s="1631"/>
      <c r="E95" s="1616"/>
      <c r="F95" s="1616"/>
      <c r="G95" s="1616"/>
      <c r="H95" s="1616"/>
      <c r="I95" s="1616"/>
      <c r="J95" s="1616"/>
      <c r="K95" s="1616"/>
    </row>
    <row r="96" spans="1:11" ht="12.75" customHeight="1" x14ac:dyDescent="0.2">
      <c r="A96" s="427" t="s">
        <v>387</v>
      </c>
      <c r="B96" s="429">
        <v>1920</v>
      </c>
      <c r="C96" s="1631">
        <v>600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815</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341</v>
      </c>
      <c r="B103" s="429">
        <v>1983</v>
      </c>
      <c r="C103" s="1574"/>
      <c r="D103" s="1574"/>
      <c r="E103" s="1638"/>
      <c r="F103" s="1574"/>
      <c r="G103" s="1574"/>
      <c r="H103" s="1597"/>
      <c r="I103" s="1574"/>
      <c r="J103" s="1609"/>
      <c r="K103" s="1609"/>
    </row>
    <row r="104" spans="1:12" ht="12.75" customHeight="1" x14ac:dyDescent="0.2">
      <c r="A104" s="427" t="s">
        <v>824</v>
      </c>
      <c r="B104" s="429">
        <v>1991</v>
      </c>
      <c r="C104" s="1597"/>
      <c r="D104" s="1572">
        <v>13650</v>
      </c>
      <c r="E104" s="1585"/>
      <c r="F104" s="1573"/>
      <c r="G104" s="1573"/>
      <c r="H104" s="1572"/>
      <c r="I104" s="1574"/>
      <c r="J104" s="1574"/>
      <c r="K104" s="1574"/>
    </row>
    <row r="105" spans="1:12" ht="12.75" customHeight="1" x14ac:dyDescent="0.2">
      <c r="A105" s="427" t="s">
        <v>816</v>
      </c>
      <c r="B105" s="429">
        <v>1992</v>
      </c>
      <c r="C105" s="1572"/>
      <c r="D105" s="1639"/>
      <c r="E105" s="1574"/>
      <c r="F105" s="1574"/>
      <c r="G105" s="1574"/>
      <c r="H105" s="1609"/>
      <c r="I105" s="1574"/>
      <c r="J105" s="1574"/>
      <c r="K105" s="1574"/>
    </row>
    <row r="106" spans="1:12" ht="12.75" customHeight="1" x14ac:dyDescent="0.2">
      <c r="A106" s="427" t="s">
        <v>1412</v>
      </c>
      <c r="B106" s="429">
        <v>1993</v>
      </c>
      <c r="C106" s="1572"/>
      <c r="D106" s="1597"/>
      <c r="E106" s="1573"/>
      <c r="F106" s="1573"/>
      <c r="G106" s="1573"/>
      <c r="H106" s="1573"/>
      <c r="I106" s="1616"/>
      <c r="J106" s="1573"/>
      <c r="K106" s="1573"/>
    </row>
    <row r="107" spans="1:12" ht="12.75" customHeight="1" x14ac:dyDescent="0.2">
      <c r="A107" s="427" t="s">
        <v>78</v>
      </c>
      <c r="B107" s="429">
        <v>1999</v>
      </c>
      <c r="C107" s="1631">
        <v>14278</v>
      </c>
      <c r="D107" s="1572">
        <v>13532</v>
      </c>
      <c r="E107" s="1572"/>
      <c r="F107" s="1572"/>
      <c r="G107" s="1572"/>
      <c r="H107" s="1572"/>
      <c r="I107" s="1572"/>
      <c r="J107" s="1573"/>
      <c r="K107" s="1572"/>
    </row>
    <row r="108" spans="1:12" ht="12.75" customHeight="1" thickBot="1" x14ac:dyDescent="0.25">
      <c r="A108" s="1405" t="s">
        <v>483</v>
      </c>
      <c r="B108" s="1407"/>
      <c r="C108" s="1632">
        <f>SUM(C95:C107)</f>
        <v>14878</v>
      </c>
      <c r="D108" s="1632">
        <f t="shared" ref="D108:K108" si="3">SUM(D95:D107)</f>
        <v>27182</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565</v>
      </c>
      <c r="C109" s="1640">
        <f t="shared" ref="C109:K109" si="4">SUM(C12,C18,C40,C63,C67,C75,C82,C93,C108,)</f>
        <v>293205</v>
      </c>
      <c r="D109" s="1640">
        <f t="shared" si="4"/>
        <v>59896</v>
      </c>
      <c r="E109" s="1640">
        <f t="shared" si="4"/>
        <v>77196</v>
      </c>
      <c r="F109" s="1640">
        <f t="shared" si="4"/>
        <v>20500</v>
      </c>
      <c r="G109" s="1640">
        <f t="shared" si="4"/>
        <v>82007</v>
      </c>
      <c r="H109" s="1640">
        <f t="shared" si="4"/>
        <v>0</v>
      </c>
      <c r="I109" s="1640">
        <f t="shared" si="4"/>
        <v>628</v>
      </c>
      <c r="J109" s="1640">
        <f t="shared" si="4"/>
        <v>12809</v>
      </c>
      <c r="K109" s="1628">
        <f t="shared" si="4"/>
        <v>0</v>
      </c>
    </row>
    <row r="110" spans="1:12" ht="30" customHeight="1" thickTop="1" x14ac:dyDescent="0.2">
      <c r="A110" s="1322" t="s">
        <v>342</v>
      </c>
      <c r="B110" s="1323"/>
      <c r="C110" s="1602"/>
      <c r="D110" s="1602"/>
      <c r="E110" s="1602"/>
      <c r="F110" s="1602"/>
      <c r="G110" s="1602"/>
      <c r="H110" s="1602"/>
      <c r="I110" s="1602"/>
      <c r="J110" s="1602"/>
      <c r="K110" s="1614"/>
    </row>
    <row r="111" spans="1:12" ht="12.75" customHeight="1" x14ac:dyDescent="0.2">
      <c r="A111" s="436" t="s">
        <v>817</v>
      </c>
      <c r="B111" s="435">
        <v>2100</v>
      </c>
      <c r="C111" s="1612"/>
      <c r="D111" s="1585"/>
      <c r="E111" s="1639"/>
      <c r="F111" s="1585"/>
      <c r="G111" s="1585"/>
      <c r="H111" s="1639"/>
      <c r="I111" s="1574"/>
      <c r="J111" s="1574"/>
      <c r="K111" s="1574"/>
    </row>
    <row r="112" spans="1:12" ht="12.75" customHeight="1" x14ac:dyDescent="0.2">
      <c r="A112" s="427" t="s">
        <v>818</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800</v>
      </c>
      <c r="B114" s="1411" t="s">
        <v>564</v>
      </c>
      <c r="C114" s="1641">
        <f>SUM(C111:C113)</f>
        <v>0</v>
      </c>
      <c r="D114" s="1641">
        <f>SUM(D111:D113)</f>
        <v>0</v>
      </c>
      <c r="E114" s="1639" t="s">
        <v>1158</v>
      </c>
      <c r="F114" s="1641">
        <f>SUM(F111:F113)</f>
        <v>0</v>
      </c>
      <c r="G114" s="1641">
        <f>SUM(G111:G113)</f>
        <v>0</v>
      </c>
      <c r="H114" s="1639"/>
      <c r="I114" s="1574"/>
      <c r="J114" s="1574"/>
      <c r="K114" s="1574"/>
    </row>
    <row r="115" spans="1:11" ht="16.7" customHeight="1" thickTop="1" x14ac:dyDescent="0.2">
      <c r="A115" s="1324" t="s">
        <v>797</v>
      </c>
      <c r="B115" s="1325"/>
      <c r="C115" s="1601"/>
      <c r="D115" s="1602"/>
      <c r="E115" s="1602"/>
      <c r="F115" s="1602"/>
      <c r="G115" s="1602"/>
      <c r="H115" s="1602"/>
      <c r="I115" s="1602"/>
      <c r="J115" s="1602"/>
      <c r="K115" s="1614"/>
    </row>
    <row r="116" spans="1:11" ht="18" customHeight="1" x14ac:dyDescent="0.2">
      <c r="A116" s="1332" t="s">
        <v>1473</v>
      </c>
      <c r="B116" s="1333"/>
      <c r="C116" s="1642"/>
      <c r="D116" s="1616"/>
      <c r="E116" s="1639"/>
      <c r="F116" s="1616"/>
      <c r="G116" s="1616"/>
      <c r="H116" s="1639"/>
      <c r="I116" s="1574"/>
      <c r="J116" s="1616"/>
      <c r="K116" s="1616"/>
    </row>
    <row r="117" spans="1:11" ht="12.75" customHeight="1" x14ac:dyDescent="0.2">
      <c r="A117" s="427" t="s">
        <v>1647</v>
      </c>
      <c r="B117" s="478">
        <v>3001</v>
      </c>
      <c r="C117" s="1612">
        <v>1877152</v>
      </c>
      <c r="D117" s="1585">
        <v>150000</v>
      </c>
      <c r="E117" s="1572"/>
      <c r="F117" s="1585"/>
      <c r="G117" s="1585"/>
      <c r="H117" s="1572"/>
      <c r="I117" s="1574"/>
      <c r="J117" s="1573"/>
      <c r="K117" s="1572"/>
    </row>
    <row r="118" spans="1:11" ht="12.75" customHeight="1" x14ac:dyDescent="0.2">
      <c r="A118" s="427" t="s">
        <v>1775</v>
      </c>
      <c r="B118" s="478">
        <v>3002</v>
      </c>
      <c r="C118" s="1631"/>
      <c r="D118" s="1572"/>
      <c r="E118" s="1572"/>
      <c r="F118" s="1572"/>
      <c r="G118" s="1572"/>
      <c r="H118" s="1572"/>
      <c r="I118" s="1574"/>
      <c r="J118" s="1573"/>
      <c r="K118" s="1572"/>
    </row>
    <row r="119" spans="1:11" ht="12.75" customHeight="1" x14ac:dyDescent="0.2">
      <c r="A119" s="427" t="s">
        <v>1776</v>
      </c>
      <c r="B119" s="478">
        <v>3005</v>
      </c>
      <c r="C119" s="1631"/>
      <c r="D119" s="1572"/>
      <c r="E119" s="1572"/>
      <c r="F119" s="1572"/>
      <c r="G119" s="1572"/>
      <c r="H119" s="1572"/>
      <c r="I119" s="1574"/>
      <c r="J119" s="1573"/>
      <c r="K119" s="1572"/>
    </row>
    <row r="120" spans="1:11" ht="12.75" customHeight="1" x14ac:dyDescent="0.2">
      <c r="A120" s="1538" t="s">
        <v>1894</v>
      </c>
      <c r="B120" s="478">
        <v>3030</v>
      </c>
      <c r="C120" s="1631"/>
      <c r="D120" s="1572"/>
      <c r="E120" s="1572"/>
      <c r="F120" s="1572"/>
      <c r="G120" s="1572"/>
      <c r="H120" s="1572"/>
      <c r="I120" s="1574"/>
      <c r="J120" s="1573"/>
      <c r="K120" s="1572"/>
    </row>
    <row r="121" spans="1:11" x14ac:dyDescent="0.2">
      <c r="A121" s="1265" t="s">
        <v>1777</v>
      </c>
      <c r="B121" s="480">
        <v>3099</v>
      </c>
      <c r="C121" s="1631"/>
      <c r="D121" s="1572"/>
      <c r="E121" s="1572"/>
      <c r="F121" s="1572"/>
      <c r="G121" s="1572"/>
      <c r="H121" s="1572"/>
      <c r="I121" s="1574"/>
      <c r="J121" s="1573"/>
      <c r="K121" s="1572"/>
    </row>
    <row r="122" spans="1:11" ht="12.6" customHeight="1" thickBot="1" x14ac:dyDescent="0.25">
      <c r="A122" s="1405" t="s">
        <v>484</v>
      </c>
      <c r="B122" s="1412"/>
      <c r="C122" s="1632">
        <f t="shared" ref="C122:H122" si="5">SUM(C117:C121)</f>
        <v>1877152</v>
      </c>
      <c r="D122" s="1632">
        <f t="shared" si="5"/>
        <v>150000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1472</v>
      </c>
      <c r="B123" s="1334"/>
      <c r="C123" s="1643"/>
      <c r="D123" s="1608"/>
      <c r="E123" s="1574"/>
      <c r="F123" s="1644"/>
      <c r="G123" s="1574"/>
      <c r="H123" s="1574"/>
      <c r="I123" s="1574"/>
      <c r="J123" s="1574"/>
      <c r="K123" s="1574"/>
    </row>
    <row r="124" spans="1:11" ht="15" customHeight="1" x14ac:dyDescent="0.2">
      <c r="A124" s="1335" t="s">
        <v>661</v>
      </c>
      <c r="B124" s="1336"/>
      <c r="C124" s="1616"/>
      <c r="D124" s="1608"/>
      <c r="E124" s="1574"/>
      <c r="F124" s="1616"/>
      <c r="G124" s="1574"/>
      <c r="H124" s="1574"/>
      <c r="I124" s="1574"/>
      <c r="J124" s="1574"/>
      <c r="K124" s="1574"/>
    </row>
    <row r="125" spans="1:11" ht="12.75" customHeight="1" x14ac:dyDescent="0.2">
      <c r="A125" s="427" t="s">
        <v>860</v>
      </c>
      <c r="B125" s="481">
        <v>3100</v>
      </c>
      <c r="C125" s="1585"/>
      <c r="D125" s="1639"/>
      <c r="E125" s="1574"/>
      <c r="F125" s="1630"/>
      <c r="G125" s="1574"/>
      <c r="H125" s="1574"/>
      <c r="I125" s="1574"/>
      <c r="J125" s="1574"/>
      <c r="K125" s="1574"/>
    </row>
    <row r="126" spans="1:11" ht="12.75" customHeight="1" x14ac:dyDescent="0.2">
      <c r="A126" s="427" t="s">
        <v>1428</v>
      </c>
      <c r="B126" s="478">
        <v>3105</v>
      </c>
      <c r="C126" s="1572"/>
      <c r="D126" s="1639"/>
      <c r="E126" s="1574"/>
      <c r="F126" s="1572"/>
      <c r="G126" s="1574"/>
      <c r="H126" s="1574"/>
      <c r="I126" s="1574"/>
      <c r="J126" s="1574"/>
      <c r="K126" s="1574"/>
    </row>
    <row r="127" spans="1:11" ht="12.75" customHeight="1" x14ac:dyDescent="0.2">
      <c r="A127" s="427" t="s">
        <v>861</v>
      </c>
      <c r="B127" s="478">
        <v>3110</v>
      </c>
      <c r="C127" s="1631"/>
      <c r="D127" s="1572"/>
      <c r="E127" s="1574"/>
      <c r="F127" s="1572"/>
      <c r="G127" s="1574"/>
      <c r="H127" s="1574"/>
      <c r="I127" s="1574"/>
      <c r="J127" s="1574"/>
      <c r="K127" s="1574"/>
    </row>
    <row r="128" spans="1:11" ht="12.75" customHeight="1" x14ac:dyDescent="0.2">
      <c r="A128" s="427" t="s">
        <v>105</v>
      </c>
      <c r="B128" s="478">
        <v>3120</v>
      </c>
      <c r="C128" s="1572">
        <v>15336</v>
      </c>
      <c r="D128" s="1639"/>
      <c r="E128" s="1574"/>
      <c r="F128" s="1572"/>
      <c r="G128" s="1574"/>
      <c r="H128" s="1574"/>
      <c r="I128" s="1574"/>
      <c r="J128" s="1574"/>
      <c r="K128" s="1574"/>
    </row>
    <row r="129" spans="1:11" ht="12.75" customHeight="1" x14ac:dyDescent="0.2">
      <c r="A129" s="427" t="s">
        <v>1429</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1024</v>
      </c>
      <c r="B132" s="1413"/>
      <c r="C132" s="1632">
        <f>SUM(C125:C131)</f>
        <v>15336</v>
      </c>
      <c r="D132" s="1632">
        <f>SUM(D125:D131)</f>
        <v>0</v>
      </c>
      <c r="E132" s="1575" t="s">
        <v>1158</v>
      </c>
      <c r="F132" s="1632">
        <f>SUM(F125:F131)</f>
        <v>0</v>
      </c>
      <c r="G132" s="1574" t="s">
        <v>1158</v>
      </c>
      <c r="H132" s="1574" t="s">
        <v>1158</v>
      </c>
      <c r="I132" s="1574" t="s">
        <v>1158</v>
      </c>
      <c r="J132" s="1574" t="s">
        <v>1158</v>
      </c>
      <c r="K132" s="1574" t="s">
        <v>1158</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594</v>
      </c>
      <c r="B134" s="478">
        <v>3200</v>
      </c>
      <c r="C134" s="1631"/>
      <c r="D134" s="1572"/>
      <c r="E134" s="1639"/>
      <c r="F134" s="1574"/>
      <c r="G134" s="1572"/>
      <c r="H134" s="1574"/>
      <c r="I134" s="1574"/>
      <c r="J134" s="1574"/>
      <c r="K134" s="1574"/>
    </row>
    <row r="135" spans="1:11" ht="12.75" customHeight="1" x14ac:dyDescent="0.2">
      <c r="A135" s="427" t="s">
        <v>663</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595</v>
      </c>
      <c r="B137" s="478">
        <v>3235</v>
      </c>
      <c r="C137" s="1597"/>
      <c r="D137" s="1573"/>
      <c r="E137" s="1639"/>
      <c r="F137" s="1574"/>
      <c r="G137" s="1573"/>
      <c r="H137" s="1574"/>
      <c r="I137" s="1574"/>
      <c r="J137" s="1574"/>
      <c r="K137" s="1574"/>
    </row>
    <row r="138" spans="1:11" ht="12.75" customHeight="1" x14ac:dyDescent="0.2">
      <c r="A138" s="427" t="s">
        <v>596</v>
      </c>
      <c r="B138" s="478">
        <v>3240</v>
      </c>
      <c r="C138" s="1597"/>
      <c r="D138" s="1573"/>
      <c r="E138" s="1639"/>
      <c r="F138" s="1574"/>
      <c r="G138" s="1573"/>
      <c r="H138" s="1574"/>
      <c r="I138" s="1574"/>
      <c r="J138" s="1574"/>
      <c r="K138" s="1574"/>
    </row>
    <row r="139" spans="1:11" ht="12.75" customHeight="1" x14ac:dyDescent="0.2">
      <c r="A139" s="427" t="s">
        <v>597</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598</v>
      </c>
      <c r="B141" s="1413"/>
      <c r="C141" s="1632">
        <f>SUM(C134:C140)</f>
        <v>0</v>
      </c>
      <c r="D141" s="1632">
        <f>SUM(D134:D140)</f>
        <v>0</v>
      </c>
      <c r="E141" s="1639" t="s">
        <v>1158</v>
      </c>
      <c r="F141" s="1581"/>
      <c r="G141" s="1632">
        <f>SUM(G134:G140)</f>
        <v>0</v>
      </c>
      <c r="H141" s="1574" t="s">
        <v>1158</v>
      </c>
      <c r="I141" s="1574" t="s">
        <v>1158</v>
      </c>
      <c r="J141" s="1574" t="s">
        <v>1158</v>
      </c>
      <c r="K141" s="1574" t="s">
        <v>1158</v>
      </c>
    </row>
    <row r="142" spans="1:11" ht="15.75" customHeight="1" thickTop="1" x14ac:dyDescent="0.2">
      <c r="A142" s="1337" t="s">
        <v>664</v>
      </c>
      <c r="B142" s="1338"/>
      <c r="C142" s="1633"/>
      <c r="D142" s="1644"/>
      <c r="E142" s="1639"/>
      <c r="F142" s="1633"/>
      <c r="G142" s="1633"/>
      <c r="H142" s="1574"/>
      <c r="I142" s="1574"/>
      <c r="J142" s="1574"/>
      <c r="K142" s="1574"/>
    </row>
    <row r="143" spans="1:11" ht="12.75" customHeight="1" x14ac:dyDescent="0.2">
      <c r="A143" s="427" t="s">
        <v>599</v>
      </c>
      <c r="B143" s="478">
        <v>3305</v>
      </c>
      <c r="C143" s="1572"/>
      <c r="D143" s="1574"/>
      <c r="E143" s="1639"/>
      <c r="F143" s="1574"/>
      <c r="G143" s="1572"/>
      <c r="H143" s="1574"/>
      <c r="I143" s="1574"/>
      <c r="J143" s="1574"/>
      <c r="K143" s="1574"/>
    </row>
    <row r="144" spans="1:11" ht="12.75" customHeight="1" x14ac:dyDescent="0.2">
      <c r="A144" s="427" t="s">
        <v>343</v>
      </c>
      <c r="B144" s="478">
        <v>3310</v>
      </c>
      <c r="C144" s="1631"/>
      <c r="D144" s="1574"/>
      <c r="E144" s="1639"/>
      <c r="F144" s="1574"/>
      <c r="G144" s="1572"/>
      <c r="H144" s="1574"/>
      <c r="I144" s="1574"/>
      <c r="J144" s="1574"/>
      <c r="K144" s="1574"/>
    </row>
    <row r="145" spans="1:11" s="197" customFormat="1" ht="13.5" thickBot="1" x14ac:dyDescent="0.25">
      <c r="A145" s="1405" t="s">
        <v>392</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1046</v>
      </c>
      <c r="B146" s="482">
        <v>3360</v>
      </c>
      <c r="C146" s="1645">
        <v>2870</v>
      </c>
      <c r="D146" s="1646"/>
      <c r="E146" s="1608"/>
      <c r="F146" s="1574"/>
      <c r="G146" s="1647"/>
      <c r="H146" s="1574"/>
      <c r="I146" s="1574"/>
      <c r="J146" s="1574"/>
      <c r="K146" s="1574"/>
    </row>
    <row r="147" spans="1:11" ht="12.75" customHeight="1" thickBot="1" x14ac:dyDescent="0.25">
      <c r="A147" s="1268" t="s">
        <v>915</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761</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449</v>
      </c>
      <c r="B151" s="1339"/>
      <c r="C151" s="1633"/>
      <c r="D151" s="1574"/>
      <c r="E151" s="1639"/>
      <c r="F151" s="1574"/>
      <c r="G151" s="1574"/>
      <c r="H151" s="1574"/>
      <c r="I151" s="1574"/>
      <c r="J151" s="1574"/>
      <c r="K151" s="1574"/>
    </row>
    <row r="152" spans="1:11" ht="12.75" customHeight="1" x14ac:dyDescent="0.2">
      <c r="A152" s="427" t="s">
        <v>1430</v>
      </c>
      <c r="B152" s="478">
        <v>3500</v>
      </c>
      <c r="C152" s="1631"/>
      <c r="D152" s="1572"/>
      <c r="E152" s="1639"/>
      <c r="F152" s="1572">
        <v>21274</v>
      </c>
      <c r="G152" s="1573"/>
      <c r="H152" s="1574"/>
      <c r="I152" s="1574"/>
      <c r="J152" s="1574"/>
      <c r="K152" s="1574"/>
    </row>
    <row r="153" spans="1:11" ht="12.75" customHeight="1" x14ac:dyDescent="0.2">
      <c r="A153" s="427" t="s">
        <v>1047</v>
      </c>
      <c r="B153" s="478">
        <v>3510</v>
      </c>
      <c r="C153" s="1631"/>
      <c r="D153" s="1572"/>
      <c r="E153" s="1639"/>
      <c r="F153" s="1572">
        <v>8752</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30026</v>
      </c>
      <c r="G155" s="1632">
        <f>SUM(G152:G154)</f>
        <v>0</v>
      </c>
      <c r="H155" s="1574"/>
      <c r="I155" s="1574"/>
      <c r="J155" s="1574"/>
      <c r="K155" s="1574"/>
    </row>
    <row r="156" spans="1:11" ht="12.75" customHeight="1" thickTop="1" thickBot="1" x14ac:dyDescent="0.25">
      <c r="A156" s="1269" t="s">
        <v>376</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992</v>
      </c>
      <c r="B158" s="484">
        <v>3695</v>
      </c>
      <c r="C158" s="1650"/>
      <c r="D158" s="1574"/>
      <c r="E158" s="1639"/>
      <c r="F158" s="1650"/>
      <c r="G158" s="1650"/>
      <c r="H158" s="1574"/>
      <c r="I158" s="1574"/>
      <c r="J158" s="1574"/>
      <c r="K158" s="1574"/>
    </row>
    <row r="159" spans="1:11" ht="12.75" customHeight="1" thickTop="1" thickBot="1" x14ac:dyDescent="0.25">
      <c r="A159" s="1269" t="s">
        <v>1041</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977</v>
      </c>
      <c r="B161" s="484">
        <v>3767</v>
      </c>
      <c r="C161" s="1650"/>
      <c r="D161" s="1626"/>
      <c r="E161" s="1639"/>
      <c r="F161" s="1626"/>
      <c r="G161" s="1626"/>
      <c r="H161" s="1574"/>
      <c r="I161" s="1574"/>
      <c r="J161" s="1574"/>
      <c r="K161" s="1574"/>
    </row>
    <row r="162" spans="1:11" ht="12.75" customHeight="1" thickTop="1" thickBot="1" x14ac:dyDescent="0.25">
      <c r="A162" s="1269" t="s">
        <v>978</v>
      </c>
      <c r="B162" s="484">
        <v>3775</v>
      </c>
      <c r="C162" s="1650"/>
      <c r="D162" s="1648"/>
      <c r="E162" s="1625"/>
      <c r="F162" s="1648"/>
      <c r="G162" s="1627"/>
      <c r="H162" s="1625"/>
      <c r="I162" s="1574"/>
      <c r="J162" s="1574"/>
      <c r="K162" s="1625"/>
    </row>
    <row r="163" spans="1:11" ht="12.75" customHeight="1" thickTop="1" thickBot="1" x14ac:dyDescent="0.25">
      <c r="A163" s="1269" t="s">
        <v>1431</v>
      </c>
      <c r="B163" s="484">
        <v>3780</v>
      </c>
      <c r="C163" s="1626"/>
      <c r="D163" s="1625"/>
      <c r="E163" s="1626"/>
      <c r="F163" s="1626"/>
      <c r="G163" s="1626"/>
      <c r="H163" s="1626"/>
      <c r="I163" s="1574"/>
      <c r="J163" s="1574"/>
      <c r="K163" s="1626"/>
    </row>
    <row r="164" spans="1:11" ht="12.75" customHeight="1" thickTop="1" thickBot="1" x14ac:dyDescent="0.25">
      <c r="A164" s="1269" t="s">
        <v>852</v>
      </c>
      <c r="B164" s="484">
        <v>3815</v>
      </c>
      <c r="C164" s="1650"/>
      <c r="D164" s="1574"/>
      <c r="E164" s="1639"/>
      <c r="F164" s="1650"/>
      <c r="G164" s="1574"/>
      <c r="H164" s="1574"/>
      <c r="I164" s="1574"/>
      <c r="J164" s="1574"/>
      <c r="K164" s="1574"/>
    </row>
    <row r="165" spans="1:11" ht="12.75" customHeight="1" thickTop="1" thickBot="1" x14ac:dyDescent="0.25">
      <c r="A165" s="1269" t="s">
        <v>393</v>
      </c>
      <c r="B165" s="484">
        <v>3825</v>
      </c>
      <c r="C165" s="1650"/>
      <c r="D165" s="1574"/>
      <c r="E165" s="1639"/>
      <c r="F165" s="1650"/>
      <c r="G165" s="1574"/>
      <c r="H165" s="1574"/>
      <c r="I165" s="1574"/>
      <c r="J165" s="1574"/>
      <c r="K165" s="1574"/>
    </row>
    <row r="166" spans="1:11" ht="12.75" customHeight="1" thickTop="1" thickBot="1" x14ac:dyDescent="0.25">
      <c r="A166" s="1269" t="s">
        <v>344</v>
      </c>
      <c r="B166" s="484">
        <v>3920</v>
      </c>
      <c r="C166" s="1644"/>
      <c r="D166" s="1652"/>
      <c r="E166" s="1574"/>
      <c r="F166" s="1644"/>
      <c r="G166" s="1574"/>
      <c r="H166" s="1625"/>
      <c r="I166" s="1574"/>
      <c r="J166" s="1574"/>
      <c r="K166" s="1574"/>
    </row>
    <row r="167" spans="1:11" ht="12.75" customHeight="1" thickTop="1" thickBot="1" x14ac:dyDescent="0.25">
      <c r="A167" s="1269" t="s">
        <v>345</v>
      </c>
      <c r="B167" s="484">
        <v>3925</v>
      </c>
      <c r="C167" s="1616"/>
      <c r="D167" s="1650">
        <v>48688</v>
      </c>
      <c r="E167" s="1616"/>
      <c r="F167" s="1616"/>
      <c r="G167" s="1574"/>
      <c r="H167" s="1626"/>
      <c r="I167" s="1574"/>
      <c r="J167" s="1574"/>
      <c r="K167" s="1625"/>
    </row>
    <row r="168" spans="1:11" ht="14.25" thickTop="1" thickBot="1" x14ac:dyDescent="0.25">
      <c r="A168" s="1269" t="s">
        <v>70</v>
      </c>
      <c r="B168" s="484">
        <v>3999</v>
      </c>
      <c r="C168" s="1653">
        <v>23307</v>
      </c>
      <c r="D168" s="1654"/>
      <c r="E168" s="1654"/>
      <c r="F168" s="1654"/>
      <c r="G168" s="1655"/>
      <c r="H168" s="1656"/>
      <c r="I168" s="1655"/>
      <c r="J168" s="1655"/>
      <c r="K168" s="1656"/>
    </row>
    <row r="169" spans="1:11" ht="12.75" customHeight="1" thickTop="1" thickBot="1" x14ac:dyDescent="0.25">
      <c r="A169" s="2249" t="s">
        <v>394</v>
      </c>
      <c r="B169" s="2250"/>
      <c r="C169" s="1657">
        <f t="shared" ref="C169:K169" si="6">SUM(C132,C141,C145,C146:C150,C155,C156:C167,C168)</f>
        <v>41513</v>
      </c>
      <c r="D169" s="1657">
        <f t="shared" si="6"/>
        <v>48688</v>
      </c>
      <c r="E169" s="1657">
        <f t="shared" si="6"/>
        <v>0</v>
      </c>
      <c r="F169" s="1657">
        <f t="shared" si="6"/>
        <v>30026</v>
      </c>
      <c r="G169" s="1657">
        <f t="shared" si="6"/>
        <v>0</v>
      </c>
      <c r="H169" s="1657">
        <f t="shared" si="6"/>
        <v>0</v>
      </c>
      <c r="I169" s="1657">
        <f t="shared" si="6"/>
        <v>0</v>
      </c>
      <c r="J169" s="1657">
        <f t="shared" si="6"/>
        <v>0</v>
      </c>
      <c r="K169" s="1623">
        <f t="shared" si="6"/>
        <v>0</v>
      </c>
    </row>
    <row r="170" spans="1:11" ht="12.75" customHeight="1" thickTop="1" thickBot="1" x14ac:dyDescent="0.25">
      <c r="A170" s="1405" t="s">
        <v>395</v>
      </c>
      <c r="B170" s="1409" t="s">
        <v>570</v>
      </c>
      <c r="C170" s="1640">
        <f t="shared" ref="C170:K170" si="7">SUM(C122,C169)</f>
        <v>1918665</v>
      </c>
      <c r="D170" s="1640">
        <f t="shared" si="7"/>
        <v>198688</v>
      </c>
      <c r="E170" s="1640">
        <f t="shared" si="7"/>
        <v>0</v>
      </c>
      <c r="F170" s="1640">
        <f t="shared" si="7"/>
        <v>30026</v>
      </c>
      <c r="G170" s="1640">
        <f t="shared" si="7"/>
        <v>0</v>
      </c>
      <c r="H170" s="1640">
        <f t="shared" si="7"/>
        <v>0</v>
      </c>
      <c r="I170" s="1640">
        <f t="shared" si="7"/>
        <v>0</v>
      </c>
      <c r="J170" s="1640">
        <f t="shared" si="7"/>
        <v>0</v>
      </c>
      <c r="K170" s="1628">
        <f t="shared" si="7"/>
        <v>0</v>
      </c>
    </row>
    <row r="171" spans="1:11" ht="16.7" customHeight="1" thickTop="1" x14ac:dyDescent="0.2">
      <c r="A171" s="1326" t="s">
        <v>798</v>
      </c>
      <c r="B171" s="1309"/>
      <c r="C171" s="1601"/>
      <c r="D171" s="1602"/>
      <c r="E171" s="1602"/>
      <c r="F171" s="1602"/>
      <c r="G171" s="1602"/>
      <c r="H171" s="1602"/>
      <c r="I171" s="1602"/>
      <c r="J171" s="1602"/>
      <c r="K171" s="1614"/>
    </row>
    <row r="172" spans="1:11" ht="15.75" customHeight="1" x14ac:dyDescent="0.2">
      <c r="A172" s="2251" t="s">
        <v>1474</v>
      </c>
      <c r="B172" s="2252"/>
      <c r="C172" s="1615"/>
      <c r="D172" s="1615"/>
      <c r="E172" s="1608"/>
      <c r="F172" s="1574"/>
      <c r="G172" s="1574"/>
      <c r="H172" s="1574"/>
      <c r="I172" s="1574"/>
      <c r="J172" s="1574"/>
      <c r="K172" s="1574"/>
    </row>
    <row r="173" spans="1:11" ht="12.6" customHeight="1" x14ac:dyDescent="0.2">
      <c r="A173" s="436" t="s">
        <v>1034</v>
      </c>
      <c r="B173" s="435">
        <v>4001</v>
      </c>
      <c r="C173" s="1612"/>
      <c r="D173" s="1585"/>
      <c r="E173" s="1573"/>
      <c r="F173" s="1572"/>
      <c r="G173" s="1572"/>
      <c r="H173" s="1573"/>
      <c r="I173" s="1573"/>
      <c r="J173" s="1573"/>
      <c r="K173" s="1573"/>
    </row>
    <row r="174" spans="1:11" ht="22.5" x14ac:dyDescent="0.2">
      <c r="A174" s="479" t="s">
        <v>799</v>
      </c>
      <c r="B174" s="485">
        <v>4009</v>
      </c>
      <c r="C174" s="1631"/>
      <c r="D174" s="1572"/>
      <c r="E174" s="1573"/>
      <c r="F174" s="1572"/>
      <c r="G174" s="1572"/>
      <c r="H174" s="1573"/>
      <c r="I174" s="1573"/>
      <c r="J174" s="1573"/>
      <c r="K174" s="1573"/>
    </row>
    <row r="175" spans="1:11" ht="13.5" thickBot="1" x14ac:dyDescent="0.25">
      <c r="A175" s="2255" t="s">
        <v>1645</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9" t="s">
        <v>1644</v>
      </c>
      <c r="B176" s="2260"/>
      <c r="C176" s="1658"/>
      <c r="D176" s="1659"/>
      <c r="E176" s="1660"/>
      <c r="F176" s="1661"/>
      <c r="G176" s="1661"/>
      <c r="H176" s="1661"/>
      <c r="I176" s="1661"/>
      <c r="J176" s="1661"/>
      <c r="K176" s="1661"/>
    </row>
    <row r="177" spans="1:11" ht="12.75" customHeight="1" x14ac:dyDescent="0.2">
      <c r="A177" s="427" t="s">
        <v>1035</v>
      </c>
      <c r="B177" s="429">
        <v>4045</v>
      </c>
      <c r="C177" s="1631"/>
      <c r="D177" s="1574"/>
      <c r="E177" s="1639"/>
      <c r="F177" s="1574"/>
      <c r="G177" s="1574"/>
      <c r="H177" s="1574"/>
      <c r="I177" s="1574"/>
      <c r="J177" s="1574"/>
      <c r="K177" s="1574"/>
    </row>
    <row r="178" spans="1:11" ht="12.75" customHeight="1" x14ac:dyDescent="0.2">
      <c r="A178" s="427" t="s">
        <v>1036</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780</v>
      </c>
      <c r="B180" s="485">
        <v>4090</v>
      </c>
      <c r="C180" s="1631"/>
      <c r="D180" s="1572"/>
      <c r="E180" s="1574"/>
      <c r="F180" s="1572"/>
      <c r="G180" s="1572"/>
      <c r="H180" s="1572"/>
      <c r="I180" s="1574"/>
      <c r="J180" s="1574"/>
      <c r="K180" s="1572"/>
    </row>
    <row r="181" spans="1:11" ht="13.5" thickBot="1" x14ac:dyDescent="0.25">
      <c r="A181" s="2257" t="s">
        <v>779</v>
      </c>
      <c r="B181" s="225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1779</v>
      </c>
      <c r="B182" s="2254"/>
      <c r="C182" s="1662"/>
      <c r="D182" s="1644"/>
      <c r="E182" s="1608"/>
      <c r="F182" s="1644"/>
      <c r="G182" s="1644"/>
      <c r="H182" s="1574"/>
      <c r="I182" s="1574"/>
      <c r="J182" s="1574"/>
      <c r="K182" s="1574"/>
    </row>
    <row r="183" spans="1:11" ht="15.75" customHeight="1" x14ac:dyDescent="0.2">
      <c r="A183" s="1340" t="s">
        <v>1584</v>
      </c>
      <c r="B183" s="1341"/>
      <c r="C183" s="1642"/>
      <c r="D183" s="1616"/>
      <c r="E183" s="1608"/>
      <c r="F183" s="1616"/>
      <c r="G183" s="1616"/>
      <c r="H183" s="1574"/>
      <c r="I183" s="1574"/>
      <c r="J183" s="1574"/>
      <c r="K183" s="1574"/>
    </row>
    <row r="184" spans="1:11" ht="12.75" customHeight="1" x14ac:dyDescent="0.2">
      <c r="A184" s="427" t="s">
        <v>1585</v>
      </c>
      <c r="B184" s="429">
        <v>4100</v>
      </c>
      <c r="C184" s="1612"/>
      <c r="D184" s="1585"/>
      <c r="E184" s="1639"/>
      <c r="F184" s="1585"/>
      <c r="G184" s="1585"/>
      <c r="H184" s="1574"/>
      <c r="I184" s="1574"/>
      <c r="J184" s="1574"/>
      <c r="K184" s="1574"/>
    </row>
    <row r="185" spans="1:11" ht="12.75" customHeight="1" x14ac:dyDescent="0.2">
      <c r="A185" s="427" t="s">
        <v>1586</v>
      </c>
      <c r="B185" s="429">
        <v>4105</v>
      </c>
      <c r="C185" s="1631"/>
      <c r="D185" s="1572"/>
      <c r="E185" s="1639"/>
      <c r="F185" s="1572"/>
      <c r="G185" s="1572"/>
      <c r="H185" s="1574"/>
      <c r="I185" s="1574"/>
      <c r="J185" s="1574"/>
      <c r="K185" s="1574"/>
    </row>
    <row r="186" spans="1:11" ht="12.75" customHeight="1" x14ac:dyDescent="0.2">
      <c r="A186" s="427" t="s">
        <v>1588</v>
      </c>
      <c r="B186" s="429">
        <v>4107</v>
      </c>
      <c r="C186" s="1631">
        <v>10016</v>
      </c>
      <c r="D186" s="1572"/>
      <c r="E186" s="1639"/>
      <c r="F186" s="1572"/>
      <c r="G186" s="1572"/>
      <c r="H186" s="1574"/>
      <c r="I186" s="1574"/>
      <c r="J186" s="1574"/>
      <c r="K186" s="1574"/>
    </row>
    <row r="187" spans="1:11" ht="12.75" customHeight="1" x14ac:dyDescent="0.2">
      <c r="A187" s="427" t="s">
        <v>1587</v>
      </c>
      <c r="B187" s="429">
        <v>4199</v>
      </c>
      <c r="C187" s="1631"/>
      <c r="D187" s="1572"/>
      <c r="E187" s="1639"/>
      <c r="F187" s="1572"/>
      <c r="G187" s="1572"/>
      <c r="H187" s="1574"/>
      <c r="I187" s="1574"/>
      <c r="J187" s="1574"/>
      <c r="K187" s="1574"/>
    </row>
    <row r="188" spans="1:11" ht="12.75" customHeight="1" thickBot="1" x14ac:dyDescent="0.25">
      <c r="A188" s="1405" t="s">
        <v>1589</v>
      </c>
      <c r="B188" s="1406"/>
      <c r="C188" s="1632">
        <f>SUM(C184:C187)</f>
        <v>10016</v>
      </c>
      <c r="D188" s="1632">
        <f>SUM(D184:D187)</f>
        <v>0</v>
      </c>
      <c r="E188" s="1639"/>
      <c r="F188" s="1632">
        <f>SUM(F184:F187)</f>
        <v>0</v>
      </c>
      <c r="G188" s="1632">
        <f>SUM(G184:G187)</f>
        <v>0</v>
      </c>
      <c r="H188" s="1574"/>
      <c r="I188" s="1574"/>
      <c r="J188" s="1574"/>
      <c r="K188" s="1574"/>
    </row>
    <row r="189" spans="1:11" ht="15.75" customHeight="1" thickTop="1" x14ac:dyDescent="0.2">
      <c r="A189" s="1337" t="s">
        <v>451</v>
      </c>
      <c r="B189" s="1342"/>
      <c r="C189" s="1633"/>
      <c r="D189" s="1644"/>
      <c r="E189" s="1639"/>
      <c r="F189" s="1633"/>
      <c r="G189" s="1633"/>
      <c r="H189" s="1574"/>
      <c r="I189" s="1574"/>
      <c r="J189" s="1574"/>
      <c r="K189" s="1574"/>
    </row>
    <row r="190" spans="1:11" x14ac:dyDescent="0.2">
      <c r="A190" s="427" t="s">
        <v>1432</v>
      </c>
      <c r="B190" s="429">
        <v>4200</v>
      </c>
      <c r="C190" s="1573"/>
      <c r="D190" s="1574"/>
      <c r="E190" s="1639"/>
      <c r="F190" s="1633"/>
      <c r="G190" s="1663"/>
      <c r="H190" s="1574"/>
      <c r="I190" s="1574"/>
      <c r="J190" s="1574"/>
      <c r="K190" s="1574"/>
    </row>
    <row r="191" spans="1:11" ht="12.75" customHeight="1" x14ac:dyDescent="0.2">
      <c r="A191" s="427" t="s">
        <v>1048</v>
      </c>
      <c r="B191" s="429">
        <v>4210</v>
      </c>
      <c r="C191" s="1572">
        <v>125307</v>
      </c>
      <c r="D191" s="1574"/>
      <c r="E191" s="1639"/>
      <c r="F191" s="1574"/>
      <c r="G191" s="1663"/>
      <c r="H191" s="1574"/>
      <c r="I191" s="1574"/>
      <c r="J191" s="1574"/>
      <c r="K191" s="1574"/>
    </row>
    <row r="192" spans="1:11" ht="12.75" customHeight="1" x14ac:dyDescent="0.2">
      <c r="A192" s="427" t="s">
        <v>1037</v>
      </c>
      <c r="B192" s="429">
        <v>4215</v>
      </c>
      <c r="C192" s="1631"/>
      <c r="D192" s="1574"/>
      <c r="E192" s="1639"/>
      <c r="F192" s="1574"/>
      <c r="G192" s="1663"/>
      <c r="H192" s="1574"/>
      <c r="I192" s="1574"/>
      <c r="J192" s="1574"/>
      <c r="K192" s="1574"/>
    </row>
    <row r="193" spans="1:11" ht="12.75" customHeight="1" x14ac:dyDescent="0.2">
      <c r="A193" s="427" t="s">
        <v>1049</v>
      </c>
      <c r="B193" s="429">
        <v>4220</v>
      </c>
      <c r="C193" s="1631">
        <v>54010</v>
      </c>
      <c r="D193" s="1574"/>
      <c r="E193" s="1639"/>
      <c r="F193" s="1574"/>
      <c r="G193" s="1663"/>
      <c r="H193" s="1574"/>
      <c r="I193" s="1574"/>
      <c r="J193" s="1574"/>
      <c r="K193" s="1574"/>
    </row>
    <row r="194" spans="1:11" ht="12.75" customHeight="1" x14ac:dyDescent="0.2">
      <c r="A194" s="427" t="s">
        <v>1433</v>
      </c>
      <c r="B194" s="429">
        <v>4225</v>
      </c>
      <c r="C194" s="1631">
        <v>88337</v>
      </c>
      <c r="D194" s="1574"/>
      <c r="E194" s="1639"/>
      <c r="F194" s="1574"/>
      <c r="G194" s="1663"/>
      <c r="H194" s="1574"/>
      <c r="I194" s="1574"/>
      <c r="J194" s="1574"/>
      <c r="K194" s="1574"/>
    </row>
    <row r="195" spans="1:11" ht="12.75" customHeight="1" x14ac:dyDescent="0.2">
      <c r="A195" s="427" t="s">
        <v>1434</v>
      </c>
      <c r="B195" s="429">
        <v>4226</v>
      </c>
      <c r="C195" s="1631"/>
      <c r="D195" s="1574"/>
      <c r="E195" s="1639"/>
      <c r="F195" s="1574"/>
      <c r="G195" s="1663"/>
      <c r="H195" s="1574"/>
      <c r="I195" s="1574"/>
      <c r="J195" s="1574"/>
      <c r="K195" s="1574"/>
    </row>
    <row r="196" spans="1:11" ht="12.75" customHeight="1" x14ac:dyDescent="0.2">
      <c r="A196" s="427" t="s">
        <v>786</v>
      </c>
      <c r="B196" s="429">
        <v>4240</v>
      </c>
      <c r="C196" s="1597">
        <v>5902</v>
      </c>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543</v>
      </c>
      <c r="B198" s="1406"/>
      <c r="C198" s="1593">
        <f>SUM(C190:C197)</f>
        <v>273556</v>
      </c>
      <c r="D198" s="1574"/>
      <c r="E198" s="1574"/>
      <c r="F198" s="1574"/>
      <c r="G198" s="1593">
        <f>SUM(G190:G197)</f>
        <v>0</v>
      </c>
      <c r="H198" s="1574"/>
      <c r="I198" s="1574"/>
      <c r="J198" s="1574"/>
      <c r="K198" s="1574"/>
    </row>
    <row r="199" spans="1:11" ht="15.75" customHeight="1" thickTop="1" x14ac:dyDescent="0.2">
      <c r="A199" s="1337" t="s">
        <v>1127</v>
      </c>
      <c r="B199" s="1342"/>
      <c r="C199" s="1633"/>
      <c r="D199" s="1574"/>
      <c r="E199" s="1574"/>
      <c r="F199" s="1574"/>
      <c r="G199" s="1574"/>
      <c r="H199" s="1574"/>
      <c r="I199" s="1574"/>
      <c r="J199" s="1574"/>
      <c r="K199" s="1574"/>
    </row>
    <row r="200" spans="1:11" ht="12.75" customHeight="1" x14ac:dyDescent="0.2">
      <c r="A200" s="427" t="s">
        <v>911</v>
      </c>
      <c r="B200" s="429">
        <v>4300</v>
      </c>
      <c r="C200" s="1572">
        <v>104375</v>
      </c>
      <c r="D200" s="1572"/>
      <c r="E200" s="1574"/>
      <c r="F200" s="1572"/>
      <c r="G200" s="1572"/>
      <c r="H200" s="1574"/>
      <c r="I200" s="1574"/>
      <c r="J200" s="1574"/>
      <c r="K200" s="1574"/>
    </row>
    <row r="201" spans="1:11" ht="12.75" customHeight="1" x14ac:dyDescent="0.2">
      <c r="A201" s="427" t="s">
        <v>912</v>
      </c>
      <c r="B201" s="429">
        <v>4305</v>
      </c>
      <c r="C201" s="1631"/>
      <c r="D201" s="1572"/>
      <c r="E201" s="1574"/>
      <c r="F201" s="1572"/>
      <c r="G201" s="1572"/>
      <c r="H201" s="1574"/>
      <c r="I201" s="1574"/>
      <c r="J201" s="1574"/>
      <c r="K201" s="1574"/>
    </row>
    <row r="202" spans="1:11" ht="12.75" customHeight="1" x14ac:dyDescent="0.2">
      <c r="A202" s="427" t="s">
        <v>1023</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396</v>
      </c>
      <c r="B204" s="1406"/>
      <c r="C204" s="1632">
        <f>SUM(C200:C203)</f>
        <v>104375</v>
      </c>
      <c r="D204" s="1632">
        <f>SUM(D200:D203)</f>
        <v>0</v>
      </c>
      <c r="E204" s="1574"/>
      <c r="F204" s="1632">
        <f>SUM(F200:F203)</f>
        <v>0</v>
      </c>
      <c r="G204" s="1632">
        <f>SUM(G200:G203)</f>
        <v>0</v>
      </c>
      <c r="H204" s="1574"/>
      <c r="I204" s="1574"/>
      <c r="J204" s="1574"/>
      <c r="K204" s="1574"/>
    </row>
    <row r="205" spans="1:11" ht="15.75" customHeight="1" thickTop="1" x14ac:dyDescent="0.2">
      <c r="A205" s="1337" t="s">
        <v>1128</v>
      </c>
      <c r="B205" s="1342"/>
      <c r="C205" s="1633"/>
      <c r="D205" s="1633"/>
      <c r="E205" s="1574"/>
      <c r="F205" s="1633"/>
      <c r="G205" s="1633"/>
      <c r="H205" s="1574"/>
      <c r="I205" s="1574"/>
      <c r="J205" s="1574"/>
      <c r="K205" s="1574"/>
    </row>
    <row r="206" spans="1:11" ht="12.75" customHeight="1" x14ac:dyDescent="0.2">
      <c r="A206" s="427" t="s">
        <v>753</v>
      </c>
      <c r="B206" s="429">
        <v>4400</v>
      </c>
      <c r="C206" s="1631"/>
      <c r="D206" s="1572"/>
      <c r="E206" s="1574"/>
      <c r="F206" s="1572"/>
      <c r="G206" s="1572"/>
      <c r="H206" s="1574"/>
      <c r="I206" s="1574"/>
      <c r="J206" s="1574"/>
      <c r="K206" s="1574"/>
    </row>
    <row r="207" spans="1:11" ht="12.75" customHeight="1" x14ac:dyDescent="0.2">
      <c r="A207" s="427" t="s">
        <v>1435</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882</v>
      </c>
      <c r="B209" s="1406"/>
      <c r="C209" s="1632">
        <f>SUM(C206:C208)</f>
        <v>0</v>
      </c>
      <c r="D209" s="1632">
        <f>SUM(D206:D208)</f>
        <v>0</v>
      </c>
      <c r="E209" s="1574" t="s">
        <v>1158</v>
      </c>
      <c r="F209" s="1632">
        <f>SUM(F206:F208)</f>
        <v>0</v>
      </c>
      <c r="G209" s="1632">
        <f>SUM(G206:G208)</f>
        <v>0</v>
      </c>
      <c r="H209" s="1574"/>
      <c r="I209" s="1574"/>
      <c r="J209" s="1574"/>
      <c r="K209" s="1574"/>
    </row>
    <row r="210" spans="1:11" ht="15.75" customHeight="1" thickTop="1" x14ac:dyDescent="0.2">
      <c r="A210" s="1337" t="s">
        <v>1082</v>
      </c>
      <c r="B210" s="1342"/>
      <c r="C210" s="1633"/>
      <c r="D210" s="1633"/>
      <c r="E210" s="1574"/>
      <c r="F210" s="1633"/>
      <c r="G210" s="1633"/>
      <c r="H210" s="1574"/>
      <c r="I210" s="1574"/>
      <c r="J210" s="1574"/>
      <c r="K210" s="1574"/>
    </row>
    <row r="211" spans="1:11" ht="12.75" customHeight="1" x14ac:dyDescent="0.2">
      <c r="A211" s="427" t="s">
        <v>1042</v>
      </c>
      <c r="B211" s="429">
        <v>4600</v>
      </c>
      <c r="C211" s="1631">
        <v>3874</v>
      </c>
      <c r="D211" s="1572"/>
      <c r="E211" s="1574"/>
      <c r="F211" s="1572"/>
      <c r="G211" s="1572"/>
      <c r="H211" s="1574"/>
      <c r="I211" s="1574"/>
      <c r="J211" s="1574"/>
      <c r="K211" s="1574"/>
    </row>
    <row r="212" spans="1:11" ht="12.75" customHeight="1" x14ac:dyDescent="0.2">
      <c r="A212" s="427" t="s">
        <v>1043</v>
      </c>
      <c r="B212" s="429">
        <v>4605</v>
      </c>
      <c r="C212" s="1631"/>
      <c r="D212" s="1572"/>
      <c r="E212" s="1574"/>
      <c r="F212" s="1572"/>
      <c r="G212" s="1572"/>
      <c r="H212" s="1574"/>
      <c r="I212" s="1574"/>
      <c r="J212" s="1574"/>
      <c r="K212" s="1574"/>
    </row>
    <row r="213" spans="1:11" ht="12.75" customHeight="1" x14ac:dyDescent="0.2">
      <c r="A213" s="427" t="s">
        <v>1436</v>
      </c>
      <c r="B213" s="475">
        <v>4620</v>
      </c>
      <c r="C213" s="1631">
        <v>10205</v>
      </c>
      <c r="D213" s="1572"/>
      <c r="E213" s="1574"/>
      <c r="F213" s="1572"/>
      <c r="G213" s="1572"/>
      <c r="H213" s="1574"/>
      <c r="I213" s="1574"/>
      <c r="J213" s="1574"/>
      <c r="K213" s="1574"/>
    </row>
    <row r="214" spans="1:11" ht="12.75" customHeight="1" x14ac:dyDescent="0.2">
      <c r="A214" s="427" t="s">
        <v>1044</v>
      </c>
      <c r="B214" s="429">
        <v>4625</v>
      </c>
      <c r="C214" s="1631">
        <v>11836</v>
      </c>
      <c r="D214" s="1572"/>
      <c r="E214" s="1574"/>
      <c r="F214" s="1572"/>
      <c r="G214" s="1572"/>
      <c r="H214" s="1574"/>
      <c r="I214" s="1574"/>
      <c r="J214" s="1574"/>
      <c r="K214" s="1574"/>
    </row>
    <row r="215" spans="1:11" ht="12.75" customHeight="1" x14ac:dyDescent="0.2">
      <c r="A215" s="427" t="s">
        <v>1045</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443</v>
      </c>
      <c r="B217" s="1406"/>
      <c r="C217" s="1632">
        <f>SUM(C211:C216)</f>
        <v>25915</v>
      </c>
      <c r="D217" s="1632">
        <f>SUM(D211:D216)</f>
        <v>0</v>
      </c>
      <c r="E217" s="1574"/>
      <c r="F217" s="1632">
        <f>SUM(F211:F216)</f>
        <v>0</v>
      </c>
      <c r="G217" s="1632">
        <f>SUM(G211:G216)</f>
        <v>0</v>
      </c>
      <c r="H217" s="1574"/>
      <c r="I217" s="1574"/>
      <c r="J217" s="1574"/>
      <c r="K217" s="1574"/>
    </row>
    <row r="218" spans="1:11" ht="15.75" customHeight="1" thickTop="1" x14ac:dyDescent="0.2">
      <c r="A218" s="1337" t="s">
        <v>1083</v>
      </c>
      <c r="B218" s="1342"/>
      <c r="C218" s="1633"/>
      <c r="D218" s="1633"/>
      <c r="E218" s="1574"/>
      <c r="F218" s="1633"/>
      <c r="G218" s="1633"/>
      <c r="H218" s="1574"/>
      <c r="I218" s="1574"/>
      <c r="J218" s="1574"/>
      <c r="K218" s="1574"/>
    </row>
    <row r="219" spans="1:11" ht="12.75" customHeight="1" x14ac:dyDescent="0.2">
      <c r="A219" s="427" t="s">
        <v>781</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1075</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751</v>
      </c>
      <c r="B222" s="435">
        <v>4810</v>
      </c>
      <c r="C222" s="1649"/>
      <c r="D222" s="1650"/>
      <c r="E222" s="1574"/>
      <c r="F222" s="1574"/>
      <c r="G222" s="1650"/>
      <c r="H222" s="1574"/>
      <c r="I222" s="1574"/>
      <c r="J222" s="1574"/>
      <c r="K222" s="1574"/>
    </row>
    <row r="223" spans="1:11" ht="12.75" customHeight="1" thickTop="1" x14ac:dyDescent="0.2">
      <c r="A223" s="436" t="s">
        <v>346</v>
      </c>
      <c r="B223" s="435">
        <v>4850</v>
      </c>
      <c r="C223" s="1597"/>
      <c r="D223" s="1573"/>
      <c r="E223" s="1573"/>
      <c r="F223" s="1573"/>
      <c r="G223" s="1573"/>
      <c r="H223" s="1573"/>
      <c r="I223" s="1574"/>
      <c r="J223" s="1573"/>
      <c r="K223" s="1573"/>
    </row>
    <row r="224" spans="1:11" ht="12.75" customHeight="1" x14ac:dyDescent="0.2">
      <c r="A224" s="436" t="s">
        <v>347</v>
      </c>
      <c r="B224" s="435">
        <v>4851</v>
      </c>
      <c r="C224" s="1597"/>
      <c r="D224" s="1573"/>
      <c r="E224" s="1574"/>
      <c r="F224" s="1578"/>
      <c r="G224" s="1573"/>
      <c r="H224" s="1574"/>
      <c r="I224" s="1574"/>
      <c r="J224" s="1574"/>
      <c r="K224" s="1574"/>
    </row>
    <row r="225" spans="1:11" ht="12.75" customHeight="1" x14ac:dyDescent="0.2">
      <c r="A225" s="436" t="s">
        <v>348</v>
      </c>
      <c r="B225" s="435">
        <v>4852</v>
      </c>
      <c r="C225" s="1597"/>
      <c r="D225" s="1573"/>
      <c r="E225" s="1573"/>
      <c r="F225" s="1573"/>
      <c r="G225" s="1573"/>
      <c r="H225" s="1573"/>
      <c r="I225" s="1574"/>
      <c r="J225" s="1573"/>
      <c r="K225" s="1573"/>
    </row>
    <row r="226" spans="1:11" ht="12.75" customHeight="1" x14ac:dyDescent="0.2">
      <c r="A226" s="436" t="s">
        <v>349</v>
      </c>
      <c r="B226" s="435">
        <v>4853</v>
      </c>
      <c r="C226" s="1597"/>
      <c r="D226" s="1573"/>
      <c r="E226" s="1573"/>
      <c r="F226" s="1573"/>
      <c r="G226" s="1573"/>
      <c r="H226" s="1573"/>
      <c r="I226" s="1574"/>
      <c r="J226" s="1573"/>
      <c r="K226" s="1573"/>
    </row>
    <row r="227" spans="1:11" ht="12.75" customHeight="1" x14ac:dyDescent="0.2">
      <c r="A227" s="436" t="s">
        <v>350</v>
      </c>
      <c r="B227" s="435">
        <v>4854</v>
      </c>
      <c r="C227" s="1597"/>
      <c r="D227" s="1573"/>
      <c r="E227" s="1573"/>
      <c r="F227" s="1573"/>
      <c r="G227" s="1573"/>
      <c r="H227" s="1573"/>
      <c r="I227" s="1574"/>
      <c r="J227" s="1573"/>
      <c r="K227" s="1573"/>
    </row>
    <row r="228" spans="1:11" ht="12.75" customHeight="1" x14ac:dyDescent="0.2">
      <c r="A228" s="436" t="s">
        <v>460</v>
      </c>
      <c r="B228" s="435">
        <v>4855</v>
      </c>
      <c r="C228" s="1597"/>
      <c r="D228" s="1573"/>
      <c r="E228" s="1573"/>
      <c r="F228" s="1573"/>
      <c r="G228" s="1573"/>
      <c r="H228" s="1573"/>
      <c r="I228" s="1574"/>
      <c r="J228" s="1573"/>
      <c r="K228" s="1573"/>
    </row>
    <row r="229" spans="1:11" ht="12.75" customHeight="1" x14ac:dyDescent="0.2">
      <c r="A229" s="436" t="s">
        <v>351</v>
      </c>
      <c r="B229" s="435">
        <v>4856</v>
      </c>
      <c r="C229" s="1597"/>
      <c r="D229" s="1573"/>
      <c r="E229" s="1573"/>
      <c r="F229" s="1573"/>
      <c r="G229" s="1573"/>
      <c r="H229" s="1573"/>
      <c r="I229" s="1574"/>
      <c r="J229" s="1573"/>
      <c r="K229" s="1573"/>
    </row>
    <row r="230" spans="1:11" ht="12.75" customHeight="1" x14ac:dyDescent="0.2">
      <c r="A230" s="436" t="s">
        <v>352</v>
      </c>
      <c r="B230" s="435">
        <v>4857</v>
      </c>
      <c r="C230" s="1597"/>
      <c r="D230" s="1573"/>
      <c r="E230" s="1573"/>
      <c r="F230" s="1573"/>
      <c r="G230" s="1573"/>
      <c r="H230" s="1573"/>
      <c r="I230" s="1574"/>
      <c r="J230" s="1573"/>
      <c r="K230" s="1573"/>
    </row>
    <row r="231" spans="1:11" ht="12.75" customHeight="1" x14ac:dyDescent="0.2">
      <c r="A231" s="436" t="s">
        <v>353</v>
      </c>
      <c r="B231" s="435">
        <v>4860</v>
      </c>
      <c r="C231" s="1597"/>
      <c r="D231" s="1573"/>
      <c r="E231" s="1573"/>
      <c r="F231" s="1573"/>
      <c r="G231" s="1573"/>
      <c r="H231" s="1573"/>
      <c r="I231" s="1574"/>
      <c r="J231" s="1573"/>
      <c r="K231" s="1573"/>
    </row>
    <row r="232" spans="1:11" ht="12.75" customHeight="1" x14ac:dyDescent="0.2">
      <c r="A232" s="436" t="s">
        <v>354</v>
      </c>
      <c r="B232" s="435">
        <v>4861</v>
      </c>
      <c r="C232" s="1597"/>
      <c r="D232" s="1573"/>
      <c r="E232" s="1573"/>
      <c r="F232" s="1573"/>
      <c r="G232" s="1573"/>
      <c r="H232" s="1573"/>
      <c r="I232" s="1574"/>
      <c r="J232" s="1573"/>
      <c r="K232" s="1573"/>
    </row>
    <row r="233" spans="1:11" ht="12.75" customHeight="1" x14ac:dyDescent="0.2">
      <c r="A233" s="436" t="s">
        <v>355</v>
      </c>
      <c r="B233" s="435">
        <v>4862</v>
      </c>
      <c r="C233" s="1597"/>
      <c r="D233" s="1573"/>
      <c r="E233" s="1579"/>
      <c r="F233" s="1573"/>
      <c r="G233" s="1573"/>
      <c r="H233" s="1579"/>
      <c r="I233" s="1574"/>
      <c r="J233" s="1579"/>
      <c r="K233" s="1579"/>
    </row>
    <row r="234" spans="1:11" ht="12.75" customHeight="1" x14ac:dyDescent="0.2">
      <c r="A234" s="436" t="s">
        <v>356</v>
      </c>
      <c r="B234" s="435">
        <v>4863</v>
      </c>
      <c r="C234" s="1597"/>
      <c r="D234" s="1573"/>
      <c r="E234" s="1574"/>
      <c r="F234" s="1579"/>
      <c r="G234" s="1622"/>
      <c r="H234" s="1574"/>
      <c r="I234" s="1574"/>
      <c r="J234" s="1574"/>
      <c r="K234" s="1574"/>
    </row>
    <row r="235" spans="1:11" ht="12.75" customHeight="1" x14ac:dyDescent="0.2">
      <c r="A235" s="436" t="s">
        <v>465</v>
      </c>
      <c r="B235" s="435">
        <v>4864</v>
      </c>
      <c r="C235" s="1597"/>
      <c r="D235" s="1573"/>
      <c r="E235" s="1573"/>
      <c r="F235" s="1573"/>
      <c r="G235" s="1573"/>
      <c r="H235" s="1573"/>
      <c r="I235" s="1574"/>
      <c r="J235" s="1573"/>
      <c r="K235" s="1573"/>
    </row>
    <row r="236" spans="1:11" ht="12.75" customHeight="1" x14ac:dyDescent="0.2">
      <c r="A236" s="436" t="s">
        <v>466</v>
      </c>
      <c r="B236" s="435">
        <v>4865</v>
      </c>
      <c r="C236" s="1597"/>
      <c r="D236" s="1573"/>
      <c r="E236" s="1573"/>
      <c r="F236" s="1573"/>
      <c r="G236" s="1573"/>
      <c r="H236" s="1573"/>
      <c r="I236" s="1574"/>
      <c r="J236" s="1573"/>
      <c r="K236" s="1573"/>
    </row>
    <row r="237" spans="1:11" ht="12.75" customHeight="1" x14ac:dyDescent="0.2">
      <c r="A237" s="436" t="s">
        <v>464</v>
      </c>
      <c r="B237" s="435">
        <v>4866</v>
      </c>
      <c r="C237" s="1597"/>
      <c r="D237" s="1573"/>
      <c r="E237" s="1573"/>
      <c r="F237" s="1573"/>
      <c r="G237" s="1573"/>
      <c r="H237" s="1573"/>
      <c r="I237" s="1574"/>
      <c r="J237" s="1573"/>
      <c r="K237" s="1573"/>
    </row>
    <row r="238" spans="1:11" ht="12.75" customHeight="1" x14ac:dyDescent="0.2">
      <c r="A238" s="436" t="s">
        <v>463</v>
      </c>
      <c r="B238" s="435">
        <v>4867</v>
      </c>
      <c r="C238" s="1597"/>
      <c r="D238" s="1573"/>
      <c r="E238" s="1573"/>
      <c r="F238" s="1573"/>
      <c r="G238" s="1573"/>
      <c r="H238" s="1573"/>
      <c r="I238" s="1574"/>
      <c r="J238" s="1573"/>
      <c r="K238" s="1573"/>
    </row>
    <row r="239" spans="1:11" ht="12.75" customHeight="1" x14ac:dyDescent="0.2">
      <c r="A239" s="436" t="s">
        <v>462</v>
      </c>
      <c r="B239" s="435">
        <v>4868</v>
      </c>
      <c r="C239" s="1597"/>
      <c r="D239" s="1573"/>
      <c r="E239" s="1573"/>
      <c r="F239" s="1573"/>
      <c r="G239" s="1573"/>
      <c r="H239" s="1573"/>
      <c r="I239" s="1574"/>
      <c r="J239" s="1573"/>
      <c r="K239" s="1573"/>
    </row>
    <row r="240" spans="1:11" ht="12.75" customHeight="1" x14ac:dyDescent="0.2">
      <c r="A240" s="436" t="s">
        <v>461</v>
      </c>
      <c r="B240" s="435">
        <v>4869</v>
      </c>
      <c r="C240" s="1597"/>
      <c r="D240" s="1573"/>
      <c r="E240" s="1573"/>
      <c r="F240" s="1573"/>
      <c r="G240" s="1573"/>
      <c r="H240" s="1573"/>
      <c r="I240" s="1574"/>
      <c r="J240" s="1573"/>
      <c r="K240" s="1573"/>
    </row>
    <row r="241" spans="1:11" ht="12.75" customHeight="1" x14ac:dyDescent="0.2">
      <c r="A241" s="436" t="s">
        <v>1117</v>
      </c>
      <c r="B241" s="435">
        <v>4870</v>
      </c>
      <c r="C241" s="1597"/>
      <c r="D241" s="1573"/>
      <c r="E241" s="1573"/>
      <c r="F241" s="1573"/>
      <c r="G241" s="1573"/>
      <c r="H241" s="1573"/>
      <c r="I241" s="1574"/>
      <c r="J241" s="1573"/>
      <c r="K241" s="1573"/>
    </row>
    <row r="242" spans="1:11" ht="12.75" customHeight="1" x14ac:dyDescent="0.2">
      <c r="A242" s="436" t="s">
        <v>782</v>
      </c>
      <c r="B242" s="435">
        <v>4871</v>
      </c>
      <c r="C242" s="1597"/>
      <c r="D242" s="1573"/>
      <c r="E242" s="1573"/>
      <c r="F242" s="1573"/>
      <c r="G242" s="1573"/>
      <c r="H242" s="1573"/>
      <c r="I242" s="1574"/>
      <c r="J242" s="1573"/>
      <c r="K242" s="1573"/>
    </row>
    <row r="243" spans="1:11" ht="12.75" customHeight="1" x14ac:dyDescent="0.2">
      <c r="A243" s="436" t="s">
        <v>783</v>
      </c>
      <c r="B243" s="435">
        <v>4872</v>
      </c>
      <c r="C243" s="1597"/>
      <c r="D243" s="1573"/>
      <c r="E243" s="1573"/>
      <c r="F243" s="1573"/>
      <c r="G243" s="1573"/>
      <c r="H243" s="1573"/>
      <c r="I243" s="1574"/>
      <c r="J243" s="1573"/>
      <c r="K243" s="1573"/>
    </row>
    <row r="244" spans="1:11" ht="12.75" customHeight="1" x14ac:dyDescent="0.2">
      <c r="A244" s="436" t="s">
        <v>784</v>
      </c>
      <c r="B244" s="435">
        <v>4873</v>
      </c>
      <c r="C244" s="1597"/>
      <c r="D244" s="1573"/>
      <c r="E244" s="1573"/>
      <c r="F244" s="1573"/>
      <c r="G244" s="1573"/>
      <c r="H244" s="1573"/>
      <c r="I244" s="1574"/>
      <c r="J244" s="1573"/>
      <c r="K244" s="1573"/>
    </row>
    <row r="245" spans="1:11" ht="12.75" customHeight="1" x14ac:dyDescent="0.2">
      <c r="A245" s="436" t="s">
        <v>785</v>
      </c>
      <c r="B245" s="435">
        <v>4874</v>
      </c>
      <c r="C245" s="1597"/>
      <c r="D245" s="1573"/>
      <c r="E245" s="1573"/>
      <c r="F245" s="1573"/>
      <c r="G245" s="1573"/>
      <c r="H245" s="1573"/>
      <c r="I245" s="1574"/>
      <c r="J245" s="1573"/>
      <c r="K245" s="1573"/>
    </row>
    <row r="246" spans="1:11" ht="12.75" customHeight="1" x14ac:dyDescent="0.2">
      <c r="A246" s="436" t="s">
        <v>467</v>
      </c>
      <c r="B246" s="435">
        <v>4875</v>
      </c>
      <c r="C246" s="1597"/>
      <c r="D246" s="1573"/>
      <c r="E246" s="1573"/>
      <c r="F246" s="1573"/>
      <c r="G246" s="1573"/>
      <c r="H246" s="1573"/>
      <c r="I246" s="1574"/>
      <c r="J246" s="1573"/>
      <c r="K246" s="1573"/>
    </row>
    <row r="247" spans="1:11" ht="12.75" customHeight="1" x14ac:dyDescent="0.2">
      <c r="A247" s="436" t="s">
        <v>764</v>
      </c>
      <c r="B247" s="435">
        <v>4876</v>
      </c>
      <c r="C247" s="1597"/>
      <c r="D247" s="1573"/>
      <c r="E247" s="1573"/>
      <c r="F247" s="1573"/>
      <c r="G247" s="1573"/>
      <c r="H247" s="1573"/>
      <c r="I247" s="1574"/>
      <c r="J247" s="1573"/>
      <c r="K247" s="1573"/>
    </row>
    <row r="248" spans="1:11" ht="12.75" customHeight="1" x14ac:dyDescent="0.2">
      <c r="A248" s="436" t="s">
        <v>765</v>
      </c>
      <c r="B248" s="435">
        <v>4877</v>
      </c>
      <c r="C248" s="1597"/>
      <c r="D248" s="1573"/>
      <c r="E248" s="1573"/>
      <c r="F248" s="1573"/>
      <c r="G248" s="1573"/>
      <c r="H248" s="1573"/>
      <c r="I248" s="1574"/>
      <c r="J248" s="1573"/>
      <c r="K248" s="1573"/>
    </row>
    <row r="249" spans="1:11" ht="12.75" customHeight="1" x14ac:dyDescent="0.2">
      <c r="A249" s="436" t="s">
        <v>766</v>
      </c>
      <c r="B249" s="435">
        <v>4878</v>
      </c>
      <c r="C249" s="1597"/>
      <c r="D249" s="1573"/>
      <c r="E249" s="1573"/>
      <c r="F249" s="1573"/>
      <c r="G249" s="1573"/>
      <c r="H249" s="1573"/>
      <c r="I249" s="1574"/>
      <c r="J249" s="1573"/>
      <c r="K249" s="1573"/>
    </row>
    <row r="250" spans="1:11" ht="12.75" customHeight="1" x14ac:dyDescent="0.2">
      <c r="A250" s="436" t="s">
        <v>767</v>
      </c>
      <c r="B250" s="435">
        <v>4879</v>
      </c>
      <c r="C250" s="1597"/>
      <c r="D250" s="1573"/>
      <c r="E250" s="1573"/>
      <c r="F250" s="1573"/>
      <c r="G250" s="1573"/>
      <c r="H250" s="1573"/>
      <c r="I250" s="1574"/>
      <c r="J250" s="1573"/>
      <c r="K250" s="1573"/>
    </row>
    <row r="251" spans="1:11" ht="12.75" customHeight="1" x14ac:dyDescent="0.2">
      <c r="A251" s="220" t="s">
        <v>1437</v>
      </c>
      <c r="B251" s="486">
        <v>4880</v>
      </c>
      <c r="C251" s="1597"/>
      <c r="D251" s="1573"/>
      <c r="E251" s="1573"/>
      <c r="F251" s="1573"/>
      <c r="G251" s="1573"/>
      <c r="H251" s="1573"/>
      <c r="I251" s="1574"/>
      <c r="J251" s="1573"/>
      <c r="K251" s="1573"/>
    </row>
    <row r="252" spans="1:11" ht="12.75" customHeight="1" thickBot="1" x14ac:dyDescent="0.25">
      <c r="A252" s="1416" t="s">
        <v>768</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1403</v>
      </c>
      <c r="B253" s="487">
        <v>4901</v>
      </c>
      <c r="C253" s="1665"/>
      <c r="D253" s="1575"/>
      <c r="E253" s="1574"/>
      <c r="F253" s="1574"/>
      <c r="G253" s="1574"/>
      <c r="H253" s="1574"/>
      <c r="I253" s="1574"/>
      <c r="J253" s="1574"/>
      <c r="K253" s="1574"/>
    </row>
    <row r="254" spans="1:11" ht="12.75" customHeight="1" thickTop="1" thickBot="1" x14ac:dyDescent="0.25">
      <c r="A254" s="1272" t="s">
        <v>1445</v>
      </c>
      <c r="B254" s="488">
        <v>4902</v>
      </c>
      <c r="C254" s="1666"/>
      <c r="D254" s="1667"/>
      <c r="E254" s="1575"/>
      <c r="F254" s="1667"/>
      <c r="G254" s="1667"/>
      <c r="H254" s="1575"/>
      <c r="I254" s="1574"/>
      <c r="J254" s="1575"/>
      <c r="K254" s="1575"/>
    </row>
    <row r="255" spans="1:11" ht="12.75" customHeight="1" thickTop="1" thickBot="1" x14ac:dyDescent="0.25">
      <c r="A255" s="427" t="s">
        <v>1438</v>
      </c>
      <c r="B255" s="429">
        <v>4905</v>
      </c>
      <c r="C255" s="1648"/>
      <c r="D255" s="1574"/>
      <c r="E255" s="1574"/>
      <c r="F255" s="1652"/>
      <c r="G255" s="1648"/>
      <c r="H255" s="1574"/>
      <c r="I255" s="1574"/>
      <c r="J255" s="1574"/>
      <c r="K255" s="1574"/>
    </row>
    <row r="256" spans="1:11" ht="12.75" customHeight="1" thickTop="1" thickBot="1" x14ac:dyDescent="0.25">
      <c r="A256" s="427" t="s">
        <v>1439</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417</v>
      </c>
      <c r="B258" s="429">
        <v>4930</v>
      </c>
      <c r="C258" s="1650"/>
      <c r="D258" s="1650"/>
      <c r="E258" s="1574"/>
      <c r="F258" s="1650"/>
      <c r="G258" s="1650"/>
      <c r="H258" s="1574"/>
      <c r="I258" s="1574"/>
      <c r="J258" s="1574"/>
      <c r="K258" s="1574"/>
    </row>
    <row r="259" spans="1:11" ht="12.75" customHeight="1" thickTop="1" thickBot="1" x14ac:dyDescent="0.25">
      <c r="A259" s="427" t="s">
        <v>752</v>
      </c>
      <c r="B259" s="429">
        <v>4932</v>
      </c>
      <c r="C259" s="1650">
        <v>17364</v>
      </c>
      <c r="D259" s="1650"/>
      <c r="E259" s="1574"/>
      <c r="F259" s="1650"/>
      <c r="G259" s="1650"/>
      <c r="H259" s="1574"/>
      <c r="I259" s="1574"/>
      <c r="J259" s="1574"/>
      <c r="K259" s="1574"/>
    </row>
    <row r="260" spans="1:11" ht="12.75" customHeight="1" thickTop="1" thickBot="1" x14ac:dyDescent="0.25">
      <c r="A260" s="427" t="s">
        <v>883</v>
      </c>
      <c r="B260" s="429">
        <v>4960</v>
      </c>
      <c r="C260" s="1649"/>
      <c r="D260" s="1650"/>
      <c r="E260" s="1574"/>
      <c r="F260" s="1650"/>
      <c r="G260" s="1650"/>
      <c r="H260" s="1574"/>
      <c r="I260" s="1574"/>
      <c r="J260" s="1574"/>
      <c r="K260" s="1574"/>
    </row>
    <row r="261" spans="1:11" ht="12.75" customHeight="1" thickTop="1" thickBot="1" x14ac:dyDescent="0.25">
      <c r="A261" s="1538" t="s">
        <v>1895</v>
      </c>
      <c r="B261" s="429">
        <v>4981</v>
      </c>
      <c r="C261" s="1649"/>
      <c r="D261" s="1650"/>
      <c r="E261" s="1574"/>
      <c r="F261" s="1650"/>
      <c r="G261" s="1650"/>
      <c r="H261" s="1574"/>
      <c r="I261" s="1574"/>
      <c r="J261" s="1574"/>
      <c r="K261" s="1574"/>
    </row>
    <row r="262" spans="1:11" ht="12.75" customHeight="1" thickTop="1" thickBot="1" x14ac:dyDescent="0.25">
      <c r="A262" s="1539" t="s">
        <v>1896</v>
      </c>
      <c r="B262" s="429">
        <v>4982</v>
      </c>
      <c r="C262" s="1649"/>
      <c r="D262" s="1650"/>
      <c r="E262" s="1574"/>
      <c r="F262" s="1650"/>
      <c r="G262" s="1650"/>
      <c r="H262" s="1574"/>
      <c r="I262" s="1574"/>
      <c r="J262" s="1574"/>
      <c r="K262" s="1574"/>
    </row>
    <row r="263" spans="1:11" ht="12.75" customHeight="1" thickTop="1" thickBot="1" x14ac:dyDescent="0.25">
      <c r="A263" s="427" t="s">
        <v>563</v>
      </c>
      <c r="B263" s="429">
        <v>4991</v>
      </c>
      <c r="C263" s="1649">
        <v>5588</v>
      </c>
      <c r="D263" s="1650"/>
      <c r="E263" s="1574"/>
      <c r="F263" s="1650"/>
      <c r="G263" s="1650"/>
      <c r="H263" s="1574"/>
      <c r="I263" s="1574"/>
      <c r="J263" s="1574"/>
      <c r="K263" s="1574"/>
    </row>
    <row r="264" spans="1:11" ht="12.75" customHeight="1" thickTop="1" thickBot="1" x14ac:dyDescent="0.25">
      <c r="A264" s="427" t="s">
        <v>373</v>
      </c>
      <c r="B264" s="429">
        <v>4992</v>
      </c>
      <c r="C264" s="1649">
        <v>17672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1646</v>
      </c>
      <c r="B266" s="1418"/>
      <c r="C266" s="1640">
        <f t="shared" ref="C266:H266" si="10">SUM(C188,C198,C204,C209,C217,C221,C222,C252:C265)</f>
        <v>454486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1076</v>
      </c>
      <c r="B267" s="1420" t="s">
        <v>854</v>
      </c>
      <c r="C267" s="1640">
        <f>SUM(C175,C181,C266)</f>
        <v>454486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2666356</v>
      </c>
      <c r="D268" s="1640">
        <f t="shared" si="12"/>
        <v>258584</v>
      </c>
      <c r="E268" s="1640">
        <f t="shared" si="12"/>
        <v>77196</v>
      </c>
      <c r="F268" s="1640">
        <f t="shared" si="12"/>
        <v>50526</v>
      </c>
      <c r="G268" s="1640">
        <f t="shared" si="12"/>
        <v>82007</v>
      </c>
      <c r="H268" s="1640">
        <f t="shared" si="12"/>
        <v>0</v>
      </c>
      <c r="I268" s="1640">
        <f t="shared" si="12"/>
        <v>628</v>
      </c>
      <c r="J268" s="1640">
        <f t="shared" si="12"/>
        <v>12809</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5" activePane="bottomLeft" state="frozen"/>
      <selection activeCell="I42" sqref="I42:O42"/>
      <selection pane="bottomLeft" activeCell="I42" sqref="I42:O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3"/>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9" t="s">
        <v>293</v>
      </c>
      <c r="B3" s="2270"/>
      <c r="C3" s="1300"/>
      <c r="D3" s="1300"/>
      <c r="E3" s="1300"/>
      <c r="F3" s="1300"/>
      <c r="G3" s="1300"/>
      <c r="H3" s="1300"/>
      <c r="I3" s="1300"/>
      <c r="J3" s="1300"/>
      <c r="K3" s="1301"/>
      <c r="L3" s="1302"/>
      <c r="M3" s="501"/>
      <c r="N3" s="501"/>
    </row>
    <row r="4" spans="1:14" s="254" customFormat="1" ht="15.75" customHeight="1" x14ac:dyDescent="0.2">
      <c r="A4" s="1343" t="s">
        <v>44</v>
      </c>
      <c r="B4" s="1344" t="s">
        <v>565</v>
      </c>
      <c r="C4" s="1668"/>
      <c r="D4" s="1668"/>
      <c r="E4" s="1668"/>
      <c r="F4" s="1668"/>
      <c r="G4" s="1668"/>
      <c r="H4" s="1668"/>
      <c r="I4" s="1669"/>
      <c r="J4" s="1668"/>
      <c r="K4" s="1670"/>
      <c r="L4" s="1668"/>
      <c r="M4" s="502"/>
      <c r="N4" s="502"/>
    </row>
    <row r="5" spans="1:14" x14ac:dyDescent="0.2">
      <c r="A5" s="1273" t="s">
        <v>954</v>
      </c>
      <c r="B5" s="503">
        <v>1100</v>
      </c>
      <c r="C5" s="1572">
        <v>824484</v>
      </c>
      <c r="D5" s="1572">
        <v>212639</v>
      </c>
      <c r="E5" s="1572">
        <v>10303</v>
      </c>
      <c r="F5" s="1572">
        <v>133357</v>
      </c>
      <c r="G5" s="1572">
        <v>2286</v>
      </c>
      <c r="H5" s="1572">
        <v>3743</v>
      </c>
      <c r="I5" s="1573"/>
      <c r="J5" s="1573"/>
      <c r="K5" s="1671">
        <f>SUM(C5:J5)</f>
        <v>1186812</v>
      </c>
      <c r="L5" s="1572">
        <v>1196971</v>
      </c>
    </row>
    <row r="6" spans="1:14" x14ac:dyDescent="0.2">
      <c r="A6" s="1273" t="s">
        <v>1415</v>
      </c>
      <c r="B6" s="503" t="s">
        <v>1413</v>
      </c>
      <c r="C6" s="1581"/>
      <c r="D6" s="1581"/>
      <c r="E6" s="1572"/>
      <c r="F6" s="1581"/>
      <c r="G6" s="1581"/>
      <c r="H6" s="1581"/>
      <c r="I6" s="1581"/>
      <c r="J6" s="1581"/>
      <c r="K6" s="1671">
        <f>SUM(C6,E6)</f>
        <v>0</v>
      </c>
      <c r="L6" s="1572"/>
    </row>
    <row r="7" spans="1:14" x14ac:dyDescent="0.2">
      <c r="A7" s="1273" t="s">
        <v>162</v>
      </c>
      <c r="B7" s="503" t="s">
        <v>960</v>
      </c>
      <c r="C7" s="1573"/>
      <c r="D7" s="1573"/>
      <c r="E7" s="1573"/>
      <c r="F7" s="1573"/>
      <c r="G7" s="1573"/>
      <c r="H7" s="1573"/>
      <c r="I7" s="1573"/>
      <c r="J7" s="1573"/>
      <c r="K7" s="1671">
        <f t="shared" ref="K7:K32" si="0">SUM(C7:J7)</f>
        <v>0</v>
      </c>
      <c r="L7" s="1572"/>
    </row>
    <row r="8" spans="1:14" x14ac:dyDescent="0.2">
      <c r="A8" s="1273" t="s">
        <v>163</v>
      </c>
      <c r="B8" s="503">
        <v>1200</v>
      </c>
      <c r="C8" s="1572">
        <v>207975</v>
      </c>
      <c r="D8" s="1572">
        <v>83189</v>
      </c>
      <c r="E8" s="1572"/>
      <c r="F8" s="1572">
        <v>5</v>
      </c>
      <c r="G8" s="1572"/>
      <c r="H8" s="1572"/>
      <c r="I8" s="1573"/>
      <c r="J8" s="1573"/>
      <c r="K8" s="1671">
        <f t="shared" si="0"/>
        <v>291169</v>
      </c>
      <c r="L8" s="1572">
        <v>294942</v>
      </c>
    </row>
    <row r="9" spans="1:14" x14ac:dyDescent="0.2">
      <c r="A9" s="1273" t="s">
        <v>715</v>
      </c>
      <c r="B9" s="503" t="s">
        <v>961</v>
      </c>
      <c r="C9" s="1573"/>
      <c r="D9" s="1573"/>
      <c r="E9" s="1573"/>
      <c r="F9" s="1573"/>
      <c r="G9" s="1573"/>
      <c r="H9" s="1573"/>
      <c r="I9" s="1573"/>
      <c r="J9" s="1573"/>
      <c r="K9" s="1671">
        <f t="shared" si="0"/>
        <v>0</v>
      </c>
      <c r="L9" s="1572"/>
    </row>
    <row r="10" spans="1:14" x14ac:dyDescent="0.2">
      <c r="A10" s="1273" t="s">
        <v>716</v>
      </c>
      <c r="B10" s="503">
        <v>1250</v>
      </c>
      <c r="C10" s="1572">
        <v>15603</v>
      </c>
      <c r="D10" s="1572">
        <v>5098</v>
      </c>
      <c r="E10" s="1572">
        <v>13438</v>
      </c>
      <c r="F10" s="1572">
        <v>31430</v>
      </c>
      <c r="G10" s="1572"/>
      <c r="H10" s="1572"/>
      <c r="I10" s="1573"/>
      <c r="J10" s="1573"/>
      <c r="K10" s="1671">
        <f t="shared" si="0"/>
        <v>65569</v>
      </c>
      <c r="L10" s="1572">
        <v>66912</v>
      </c>
    </row>
    <row r="11" spans="1:14" x14ac:dyDescent="0.2">
      <c r="A11" s="1273" t="s">
        <v>1119</v>
      </c>
      <c r="B11" s="503" t="s">
        <v>160</v>
      </c>
      <c r="C11" s="1573"/>
      <c r="D11" s="1573"/>
      <c r="E11" s="1573"/>
      <c r="F11" s="1573"/>
      <c r="G11" s="1573"/>
      <c r="H11" s="1573"/>
      <c r="I11" s="1573"/>
      <c r="J11" s="1573"/>
      <c r="K11" s="1671">
        <f t="shared" si="0"/>
        <v>0</v>
      </c>
      <c r="L11" s="1572"/>
    </row>
    <row r="12" spans="1:14" x14ac:dyDescent="0.2">
      <c r="A12" s="1273" t="s">
        <v>955</v>
      </c>
      <c r="B12" s="503">
        <v>1300</v>
      </c>
      <c r="C12" s="1572"/>
      <c r="D12" s="1572"/>
      <c r="E12" s="1572"/>
      <c r="F12" s="1572"/>
      <c r="G12" s="1572"/>
      <c r="H12" s="1572"/>
      <c r="I12" s="1573"/>
      <c r="J12" s="1573"/>
      <c r="K12" s="1671">
        <f t="shared" si="0"/>
        <v>0</v>
      </c>
      <c r="L12" s="1572"/>
    </row>
    <row r="13" spans="1:14" x14ac:dyDescent="0.2">
      <c r="A13" s="1273" t="s">
        <v>717</v>
      </c>
      <c r="B13" s="503">
        <v>1400</v>
      </c>
      <c r="C13" s="1572"/>
      <c r="D13" s="1572"/>
      <c r="E13" s="1572"/>
      <c r="F13" s="1572"/>
      <c r="G13" s="1572"/>
      <c r="H13" s="1572"/>
      <c r="I13" s="1573"/>
      <c r="J13" s="1573"/>
      <c r="K13" s="1671">
        <f t="shared" si="0"/>
        <v>0</v>
      </c>
      <c r="L13" s="1572"/>
    </row>
    <row r="14" spans="1:14" x14ac:dyDescent="0.2">
      <c r="A14" s="1273" t="s">
        <v>956</v>
      </c>
      <c r="B14" s="503">
        <v>1500</v>
      </c>
      <c r="C14" s="1572">
        <v>13834</v>
      </c>
      <c r="D14" s="1572">
        <v>825</v>
      </c>
      <c r="E14" s="1572"/>
      <c r="F14" s="1572"/>
      <c r="G14" s="1572"/>
      <c r="H14" s="1572"/>
      <c r="I14" s="1573"/>
      <c r="J14" s="1573"/>
      <c r="K14" s="1671">
        <f t="shared" si="0"/>
        <v>14659</v>
      </c>
      <c r="L14" s="1572">
        <v>14900</v>
      </c>
    </row>
    <row r="15" spans="1:14" x14ac:dyDescent="0.2">
      <c r="A15" s="1273" t="s">
        <v>957</v>
      </c>
      <c r="B15" s="503">
        <v>1600</v>
      </c>
      <c r="C15" s="1572"/>
      <c r="D15" s="1572"/>
      <c r="E15" s="1572"/>
      <c r="F15" s="1572"/>
      <c r="G15" s="1572"/>
      <c r="H15" s="1572"/>
      <c r="I15" s="1573"/>
      <c r="J15" s="1573"/>
      <c r="K15" s="1671">
        <f t="shared" si="0"/>
        <v>0</v>
      </c>
      <c r="L15" s="1572"/>
    </row>
    <row r="16" spans="1:14" x14ac:dyDescent="0.2">
      <c r="A16" s="1273" t="s">
        <v>979</v>
      </c>
      <c r="B16" s="503" t="s">
        <v>420</v>
      </c>
      <c r="C16" s="1572"/>
      <c r="D16" s="1572"/>
      <c r="E16" s="1572"/>
      <c r="F16" s="1572"/>
      <c r="G16" s="1572"/>
      <c r="H16" s="1572"/>
      <c r="I16" s="1573"/>
      <c r="J16" s="1573"/>
      <c r="K16" s="1671">
        <f t="shared" si="0"/>
        <v>0</v>
      </c>
      <c r="L16" s="1572"/>
    </row>
    <row r="17" spans="1:12" x14ac:dyDescent="0.2">
      <c r="A17" s="1273" t="s">
        <v>718</v>
      </c>
      <c r="B17" s="503" t="s">
        <v>161</v>
      </c>
      <c r="C17" s="1573"/>
      <c r="D17" s="1573"/>
      <c r="E17" s="1573"/>
      <c r="F17" s="1573"/>
      <c r="G17" s="1573"/>
      <c r="H17" s="1573"/>
      <c r="I17" s="1573"/>
      <c r="J17" s="1573"/>
      <c r="K17" s="1671">
        <f t="shared" si="0"/>
        <v>0</v>
      </c>
      <c r="L17" s="1572"/>
    </row>
    <row r="18" spans="1:12" x14ac:dyDescent="0.2">
      <c r="A18" s="1273" t="s">
        <v>1077</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732</v>
      </c>
      <c r="B20" s="494" t="s">
        <v>719</v>
      </c>
      <c r="C20" s="1581"/>
      <c r="D20" s="1581"/>
      <c r="E20" s="1581"/>
      <c r="F20" s="1581"/>
      <c r="G20" s="1581"/>
      <c r="H20" s="1578"/>
      <c r="I20" s="1672"/>
      <c r="J20" s="1579"/>
      <c r="K20" s="1671">
        <f t="shared" si="0"/>
        <v>0</v>
      </c>
      <c r="L20" s="1576"/>
    </row>
    <row r="21" spans="1:12" x14ac:dyDescent="0.2">
      <c r="A21" s="1274" t="s">
        <v>733</v>
      </c>
      <c r="B21" s="494" t="s">
        <v>720</v>
      </c>
      <c r="C21" s="1581"/>
      <c r="D21" s="1581"/>
      <c r="E21" s="1581"/>
      <c r="F21" s="1581"/>
      <c r="G21" s="1581"/>
      <c r="H21" s="1578"/>
      <c r="I21" s="1672"/>
      <c r="J21" s="1581"/>
      <c r="K21" s="1671">
        <f t="shared" si="0"/>
        <v>0</v>
      </c>
      <c r="L21" s="1576"/>
    </row>
    <row r="22" spans="1:12" x14ac:dyDescent="0.2">
      <c r="A22" s="1274" t="s">
        <v>734</v>
      </c>
      <c r="B22" s="494" t="s">
        <v>721</v>
      </c>
      <c r="C22" s="1581"/>
      <c r="D22" s="1581"/>
      <c r="E22" s="1581"/>
      <c r="F22" s="1581"/>
      <c r="G22" s="1581"/>
      <c r="H22" s="1578"/>
      <c r="I22" s="1672"/>
      <c r="J22" s="1581"/>
      <c r="K22" s="1671">
        <f t="shared" si="0"/>
        <v>0</v>
      </c>
      <c r="L22" s="1576"/>
    </row>
    <row r="23" spans="1:12" x14ac:dyDescent="0.2">
      <c r="A23" s="1274" t="s">
        <v>735</v>
      </c>
      <c r="B23" s="494" t="s">
        <v>722</v>
      </c>
      <c r="C23" s="1581"/>
      <c r="D23" s="1581"/>
      <c r="E23" s="1581"/>
      <c r="F23" s="1581"/>
      <c r="G23" s="1581"/>
      <c r="H23" s="1578"/>
      <c r="I23" s="1672"/>
      <c r="J23" s="1581"/>
      <c r="K23" s="1671">
        <f t="shared" si="0"/>
        <v>0</v>
      </c>
      <c r="L23" s="1576"/>
    </row>
    <row r="24" spans="1:12" ht="12.75" customHeight="1" x14ac:dyDescent="0.2">
      <c r="A24" s="1274" t="s">
        <v>736</v>
      </c>
      <c r="B24" s="494" t="s">
        <v>723</v>
      </c>
      <c r="C24" s="1581"/>
      <c r="D24" s="1581"/>
      <c r="E24" s="1581"/>
      <c r="F24" s="1581"/>
      <c r="G24" s="1581"/>
      <c r="H24" s="1578"/>
      <c r="I24" s="1672"/>
      <c r="J24" s="1581"/>
      <c r="K24" s="1671">
        <f t="shared" si="0"/>
        <v>0</v>
      </c>
      <c r="L24" s="1576"/>
    </row>
    <row r="25" spans="1:12" ht="12.75" customHeight="1" x14ac:dyDescent="0.2">
      <c r="A25" s="1274" t="s">
        <v>796</v>
      </c>
      <c r="B25" s="494" t="s">
        <v>724</v>
      </c>
      <c r="C25" s="1581"/>
      <c r="D25" s="1581"/>
      <c r="E25" s="1581"/>
      <c r="F25" s="1581"/>
      <c r="G25" s="1581"/>
      <c r="H25" s="1578"/>
      <c r="I25" s="1672"/>
      <c r="J25" s="1581"/>
      <c r="K25" s="1671">
        <f t="shared" si="0"/>
        <v>0</v>
      </c>
      <c r="L25" s="1576"/>
    </row>
    <row r="26" spans="1:12" x14ac:dyDescent="0.2">
      <c r="A26" s="1274" t="s">
        <v>617</v>
      </c>
      <c r="B26" s="494" t="s">
        <v>725</v>
      </c>
      <c r="C26" s="1581"/>
      <c r="D26" s="1581"/>
      <c r="E26" s="1581"/>
      <c r="F26" s="1581"/>
      <c r="G26" s="1581"/>
      <c r="H26" s="1578"/>
      <c r="I26" s="1672"/>
      <c r="J26" s="1581"/>
      <c r="K26" s="1671">
        <f t="shared" si="0"/>
        <v>0</v>
      </c>
      <c r="L26" s="1576"/>
    </row>
    <row r="27" spans="1:12" x14ac:dyDescent="0.2">
      <c r="A27" s="1274" t="s">
        <v>618</v>
      </c>
      <c r="B27" s="494" t="s">
        <v>726</v>
      </c>
      <c r="C27" s="1581"/>
      <c r="D27" s="1581"/>
      <c r="E27" s="1581"/>
      <c r="F27" s="1581"/>
      <c r="G27" s="1581"/>
      <c r="H27" s="1578"/>
      <c r="I27" s="1672"/>
      <c r="J27" s="1581"/>
      <c r="K27" s="1671">
        <f t="shared" si="0"/>
        <v>0</v>
      </c>
      <c r="L27" s="1576"/>
    </row>
    <row r="28" spans="1:12" x14ac:dyDescent="0.2">
      <c r="A28" s="1274" t="s">
        <v>149</v>
      </c>
      <c r="B28" s="494" t="s">
        <v>727</v>
      </c>
      <c r="C28" s="1581"/>
      <c r="D28" s="1581"/>
      <c r="E28" s="1581"/>
      <c r="F28" s="1581"/>
      <c r="G28" s="1581"/>
      <c r="H28" s="1578"/>
      <c r="I28" s="1672"/>
      <c r="J28" s="1581"/>
      <c r="K28" s="1671">
        <f t="shared" si="0"/>
        <v>0</v>
      </c>
      <c r="L28" s="1576"/>
    </row>
    <row r="29" spans="1:12" x14ac:dyDescent="0.2">
      <c r="A29" s="1274" t="s">
        <v>150</v>
      </c>
      <c r="B29" s="494" t="s">
        <v>728</v>
      </c>
      <c r="C29" s="1581"/>
      <c r="D29" s="1581"/>
      <c r="E29" s="1581"/>
      <c r="F29" s="1581"/>
      <c r="G29" s="1581"/>
      <c r="H29" s="1578"/>
      <c r="I29" s="1672"/>
      <c r="J29" s="1581"/>
      <c r="K29" s="1671">
        <f t="shared" si="0"/>
        <v>0</v>
      </c>
      <c r="L29" s="1576"/>
    </row>
    <row r="30" spans="1:12" x14ac:dyDescent="0.2">
      <c r="A30" s="1274" t="s">
        <v>151</v>
      </c>
      <c r="B30" s="494" t="s">
        <v>729</v>
      </c>
      <c r="C30" s="1581"/>
      <c r="D30" s="1581"/>
      <c r="E30" s="1581"/>
      <c r="F30" s="1581"/>
      <c r="G30" s="1581"/>
      <c r="H30" s="1578"/>
      <c r="I30" s="1672"/>
      <c r="J30" s="1581"/>
      <c r="K30" s="1671">
        <f t="shared" si="0"/>
        <v>0</v>
      </c>
      <c r="L30" s="1576"/>
    </row>
    <row r="31" spans="1:12" x14ac:dyDescent="0.2">
      <c r="A31" s="1274" t="s">
        <v>152</v>
      </c>
      <c r="B31" s="494" t="s">
        <v>730</v>
      </c>
      <c r="C31" s="1581"/>
      <c r="D31" s="1581"/>
      <c r="E31" s="1581"/>
      <c r="F31" s="1581"/>
      <c r="G31" s="1581"/>
      <c r="H31" s="1578"/>
      <c r="I31" s="1672"/>
      <c r="J31" s="1581"/>
      <c r="K31" s="1671">
        <f t="shared" si="0"/>
        <v>0</v>
      </c>
      <c r="L31" s="1576"/>
    </row>
    <row r="32" spans="1:12" x14ac:dyDescent="0.2">
      <c r="A32" s="1275" t="s">
        <v>1118</v>
      </c>
      <c r="B32" s="503" t="s">
        <v>731</v>
      </c>
      <c r="C32" s="1581"/>
      <c r="D32" s="1581"/>
      <c r="E32" s="1581"/>
      <c r="F32" s="1581"/>
      <c r="G32" s="1581"/>
      <c r="H32" s="1578"/>
      <c r="I32" s="1672"/>
      <c r="J32" s="1584"/>
      <c r="K32" s="1671">
        <f t="shared" si="0"/>
        <v>0</v>
      </c>
      <c r="L32" s="1576"/>
    </row>
    <row r="33" spans="1:14" ht="12.75" customHeight="1" thickBot="1" x14ac:dyDescent="0.25">
      <c r="A33" s="1379" t="s">
        <v>1648</v>
      </c>
      <c r="B33" s="1380" t="s">
        <v>565</v>
      </c>
      <c r="C33" s="1673">
        <f>SUM(C5:C32)</f>
        <v>1061896</v>
      </c>
      <c r="D33" s="1673">
        <f t="shared" ref="D33:L33" si="1">SUM(D5:D32)</f>
        <v>301751</v>
      </c>
      <c r="E33" s="1673">
        <f t="shared" si="1"/>
        <v>23741</v>
      </c>
      <c r="F33" s="1673">
        <f t="shared" si="1"/>
        <v>164792</v>
      </c>
      <c r="G33" s="1673">
        <f t="shared" si="1"/>
        <v>2286</v>
      </c>
      <c r="H33" s="1673">
        <f t="shared" si="1"/>
        <v>3743</v>
      </c>
      <c r="I33" s="1673">
        <f t="shared" si="1"/>
        <v>0</v>
      </c>
      <c r="J33" s="1673">
        <f t="shared" si="1"/>
        <v>0</v>
      </c>
      <c r="K33" s="1673">
        <f t="shared" si="1"/>
        <v>1558209</v>
      </c>
      <c r="L33" s="1673">
        <f t="shared" si="1"/>
        <v>1573725</v>
      </c>
    </row>
    <row r="34" spans="1:14" s="506" customFormat="1" ht="15.75" customHeight="1" thickTop="1" x14ac:dyDescent="0.2">
      <c r="A34" s="1345" t="s">
        <v>46</v>
      </c>
      <c r="B34" s="1346"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3" t="s">
        <v>1079</v>
      </c>
      <c r="B36" s="503">
        <v>2110</v>
      </c>
      <c r="C36" s="1585">
        <v>31698</v>
      </c>
      <c r="D36" s="1585">
        <v>9595</v>
      </c>
      <c r="E36" s="1585"/>
      <c r="F36" s="1585"/>
      <c r="G36" s="1585"/>
      <c r="H36" s="1585"/>
      <c r="I36" s="1573"/>
      <c r="J36" s="1573"/>
      <c r="K36" s="1671">
        <f t="shared" ref="K36:K41" si="2">SUM(C36:J36)</f>
        <v>41293</v>
      </c>
      <c r="L36" s="1572">
        <v>41721</v>
      </c>
    </row>
    <row r="37" spans="1:14" x14ac:dyDescent="0.2">
      <c r="A37" s="1273" t="s">
        <v>1080</v>
      </c>
      <c r="B37" s="503">
        <v>2120</v>
      </c>
      <c r="C37" s="1572"/>
      <c r="D37" s="1572"/>
      <c r="E37" s="1572"/>
      <c r="F37" s="1572"/>
      <c r="G37" s="1572"/>
      <c r="H37" s="1572"/>
      <c r="I37" s="1573"/>
      <c r="J37" s="1573"/>
      <c r="K37" s="1671">
        <f t="shared" si="2"/>
        <v>0</v>
      </c>
      <c r="L37" s="1572"/>
    </row>
    <row r="38" spans="1:14" x14ac:dyDescent="0.2">
      <c r="A38" s="1273" t="s">
        <v>196</v>
      </c>
      <c r="B38" s="503">
        <v>2130</v>
      </c>
      <c r="C38" s="1572">
        <v>31508</v>
      </c>
      <c r="D38" s="1572">
        <v>11917</v>
      </c>
      <c r="E38" s="1572"/>
      <c r="F38" s="1572">
        <v>2443</v>
      </c>
      <c r="G38" s="1572"/>
      <c r="H38" s="1572">
        <v>1377</v>
      </c>
      <c r="I38" s="1573"/>
      <c r="J38" s="1573"/>
      <c r="K38" s="1671">
        <f t="shared" si="2"/>
        <v>47245</v>
      </c>
      <c r="L38" s="1572">
        <v>47375</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1649</v>
      </c>
      <c r="B41" s="503">
        <v>2190</v>
      </c>
      <c r="C41" s="1572"/>
      <c r="D41" s="1572"/>
      <c r="E41" s="1572"/>
      <c r="F41" s="1572"/>
      <c r="G41" s="1572"/>
      <c r="H41" s="1572"/>
      <c r="I41" s="1573"/>
      <c r="J41" s="1573"/>
      <c r="K41" s="1671">
        <f t="shared" si="2"/>
        <v>0</v>
      </c>
      <c r="L41" s="1572"/>
    </row>
    <row r="42" spans="1:14" ht="12.75" customHeight="1" thickBot="1" x14ac:dyDescent="0.25">
      <c r="A42" s="1379" t="s">
        <v>555</v>
      </c>
      <c r="B42" s="1380" t="s">
        <v>710</v>
      </c>
      <c r="C42" s="1673">
        <f>SUM(C36:C41)</f>
        <v>63206</v>
      </c>
      <c r="D42" s="1673">
        <f t="shared" ref="D42:L42" si="3">SUM(D36:D41)</f>
        <v>21512</v>
      </c>
      <c r="E42" s="1673">
        <f t="shared" si="3"/>
        <v>0</v>
      </c>
      <c r="F42" s="1673">
        <f t="shared" si="3"/>
        <v>2443</v>
      </c>
      <c r="G42" s="1673">
        <f t="shared" si="3"/>
        <v>0</v>
      </c>
      <c r="H42" s="1673">
        <f t="shared" si="3"/>
        <v>1377</v>
      </c>
      <c r="I42" s="1673">
        <f t="shared" si="3"/>
        <v>0</v>
      </c>
      <c r="J42" s="1673">
        <f t="shared" si="3"/>
        <v>0</v>
      </c>
      <c r="K42" s="1673">
        <f t="shared" si="3"/>
        <v>88538</v>
      </c>
      <c r="L42" s="1673">
        <f t="shared" si="3"/>
        <v>89096</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3" t="s">
        <v>808</v>
      </c>
      <c r="B44" s="503">
        <v>2210</v>
      </c>
      <c r="C44" s="1585">
        <v>1040</v>
      </c>
      <c r="D44" s="1585">
        <v>10</v>
      </c>
      <c r="E44" s="1585">
        <v>8016</v>
      </c>
      <c r="F44" s="1585"/>
      <c r="G44" s="1585"/>
      <c r="H44" s="1585"/>
      <c r="I44" s="1573"/>
      <c r="J44" s="1573"/>
      <c r="K44" s="1677">
        <f>SUM(C44:J44)</f>
        <v>9066</v>
      </c>
      <c r="L44" s="1585">
        <v>9075</v>
      </c>
    </row>
    <row r="45" spans="1:14" x14ac:dyDescent="0.2">
      <c r="A45" s="1273" t="s">
        <v>809</v>
      </c>
      <c r="B45" s="503">
        <v>2220</v>
      </c>
      <c r="C45" s="1572">
        <v>5405</v>
      </c>
      <c r="D45" s="1572"/>
      <c r="E45" s="1572"/>
      <c r="F45" s="1572"/>
      <c r="G45" s="1572"/>
      <c r="H45" s="1572"/>
      <c r="I45" s="1573"/>
      <c r="J45" s="1573"/>
      <c r="K45" s="1677">
        <f>SUM(C45:J45)</f>
        <v>5405</v>
      </c>
      <c r="L45" s="1572">
        <v>5967</v>
      </c>
    </row>
    <row r="46" spans="1:14" x14ac:dyDescent="0.2">
      <c r="A46" s="1273" t="s">
        <v>810</v>
      </c>
      <c r="B46" s="503">
        <v>2230</v>
      </c>
      <c r="C46" s="1572"/>
      <c r="D46" s="1572"/>
      <c r="E46" s="1572"/>
      <c r="F46" s="1572"/>
      <c r="G46" s="1572"/>
      <c r="H46" s="1572"/>
      <c r="I46" s="1573"/>
      <c r="J46" s="1573"/>
      <c r="K46" s="1677">
        <f>SUM(C46:J46)</f>
        <v>0</v>
      </c>
      <c r="L46" s="1572"/>
    </row>
    <row r="47" spans="1:14" ht="12.75" customHeight="1" thickBot="1" x14ac:dyDescent="0.25">
      <c r="A47" s="1379" t="s">
        <v>556</v>
      </c>
      <c r="B47" s="1380" t="s">
        <v>32</v>
      </c>
      <c r="C47" s="1673">
        <f>SUM(C44:C46)</f>
        <v>6445</v>
      </c>
      <c r="D47" s="1673">
        <f t="shared" ref="D47:K47" si="4">SUM(D44:D46)</f>
        <v>10</v>
      </c>
      <c r="E47" s="1673">
        <f t="shared" si="4"/>
        <v>8016</v>
      </c>
      <c r="F47" s="1673">
        <f t="shared" si="4"/>
        <v>0</v>
      </c>
      <c r="G47" s="1673">
        <f t="shared" si="4"/>
        <v>0</v>
      </c>
      <c r="H47" s="1673">
        <f t="shared" si="4"/>
        <v>0</v>
      </c>
      <c r="I47" s="1673">
        <f t="shared" si="4"/>
        <v>0</v>
      </c>
      <c r="J47" s="1673">
        <f t="shared" si="4"/>
        <v>0</v>
      </c>
      <c r="K47" s="1673">
        <f t="shared" si="4"/>
        <v>14471</v>
      </c>
      <c r="L47" s="1673">
        <f>SUM(L44:L46)</f>
        <v>15042</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3" t="s">
        <v>811</v>
      </c>
      <c r="B49" s="503">
        <v>2310</v>
      </c>
      <c r="C49" s="1585">
        <v>4334</v>
      </c>
      <c r="D49" s="1585"/>
      <c r="E49" s="1585">
        <v>34074</v>
      </c>
      <c r="F49" s="1585">
        <v>595</v>
      </c>
      <c r="G49" s="1585"/>
      <c r="H49" s="1585">
        <v>13580</v>
      </c>
      <c r="I49" s="1573"/>
      <c r="J49" s="1573"/>
      <c r="K49" s="1677">
        <f>SUM(C49:J49)</f>
        <v>52583</v>
      </c>
      <c r="L49" s="1585">
        <v>49350</v>
      </c>
    </row>
    <row r="50" spans="1:14" x14ac:dyDescent="0.2">
      <c r="A50" s="1273" t="s">
        <v>812</v>
      </c>
      <c r="B50" s="503">
        <v>2320</v>
      </c>
      <c r="C50" s="1572">
        <v>119073</v>
      </c>
      <c r="D50" s="1572">
        <v>14049</v>
      </c>
      <c r="E50" s="1572">
        <v>1584</v>
      </c>
      <c r="F50" s="1572">
        <v>179</v>
      </c>
      <c r="G50" s="1572"/>
      <c r="H50" s="1572"/>
      <c r="I50" s="1573"/>
      <c r="J50" s="1573"/>
      <c r="K50" s="1677">
        <f>SUM(C50:J50)</f>
        <v>134885</v>
      </c>
      <c r="L50" s="1572">
        <v>135000</v>
      </c>
    </row>
    <row r="51" spans="1:14" x14ac:dyDescent="0.2">
      <c r="A51" s="1273" t="s">
        <v>42</v>
      </c>
      <c r="B51" s="503">
        <v>2330</v>
      </c>
      <c r="C51" s="1572">
        <v>3358</v>
      </c>
      <c r="D51" s="1572">
        <v>699</v>
      </c>
      <c r="E51" s="1572"/>
      <c r="F51" s="1572"/>
      <c r="G51" s="1572"/>
      <c r="H51" s="1572"/>
      <c r="I51" s="1573"/>
      <c r="J51" s="1573"/>
      <c r="K51" s="1677">
        <f>SUM(C51:J51)</f>
        <v>4057</v>
      </c>
      <c r="L51" s="1572">
        <v>4060</v>
      </c>
    </row>
    <row r="52" spans="1:14" ht="22.5" x14ac:dyDescent="0.2">
      <c r="A52" s="1274" t="s">
        <v>294</v>
      </c>
      <c r="B52" s="511" t="s">
        <v>362</v>
      </c>
      <c r="C52" s="1578"/>
      <c r="D52" s="1578"/>
      <c r="E52" s="1578"/>
      <c r="F52" s="1578"/>
      <c r="G52" s="1578"/>
      <c r="H52" s="1578"/>
      <c r="I52" s="1578"/>
      <c r="J52" s="1578"/>
      <c r="K52" s="1677">
        <f>SUM(C52:J52)</f>
        <v>0</v>
      </c>
      <c r="L52" s="1578"/>
    </row>
    <row r="53" spans="1:14" ht="12.75" customHeight="1" thickBot="1" x14ac:dyDescent="0.25">
      <c r="A53" s="1379" t="s">
        <v>711</v>
      </c>
      <c r="B53" s="1380" t="s">
        <v>33</v>
      </c>
      <c r="C53" s="1673">
        <f>SUM(C49:C52)</f>
        <v>126765</v>
      </c>
      <c r="D53" s="1673">
        <f t="shared" ref="D53:L53" si="5">SUM(D49:D52)</f>
        <v>14748</v>
      </c>
      <c r="E53" s="1673">
        <f t="shared" si="5"/>
        <v>35658</v>
      </c>
      <c r="F53" s="1673">
        <f t="shared" si="5"/>
        <v>774</v>
      </c>
      <c r="G53" s="1673">
        <f t="shared" si="5"/>
        <v>0</v>
      </c>
      <c r="H53" s="1673">
        <f t="shared" si="5"/>
        <v>13580</v>
      </c>
      <c r="I53" s="1673">
        <f t="shared" si="5"/>
        <v>0</v>
      </c>
      <c r="J53" s="1673">
        <f t="shared" si="5"/>
        <v>0</v>
      </c>
      <c r="K53" s="1673">
        <f t="shared" si="5"/>
        <v>191525</v>
      </c>
      <c r="L53" s="1673">
        <f t="shared" si="5"/>
        <v>188410</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3" t="s">
        <v>1057</v>
      </c>
      <c r="B55" s="503">
        <v>2410</v>
      </c>
      <c r="C55" s="1585"/>
      <c r="D55" s="1585"/>
      <c r="E55" s="1585"/>
      <c r="F55" s="1585"/>
      <c r="G55" s="1585"/>
      <c r="H55" s="1585"/>
      <c r="I55" s="1573"/>
      <c r="J55" s="1573"/>
      <c r="K55" s="1677">
        <f>SUM(C55:J55)</f>
        <v>0</v>
      </c>
      <c r="L55" s="1585"/>
    </row>
    <row r="56" spans="1:14" ht="12.75" customHeight="1" x14ac:dyDescent="0.2">
      <c r="A56" s="1277" t="s">
        <v>372</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0</v>
      </c>
      <c r="D57" s="1678">
        <f t="shared" ref="D57:K57" si="6">SUM(D55:D56)</f>
        <v>0</v>
      </c>
      <c r="E57" s="1678">
        <f t="shared" si="6"/>
        <v>0</v>
      </c>
      <c r="F57" s="1678">
        <f t="shared" si="6"/>
        <v>0</v>
      </c>
      <c r="G57" s="1678">
        <f t="shared" si="6"/>
        <v>0</v>
      </c>
      <c r="H57" s="1678">
        <f t="shared" si="6"/>
        <v>0</v>
      </c>
      <c r="I57" s="1678">
        <f t="shared" si="6"/>
        <v>0</v>
      </c>
      <c r="J57" s="1678">
        <f t="shared" si="6"/>
        <v>0</v>
      </c>
      <c r="K57" s="1678">
        <f t="shared" si="6"/>
        <v>0</v>
      </c>
      <c r="L57" s="1673">
        <f>SUM(L55:L56)</f>
        <v>0</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3" t="s">
        <v>1058</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459</v>
      </c>
      <c r="B60" s="503">
        <v>2520</v>
      </c>
      <c r="C60" s="1572">
        <v>56859</v>
      </c>
      <c r="D60" s="1572">
        <v>8911</v>
      </c>
      <c r="E60" s="1572">
        <v>756</v>
      </c>
      <c r="F60" s="1572"/>
      <c r="G60" s="1572"/>
      <c r="H60" s="1572"/>
      <c r="I60" s="1573"/>
      <c r="J60" s="1573"/>
      <c r="K60" s="1677">
        <f t="shared" si="7"/>
        <v>66526</v>
      </c>
      <c r="L60" s="1572">
        <v>66755</v>
      </c>
      <c r="M60" s="501"/>
      <c r="N60" s="501"/>
    </row>
    <row r="61" spans="1:14" s="321" customFormat="1" x14ac:dyDescent="0.2">
      <c r="A61" s="1273" t="s">
        <v>195</v>
      </c>
      <c r="B61" s="503">
        <v>2540</v>
      </c>
      <c r="C61" s="1572">
        <v>78386</v>
      </c>
      <c r="D61" s="1572">
        <v>17600</v>
      </c>
      <c r="E61" s="1572">
        <v>79209</v>
      </c>
      <c r="F61" s="1572">
        <v>20960</v>
      </c>
      <c r="G61" s="1572">
        <v>25703</v>
      </c>
      <c r="H61" s="1572"/>
      <c r="I61" s="1573"/>
      <c r="J61" s="1573"/>
      <c r="K61" s="1677">
        <f t="shared" si="7"/>
        <v>221858</v>
      </c>
      <c r="L61" s="1572">
        <v>222000</v>
      </c>
      <c r="M61" s="501"/>
      <c r="N61" s="501"/>
    </row>
    <row r="62" spans="1:14" s="321" customFormat="1" x14ac:dyDescent="0.2">
      <c r="A62" s="1273" t="s">
        <v>946</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40578</v>
      </c>
      <c r="D63" s="1572">
        <v>17813</v>
      </c>
      <c r="E63" s="1572">
        <v>3233</v>
      </c>
      <c r="F63" s="1572">
        <v>150946</v>
      </c>
      <c r="G63" s="1572">
        <v>13569</v>
      </c>
      <c r="H63" s="1572"/>
      <c r="I63" s="1573"/>
      <c r="J63" s="1573"/>
      <c r="K63" s="1677">
        <f t="shared" si="7"/>
        <v>226139</v>
      </c>
      <c r="L63" s="1572">
        <v>222325</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713</v>
      </c>
      <c r="B65" s="1380" t="s">
        <v>35</v>
      </c>
      <c r="C65" s="1673">
        <f>SUM(C59:C64)</f>
        <v>175823</v>
      </c>
      <c r="D65" s="1673">
        <f t="shared" ref="D65:L65" si="8">SUM(D59:D64)</f>
        <v>44324</v>
      </c>
      <c r="E65" s="1673">
        <f t="shared" si="8"/>
        <v>83198</v>
      </c>
      <c r="F65" s="1673">
        <f t="shared" si="8"/>
        <v>171906</v>
      </c>
      <c r="G65" s="1673">
        <f t="shared" si="8"/>
        <v>39272</v>
      </c>
      <c r="H65" s="1673">
        <f t="shared" si="8"/>
        <v>0</v>
      </c>
      <c r="I65" s="1673">
        <f t="shared" si="8"/>
        <v>0</v>
      </c>
      <c r="J65" s="1673">
        <f t="shared" si="8"/>
        <v>0</v>
      </c>
      <c r="K65" s="1673">
        <f t="shared" si="8"/>
        <v>514523</v>
      </c>
      <c r="L65" s="1673">
        <f t="shared" si="8"/>
        <v>511080</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3" t="s">
        <v>1050</v>
      </c>
      <c r="B67" s="503">
        <v>2610</v>
      </c>
      <c r="C67" s="1572"/>
      <c r="D67" s="1572"/>
      <c r="E67" s="1572"/>
      <c r="F67" s="1572"/>
      <c r="G67" s="1572"/>
      <c r="H67" s="1572"/>
      <c r="I67" s="1573"/>
      <c r="J67" s="1573"/>
      <c r="K67" s="1677">
        <f>SUM(C67:J67)</f>
        <v>0</v>
      </c>
      <c r="L67" s="1585"/>
      <c r="M67" s="501"/>
      <c r="N67" s="501"/>
    </row>
    <row r="68" spans="1:14" s="321" customFormat="1" x14ac:dyDescent="0.2">
      <c r="A68" s="1273" t="s">
        <v>602</v>
      </c>
      <c r="B68" s="503">
        <v>2620</v>
      </c>
      <c r="C68" s="1572"/>
      <c r="D68" s="1572"/>
      <c r="E68" s="1572"/>
      <c r="F68" s="1572"/>
      <c r="G68" s="1572"/>
      <c r="H68" s="1572"/>
      <c r="I68" s="1573"/>
      <c r="J68" s="1573"/>
      <c r="K68" s="1677">
        <f>SUM(C68:J68)</f>
        <v>0</v>
      </c>
      <c r="L68" s="1572"/>
      <c r="M68" s="501"/>
      <c r="N68" s="501"/>
    </row>
    <row r="69" spans="1:14" s="321" customFormat="1" x14ac:dyDescent="0.2">
      <c r="A69" s="1273" t="s">
        <v>1051</v>
      </c>
      <c r="B69" s="503">
        <v>2630</v>
      </c>
      <c r="C69" s="1572"/>
      <c r="D69" s="1572"/>
      <c r="E69" s="1572"/>
      <c r="F69" s="1572"/>
      <c r="G69" s="1572"/>
      <c r="H69" s="1572"/>
      <c r="I69" s="1573"/>
      <c r="J69" s="1573"/>
      <c r="K69" s="1677">
        <f>SUM(C69:J69)</f>
        <v>0</v>
      </c>
      <c r="L69" s="1572"/>
      <c r="M69" s="501"/>
      <c r="N69" s="501"/>
    </row>
    <row r="70" spans="1:14" s="321" customFormat="1" x14ac:dyDescent="0.2">
      <c r="A70" s="1273" t="s">
        <v>399</v>
      </c>
      <c r="B70" s="503">
        <v>2640</v>
      </c>
      <c r="C70" s="1572"/>
      <c r="D70" s="1572"/>
      <c r="E70" s="1572"/>
      <c r="F70" s="1572"/>
      <c r="G70" s="1572"/>
      <c r="H70" s="1572"/>
      <c r="I70" s="1573"/>
      <c r="J70" s="1573"/>
      <c r="K70" s="1677">
        <f>SUM(C70:J70)</f>
        <v>0</v>
      </c>
      <c r="L70" s="1572"/>
      <c r="M70" s="501"/>
      <c r="N70" s="501"/>
    </row>
    <row r="71" spans="1:14" s="321" customFormat="1" x14ac:dyDescent="0.2">
      <c r="A71" s="1273" t="s">
        <v>400</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972</v>
      </c>
      <c r="B73" s="515" t="s">
        <v>569</v>
      </c>
      <c r="C73" s="1648">
        <v>5180</v>
      </c>
      <c r="D73" s="1648"/>
      <c r="E73" s="1648"/>
      <c r="F73" s="1648"/>
      <c r="G73" s="1648">
        <v>1260</v>
      </c>
      <c r="H73" s="1648"/>
      <c r="I73" s="1626"/>
      <c r="J73" s="1626"/>
      <c r="K73" s="1673">
        <f>SUM(C73:J73)</f>
        <v>6440</v>
      </c>
      <c r="L73" s="1650">
        <v>6760</v>
      </c>
      <c r="M73" s="501"/>
      <c r="N73" s="501"/>
    </row>
    <row r="74" spans="1:14" ht="12.75" customHeight="1" thickTop="1" thickBot="1" x14ac:dyDescent="0.25">
      <c r="A74" s="1379" t="s">
        <v>805</v>
      </c>
      <c r="B74" s="1383">
        <v>2000</v>
      </c>
      <c r="C74" s="1680">
        <f>SUM(C42,C47,C53,C57,C65,C72,C73)</f>
        <v>377419</v>
      </c>
      <c r="D74" s="1680">
        <f t="shared" ref="D74:K74" si="10">SUM(D42,D47,D53,D57,D65,D72,D73)</f>
        <v>80594</v>
      </c>
      <c r="E74" s="1680">
        <f t="shared" si="10"/>
        <v>126872</v>
      </c>
      <c r="F74" s="1680">
        <f t="shared" si="10"/>
        <v>175123</v>
      </c>
      <c r="G74" s="1680">
        <f t="shared" si="10"/>
        <v>40532</v>
      </c>
      <c r="H74" s="1680">
        <f t="shared" si="10"/>
        <v>14957</v>
      </c>
      <c r="I74" s="1680">
        <f t="shared" si="10"/>
        <v>0</v>
      </c>
      <c r="J74" s="1680">
        <f t="shared" si="10"/>
        <v>0</v>
      </c>
      <c r="K74" s="1680">
        <f t="shared" si="10"/>
        <v>815497</v>
      </c>
      <c r="L74" s="1680">
        <f>SUM(L42,L47,L53,L57,L65,L72,L73)</f>
        <v>810388</v>
      </c>
    </row>
    <row r="75" spans="1:14" s="254" customFormat="1" ht="15.75" customHeight="1" thickTop="1" thickBot="1" x14ac:dyDescent="0.25">
      <c r="A75" s="1347" t="s">
        <v>47</v>
      </c>
      <c r="B75" s="1348" t="s">
        <v>570</v>
      </c>
      <c r="C75" s="1648"/>
      <c r="D75" s="1648"/>
      <c r="E75" s="1648">
        <v>6299</v>
      </c>
      <c r="F75" s="1648">
        <v>13513</v>
      </c>
      <c r="G75" s="1648"/>
      <c r="H75" s="1648"/>
      <c r="I75" s="1626"/>
      <c r="J75" s="1626"/>
      <c r="K75" s="1673">
        <f>SUM(C75:J75)</f>
        <v>19812</v>
      </c>
      <c r="L75" s="1650">
        <v>19227</v>
      </c>
      <c r="M75" s="502"/>
      <c r="N75" s="502"/>
    </row>
    <row r="76" spans="1:14" s="516" customFormat="1" ht="15.75" customHeight="1" thickTop="1" x14ac:dyDescent="0.2">
      <c r="A76" s="1349" t="s">
        <v>361</v>
      </c>
      <c r="B76" s="1346"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3" t="s">
        <v>492</v>
      </c>
      <c r="B78" s="503">
        <v>4110</v>
      </c>
      <c r="C78" s="1672"/>
      <c r="D78" s="1672"/>
      <c r="E78" s="1585">
        <v>1725</v>
      </c>
      <c r="F78" s="1672"/>
      <c r="G78" s="1672"/>
      <c r="H78" s="1681"/>
      <c r="I78" s="1581"/>
      <c r="J78" s="1581"/>
      <c r="K78" s="1671">
        <f t="shared" ref="K78:K83" si="11">SUM(C78:J78)</f>
        <v>1725</v>
      </c>
      <c r="L78" s="1585">
        <v>1725</v>
      </c>
    </row>
    <row r="79" spans="1:14" x14ac:dyDescent="0.2">
      <c r="A79" s="1273" t="s">
        <v>300</v>
      </c>
      <c r="B79" s="503">
        <v>4120</v>
      </c>
      <c r="C79" s="1672"/>
      <c r="D79" s="1672"/>
      <c r="E79" s="1572">
        <v>23396</v>
      </c>
      <c r="F79" s="1672"/>
      <c r="G79" s="1672"/>
      <c r="H79" s="1572"/>
      <c r="I79" s="1581"/>
      <c r="J79" s="1581"/>
      <c r="K79" s="1671">
        <f t="shared" si="11"/>
        <v>23396</v>
      </c>
      <c r="L79" s="1572">
        <v>24000</v>
      </c>
    </row>
    <row r="80" spans="1:14" x14ac:dyDescent="0.2">
      <c r="A80" s="1273" t="s">
        <v>301</v>
      </c>
      <c r="B80" s="503">
        <v>4130</v>
      </c>
      <c r="C80" s="1672"/>
      <c r="D80" s="1672"/>
      <c r="E80" s="1572"/>
      <c r="F80" s="1672"/>
      <c r="G80" s="1672"/>
      <c r="H80" s="1572"/>
      <c r="I80" s="1581"/>
      <c r="J80" s="1581"/>
      <c r="K80" s="1671">
        <f t="shared" si="11"/>
        <v>0</v>
      </c>
      <c r="L80" s="1572"/>
    </row>
    <row r="81" spans="1:12" x14ac:dyDescent="0.2">
      <c r="A81" s="1273" t="s">
        <v>691</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692</v>
      </c>
      <c r="B83" s="512">
        <v>4190</v>
      </c>
      <c r="C83" s="1672"/>
      <c r="D83" s="1672"/>
      <c r="E83" s="1572"/>
      <c r="F83" s="1672"/>
      <c r="G83" s="1672"/>
      <c r="H83" s="1572"/>
      <c r="I83" s="1581"/>
      <c r="J83" s="1581"/>
      <c r="K83" s="1671">
        <f t="shared" si="11"/>
        <v>0</v>
      </c>
      <c r="L83" s="1572"/>
    </row>
    <row r="84" spans="1:12" ht="13.5" thickBot="1" x14ac:dyDescent="0.25">
      <c r="A84" s="1379" t="s">
        <v>1467</v>
      </c>
      <c r="B84" s="1384">
        <v>4100</v>
      </c>
      <c r="C84" s="1672"/>
      <c r="D84" s="1672"/>
      <c r="E84" s="1673">
        <f>SUM(E78:E83)</f>
        <v>25121</v>
      </c>
      <c r="F84" s="1672"/>
      <c r="G84" s="1672"/>
      <c r="H84" s="1673">
        <f>SUM(H78:H83)</f>
        <v>0</v>
      </c>
      <c r="I84" s="1581"/>
      <c r="J84" s="1581"/>
      <c r="K84" s="1673">
        <f>SUM(K78:K83)</f>
        <v>25121</v>
      </c>
      <c r="L84" s="1673">
        <f>SUM(L78:L83)</f>
        <v>25725</v>
      </c>
    </row>
    <row r="85" spans="1:12" ht="12.75" customHeight="1" thickTop="1" thickBot="1" x14ac:dyDescent="0.25">
      <c r="A85" s="1280" t="s">
        <v>253</v>
      </c>
      <c r="B85" s="517">
        <v>4210</v>
      </c>
      <c r="C85" s="1672"/>
      <c r="D85" s="1672"/>
      <c r="E85" s="1682"/>
      <c r="F85" s="1672"/>
      <c r="G85" s="1672"/>
      <c r="H85" s="1629"/>
      <c r="I85" s="1581"/>
      <c r="J85" s="1581"/>
      <c r="K85" s="1680">
        <f>H85</f>
        <v>0</v>
      </c>
      <c r="L85" s="1625">
        <v>650</v>
      </c>
    </row>
    <row r="86" spans="1:12" ht="12.75" customHeight="1" thickTop="1" thickBot="1" x14ac:dyDescent="0.25">
      <c r="A86" s="1281" t="s">
        <v>693</v>
      </c>
      <c r="B86" s="518">
        <v>4220</v>
      </c>
      <c r="C86" s="1672"/>
      <c r="D86" s="1672"/>
      <c r="E86" s="1683"/>
      <c r="F86" s="1672"/>
      <c r="G86" s="1672"/>
      <c r="H86" s="1573">
        <v>129554</v>
      </c>
      <c r="I86" s="1581"/>
      <c r="J86" s="1581"/>
      <c r="K86" s="1680">
        <f t="shared" ref="K86:K98" si="12">H86</f>
        <v>129554</v>
      </c>
      <c r="L86" s="1625">
        <v>106000</v>
      </c>
    </row>
    <row r="87" spans="1:12" ht="14.25" thickTop="1" thickBot="1" x14ac:dyDescent="0.25">
      <c r="A87" s="1282" t="s">
        <v>694</v>
      </c>
      <c r="B87" s="519">
        <v>4230</v>
      </c>
      <c r="C87" s="1672"/>
      <c r="D87" s="1672"/>
      <c r="E87" s="1683"/>
      <c r="F87" s="1672"/>
      <c r="G87" s="1672"/>
      <c r="H87" s="1573"/>
      <c r="I87" s="1581"/>
      <c r="J87" s="1581"/>
      <c r="K87" s="1680">
        <f t="shared" si="12"/>
        <v>0</v>
      </c>
      <c r="L87" s="1625"/>
    </row>
    <row r="88" spans="1:12" ht="12.75" customHeight="1" thickTop="1" thickBot="1" x14ac:dyDescent="0.25">
      <c r="A88" s="1282" t="s">
        <v>759</v>
      </c>
      <c r="B88" s="519">
        <v>4240</v>
      </c>
      <c r="C88" s="1672"/>
      <c r="D88" s="1672"/>
      <c r="E88" s="1683"/>
      <c r="F88" s="1672"/>
      <c r="G88" s="1672"/>
      <c r="H88" s="1573"/>
      <c r="I88" s="1581"/>
      <c r="J88" s="1581"/>
      <c r="K88" s="1680">
        <f t="shared" si="12"/>
        <v>0</v>
      </c>
      <c r="L88" s="1625"/>
    </row>
    <row r="89" spans="1:12" ht="12.75" customHeight="1" thickTop="1" thickBot="1" x14ac:dyDescent="0.25">
      <c r="A89" s="1282" t="s">
        <v>695</v>
      </c>
      <c r="B89" s="519">
        <v>4270</v>
      </c>
      <c r="C89" s="1672"/>
      <c r="D89" s="1672"/>
      <c r="E89" s="1683"/>
      <c r="F89" s="1672"/>
      <c r="G89" s="1672"/>
      <c r="H89" s="1573"/>
      <c r="I89" s="1581"/>
      <c r="J89" s="1581"/>
      <c r="K89" s="1680">
        <f t="shared" si="12"/>
        <v>0</v>
      </c>
      <c r="L89" s="1625"/>
    </row>
    <row r="90" spans="1:12" ht="12.75" customHeight="1" thickTop="1" thickBot="1" x14ac:dyDescent="0.25">
      <c r="A90" s="1282" t="s">
        <v>680</v>
      </c>
      <c r="B90" s="519">
        <v>4280</v>
      </c>
      <c r="C90" s="1672"/>
      <c r="D90" s="1672"/>
      <c r="E90" s="1683"/>
      <c r="F90" s="1672"/>
      <c r="G90" s="1672"/>
      <c r="H90" s="1573"/>
      <c r="I90" s="1581"/>
      <c r="J90" s="1581"/>
      <c r="K90" s="1680">
        <f t="shared" si="12"/>
        <v>0</v>
      </c>
      <c r="L90" s="1625"/>
    </row>
    <row r="91" spans="1:12" ht="12.75" customHeight="1" thickTop="1" thickBot="1" x14ac:dyDescent="0.25">
      <c r="A91" s="1282" t="s">
        <v>681</v>
      </c>
      <c r="B91" s="519">
        <v>4290</v>
      </c>
      <c r="C91" s="1672"/>
      <c r="D91" s="1672"/>
      <c r="E91" s="1683"/>
      <c r="F91" s="1672"/>
      <c r="G91" s="1672"/>
      <c r="H91" s="1573"/>
      <c r="I91" s="1581"/>
      <c r="J91" s="1581"/>
      <c r="K91" s="1680">
        <f t="shared" si="12"/>
        <v>0</v>
      </c>
      <c r="L91" s="1625"/>
    </row>
    <row r="92" spans="1:12" ht="14.25" thickTop="1" thickBot="1" x14ac:dyDescent="0.25">
      <c r="A92" s="1385" t="s">
        <v>1542</v>
      </c>
      <c r="B92" s="1384">
        <v>4200</v>
      </c>
      <c r="C92" s="1672"/>
      <c r="D92" s="1672"/>
      <c r="E92" s="1683"/>
      <c r="F92" s="1672"/>
      <c r="G92" s="1672"/>
      <c r="H92" s="1673">
        <f>SUM(H85:H91)</f>
        <v>129554</v>
      </c>
      <c r="I92" s="1581"/>
      <c r="J92" s="1581"/>
      <c r="K92" s="1680">
        <f t="shared" si="12"/>
        <v>129554</v>
      </c>
      <c r="L92" s="1673">
        <f>SUM(L85:L91)</f>
        <v>106650</v>
      </c>
    </row>
    <row r="93" spans="1:12" ht="14.25" thickTop="1" thickBot="1" x14ac:dyDescent="0.25">
      <c r="A93" s="1281" t="s">
        <v>682</v>
      </c>
      <c r="B93" s="520">
        <v>4310</v>
      </c>
      <c r="C93" s="1672"/>
      <c r="D93" s="1672"/>
      <c r="E93" s="1683"/>
      <c r="F93" s="1672"/>
      <c r="G93" s="1672"/>
      <c r="H93" s="1684"/>
      <c r="I93" s="1581"/>
      <c r="J93" s="1581"/>
      <c r="K93" s="1680">
        <f t="shared" si="12"/>
        <v>0</v>
      </c>
      <c r="L93" s="1627"/>
    </row>
    <row r="94" spans="1:12" ht="12.75" customHeight="1" thickTop="1" thickBot="1" x14ac:dyDescent="0.25">
      <c r="A94" s="1282" t="s">
        <v>683</v>
      </c>
      <c r="B94" s="519">
        <v>4320</v>
      </c>
      <c r="C94" s="1672"/>
      <c r="D94" s="1672"/>
      <c r="E94" s="1683"/>
      <c r="F94" s="1672"/>
      <c r="G94" s="1672"/>
      <c r="H94" s="1573"/>
      <c r="I94" s="1581"/>
      <c r="J94" s="1581"/>
      <c r="K94" s="1680">
        <f t="shared" si="12"/>
        <v>0</v>
      </c>
      <c r="L94" s="1625"/>
    </row>
    <row r="95" spans="1:12" ht="15" customHeight="1" thickTop="1" thickBot="1" x14ac:dyDescent="0.25">
      <c r="A95" s="1282" t="s">
        <v>1470</v>
      </c>
      <c r="B95" s="519">
        <v>4330</v>
      </c>
      <c r="C95" s="1672"/>
      <c r="D95" s="1672"/>
      <c r="E95" s="1683"/>
      <c r="F95" s="1672"/>
      <c r="G95" s="1672"/>
      <c r="H95" s="1573"/>
      <c r="I95" s="1581"/>
      <c r="J95" s="1581"/>
      <c r="K95" s="1680">
        <f t="shared" si="12"/>
        <v>0</v>
      </c>
      <c r="L95" s="1625"/>
    </row>
    <row r="96" spans="1:12" ht="14.25" thickTop="1" thickBot="1" x14ac:dyDescent="0.25">
      <c r="A96" s="1282" t="s">
        <v>684</v>
      </c>
      <c r="B96" s="519">
        <v>4340</v>
      </c>
      <c r="C96" s="1672"/>
      <c r="D96" s="1672"/>
      <c r="E96" s="1683"/>
      <c r="F96" s="1672"/>
      <c r="G96" s="1672"/>
      <c r="H96" s="1573"/>
      <c r="I96" s="1581"/>
      <c r="J96" s="1581"/>
      <c r="K96" s="1680">
        <f t="shared" si="12"/>
        <v>0</v>
      </c>
      <c r="L96" s="1625"/>
    </row>
    <row r="97" spans="1:14" ht="12.75" customHeight="1" thickTop="1" thickBot="1" x14ac:dyDescent="0.25">
      <c r="A97" s="1282" t="s">
        <v>757</v>
      </c>
      <c r="B97" s="519">
        <v>4370</v>
      </c>
      <c r="C97" s="1672"/>
      <c r="D97" s="1672"/>
      <c r="E97" s="1683"/>
      <c r="F97" s="1672"/>
      <c r="G97" s="1672"/>
      <c r="H97" s="1573"/>
      <c r="I97" s="1581"/>
      <c r="J97" s="1581"/>
      <c r="K97" s="1680">
        <f t="shared" si="12"/>
        <v>0</v>
      </c>
      <c r="L97" s="1625"/>
    </row>
    <row r="98" spans="1:14" ht="14.25" thickTop="1" thickBot="1" x14ac:dyDescent="0.25">
      <c r="A98" s="1282" t="s">
        <v>758</v>
      </c>
      <c r="B98" s="519">
        <v>4380</v>
      </c>
      <c r="C98" s="1672"/>
      <c r="D98" s="1672"/>
      <c r="E98" s="1685"/>
      <c r="F98" s="1672"/>
      <c r="G98" s="1672"/>
      <c r="H98" s="1573"/>
      <c r="I98" s="1581"/>
      <c r="J98" s="1581"/>
      <c r="K98" s="1680">
        <f t="shared" si="12"/>
        <v>0</v>
      </c>
      <c r="L98" s="1625"/>
    </row>
    <row r="99" spans="1:14" ht="14.25" thickTop="1" thickBot="1" x14ac:dyDescent="0.25">
      <c r="A99" s="1282" t="s">
        <v>363</v>
      </c>
      <c r="B99" s="519">
        <v>4390</v>
      </c>
      <c r="C99" s="1672"/>
      <c r="D99" s="1672"/>
      <c r="E99" s="1627"/>
      <c r="F99" s="1672"/>
      <c r="G99" s="1672"/>
      <c r="H99" s="1573"/>
      <c r="I99" s="1581"/>
      <c r="J99" s="1581"/>
      <c r="K99" s="1680">
        <f>SUM(E99,H99)</f>
        <v>0</v>
      </c>
      <c r="L99" s="1625"/>
    </row>
    <row r="100" spans="1:14" ht="14.25" thickTop="1" thickBot="1" x14ac:dyDescent="0.25">
      <c r="A100" s="1385" t="s">
        <v>1468</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1471</v>
      </c>
      <c r="B101" s="521" t="s">
        <v>924</v>
      </c>
      <c r="C101" s="1672"/>
      <c r="D101" s="1672"/>
      <c r="E101" s="1626"/>
      <c r="F101" s="1672"/>
      <c r="G101" s="1672"/>
      <c r="H101" s="1626"/>
      <c r="I101" s="1581"/>
      <c r="J101" s="1581"/>
      <c r="K101" s="1686">
        <f>SUM(C101:J101)</f>
        <v>0</v>
      </c>
      <c r="L101" s="1625"/>
    </row>
    <row r="102" spans="1:14" ht="12.75" customHeight="1" thickTop="1" thickBot="1" x14ac:dyDescent="0.25">
      <c r="A102" s="1379" t="s">
        <v>1469</v>
      </c>
      <c r="B102" s="1384">
        <v>4000</v>
      </c>
      <c r="C102" s="1672"/>
      <c r="D102" s="1672"/>
      <c r="E102" s="1680">
        <f>SUM(E84,E92,E100,E101)</f>
        <v>25121</v>
      </c>
      <c r="F102" s="1672"/>
      <c r="G102" s="1672"/>
      <c r="H102" s="1680">
        <f>SUM(H84,H92,H100,H101)</f>
        <v>129554</v>
      </c>
      <c r="I102" s="1581"/>
      <c r="J102" s="1581"/>
      <c r="K102" s="1680">
        <f>SUM(K84,K92,K100,K101)</f>
        <v>154675</v>
      </c>
      <c r="L102" s="1680">
        <f>SUM(L84,L92,L100,L101)</f>
        <v>132375</v>
      </c>
    </row>
    <row r="103" spans="1:14" s="516" customFormat="1" ht="15.75" customHeight="1" thickTop="1" x14ac:dyDescent="0.2">
      <c r="A103" s="1349" t="s">
        <v>509</v>
      </c>
      <c r="B103" s="1346" t="s">
        <v>488</v>
      </c>
      <c r="C103" s="1672"/>
      <c r="D103" s="1672"/>
      <c r="E103" s="1672"/>
      <c r="F103" s="1672"/>
      <c r="G103" s="1672"/>
      <c r="H103" s="1674"/>
      <c r="I103" s="1574"/>
      <c r="J103" s="1574"/>
      <c r="K103" s="1674"/>
      <c r="L103" s="1674"/>
      <c r="M103" s="179"/>
      <c r="N103" s="179"/>
    </row>
    <row r="104" spans="1:14" s="524" customFormat="1" ht="15.75" customHeight="1" x14ac:dyDescent="0.2">
      <c r="A104" s="522" t="s">
        <v>610</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1159</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584</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1092</v>
      </c>
      <c r="B110" s="1382" t="s">
        <v>712</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364</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632</v>
      </c>
      <c r="B112" s="1380" t="s">
        <v>488</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510</v>
      </c>
      <c r="B113" s="1350" t="s">
        <v>855</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1439315</v>
      </c>
      <c r="D114" s="1673">
        <f t="shared" ref="D114:K114" si="13">SUM(D33,D74,D75,D102,D112,D113)</f>
        <v>382345</v>
      </c>
      <c r="E114" s="1673">
        <f t="shared" si="13"/>
        <v>182033</v>
      </c>
      <c r="F114" s="1673">
        <f t="shared" si="13"/>
        <v>353428</v>
      </c>
      <c r="G114" s="1673">
        <f t="shared" si="13"/>
        <v>42818</v>
      </c>
      <c r="H114" s="1673">
        <f>SUM(H33,H74,H75,H102,H112,H113)</f>
        <v>148254</v>
      </c>
      <c r="I114" s="1673">
        <f t="shared" si="13"/>
        <v>0</v>
      </c>
      <c r="J114" s="1673">
        <f t="shared" si="13"/>
        <v>0</v>
      </c>
      <c r="K114" s="1673">
        <f t="shared" si="13"/>
        <v>2548193</v>
      </c>
      <c r="L114" s="1673">
        <f>SUM(L33,L74,L75,L102,L112,L113)</f>
        <v>2535715</v>
      </c>
    </row>
    <row r="115" spans="1:14" ht="13.5" thickTop="1" x14ac:dyDescent="0.2">
      <c r="A115" s="2261" t="s">
        <v>988</v>
      </c>
      <c r="B115" s="2262"/>
      <c r="C115" s="1674"/>
      <c r="D115" s="1674"/>
      <c r="E115" s="1674"/>
      <c r="F115" s="1674"/>
      <c r="G115" s="1674"/>
      <c r="H115" s="1674"/>
      <c r="I115" s="1674"/>
      <c r="J115" s="1674"/>
      <c r="K115" s="1688">
        <f>'Revenues 9-14'!C268-'Expenditures 15-22'!K114</f>
        <v>118163</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6" t="s">
        <v>292</v>
      </c>
      <c r="B117" s="2267"/>
      <c r="C117" s="1690"/>
      <c r="D117" s="1691"/>
      <c r="E117" s="1691"/>
      <c r="F117" s="1691"/>
      <c r="G117" s="1691"/>
      <c r="H117" s="1691"/>
      <c r="I117" s="1691"/>
      <c r="J117" s="1691"/>
      <c r="K117" s="1691"/>
      <c r="L117" s="1692"/>
      <c r="M117" s="170"/>
      <c r="N117" s="170"/>
    </row>
    <row r="118" spans="1:14" ht="15.75" customHeight="1" x14ac:dyDescent="0.2">
      <c r="A118" s="1351" t="s">
        <v>1027</v>
      </c>
      <c r="B118" s="1352"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7" t="s">
        <v>1962</v>
      </c>
      <c r="B120" s="512" t="s">
        <v>710</v>
      </c>
      <c r="C120" s="1572"/>
      <c r="D120" s="1572"/>
      <c r="E120" s="1572"/>
      <c r="F120" s="1572"/>
      <c r="G120" s="1572"/>
      <c r="H120" s="1572"/>
      <c r="I120" s="1573"/>
      <c r="J120" s="1573"/>
      <c r="K120" s="1671">
        <f>SUM(C120:J120)</f>
        <v>0</v>
      </c>
      <c r="L120" s="1572"/>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3" t="s">
        <v>1058</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v>4800</v>
      </c>
      <c r="F123" s="1572">
        <v>3190</v>
      </c>
      <c r="G123" s="1572">
        <v>368115</v>
      </c>
      <c r="H123" s="1572"/>
      <c r="I123" s="1573"/>
      <c r="J123" s="1573"/>
      <c r="K123" s="1673">
        <f>SUM(C123:J123)</f>
        <v>376105</v>
      </c>
      <c r="L123" s="1572">
        <v>253825</v>
      </c>
    </row>
    <row r="124" spans="1:14" ht="14.25" thickTop="1" thickBot="1" x14ac:dyDescent="0.25">
      <c r="A124" s="1273" t="s">
        <v>195</v>
      </c>
      <c r="B124" s="503">
        <v>2540</v>
      </c>
      <c r="C124" s="1572"/>
      <c r="D124" s="1572"/>
      <c r="E124" s="1572">
        <v>21887</v>
      </c>
      <c r="F124" s="1572">
        <v>1582</v>
      </c>
      <c r="G124" s="1572">
        <v>12840</v>
      </c>
      <c r="H124" s="1572"/>
      <c r="I124" s="1573"/>
      <c r="J124" s="1573"/>
      <c r="K124" s="1673">
        <f>SUM(C124:J124)</f>
        <v>36309</v>
      </c>
      <c r="L124" s="1572">
        <v>39900</v>
      </c>
    </row>
    <row r="125" spans="1:14" ht="14.25" thickTop="1" thickBot="1" x14ac:dyDescent="0.25">
      <c r="A125" s="1273" t="s">
        <v>946</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713</v>
      </c>
      <c r="B127" s="1380" t="s">
        <v>35</v>
      </c>
      <c r="C127" s="1673">
        <f>SUM(C122:C126)</f>
        <v>0</v>
      </c>
      <c r="D127" s="1673">
        <f t="shared" ref="D127:L127" si="14">SUM(D122:D126)</f>
        <v>0</v>
      </c>
      <c r="E127" s="1673">
        <f t="shared" si="14"/>
        <v>26687</v>
      </c>
      <c r="F127" s="1673">
        <f t="shared" si="14"/>
        <v>4772</v>
      </c>
      <c r="G127" s="1673">
        <f t="shared" si="14"/>
        <v>380955</v>
      </c>
      <c r="H127" s="1673">
        <f t="shared" si="14"/>
        <v>0</v>
      </c>
      <c r="I127" s="1673">
        <f t="shared" si="14"/>
        <v>0</v>
      </c>
      <c r="J127" s="1673">
        <f t="shared" si="14"/>
        <v>0</v>
      </c>
      <c r="K127" s="1673">
        <f t="shared" si="14"/>
        <v>412414</v>
      </c>
      <c r="L127" s="1673">
        <f t="shared" si="14"/>
        <v>293725</v>
      </c>
    </row>
    <row r="128" spans="1:14" ht="12.75" customHeight="1" thickTop="1" x14ac:dyDescent="0.2">
      <c r="A128" s="1280" t="s">
        <v>972</v>
      </c>
      <c r="B128" s="531" t="s">
        <v>569</v>
      </c>
      <c r="C128" s="1694"/>
      <c r="D128" s="1694"/>
      <c r="E128" s="1694"/>
      <c r="F128" s="1694"/>
      <c r="G128" s="1694">
        <v>4000</v>
      </c>
      <c r="H128" s="1694"/>
      <c r="I128" s="1629"/>
      <c r="J128" s="1629"/>
      <c r="K128" s="1695">
        <f>SUM(C128:J128)</f>
        <v>4000</v>
      </c>
      <c r="L128" s="1694">
        <v>4000</v>
      </c>
    </row>
    <row r="129" spans="1:14" ht="12.75" customHeight="1" thickBot="1" x14ac:dyDescent="0.25">
      <c r="A129" s="1388" t="s">
        <v>805</v>
      </c>
      <c r="B129" s="1389" t="s">
        <v>564</v>
      </c>
      <c r="C129" s="1680">
        <f>SUM(C120,C127,C128)</f>
        <v>0</v>
      </c>
      <c r="D129" s="1680">
        <f t="shared" ref="D129:L129" si="15">SUM(D120,D127,D128)</f>
        <v>0</v>
      </c>
      <c r="E129" s="1680">
        <f t="shared" si="15"/>
        <v>26687</v>
      </c>
      <c r="F129" s="1680">
        <f t="shared" si="15"/>
        <v>4772</v>
      </c>
      <c r="G129" s="1680">
        <f t="shared" si="15"/>
        <v>384955</v>
      </c>
      <c r="H129" s="1680">
        <f t="shared" si="15"/>
        <v>0</v>
      </c>
      <c r="I129" s="1680">
        <f t="shared" si="15"/>
        <v>0</v>
      </c>
      <c r="J129" s="1680">
        <f t="shared" si="15"/>
        <v>0</v>
      </c>
      <c r="K129" s="1680">
        <f t="shared" si="15"/>
        <v>416414</v>
      </c>
      <c r="L129" s="1680">
        <f t="shared" si="15"/>
        <v>297725</v>
      </c>
    </row>
    <row r="130" spans="1:14" ht="15.75" customHeight="1" thickTop="1" thickBot="1" x14ac:dyDescent="0.25">
      <c r="A130" s="1347" t="s">
        <v>1028</v>
      </c>
      <c r="B130" s="1348" t="s">
        <v>570</v>
      </c>
      <c r="C130" s="1650"/>
      <c r="D130" s="1650"/>
      <c r="E130" s="1650"/>
      <c r="F130" s="1650"/>
      <c r="G130" s="1650"/>
      <c r="H130" s="1650"/>
      <c r="I130" s="1626"/>
      <c r="J130" s="1626"/>
      <c r="K130" s="1673">
        <f>SUM(C130:J130)</f>
        <v>0</v>
      </c>
      <c r="L130" s="1650"/>
    </row>
    <row r="131" spans="1:14" ht="15.75" customHeight="1" thickTop="1" x14ac:dyDescent="0.2">
      <c r="A131" s="1353" t="s">
        <v>611</v>
      </c>
      <c r="B131" s="1346" t="s">
        <v>854</v>
      </c>
      <c r="C131" s="1574"/>
      <c r="D131" s="1574"/>
      <c r="E131" s="1644"/>
      <c r="F131" s="1574"/>
      <c r="G131" s="1574"/>
      <c r="H131" s="1644"/>
      <c r="I131" s="1574"/>
      <c r="J131" s="1574"/>
      <c r="K131" s="1644"/>
      <c r="L131" s="1644"/>
    </row>
    <row r="132" spans="1:14" s="361" customFormat="1" ht="13.5" customHeight="1" x14ac:dyDescent="0.2">
      <c r="A132" s="532" t="s">
        <v>609</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492</v>
      </c>
      <c r="B133" s="1473" t="s">
        <v>1815</v>
      </c>
      <c r="C133" s="1574"/>
      <c r="D133" s="1574"/>
      <c r="E133" s="1684"/>
      <c r="F133" s="1574"/>
      <c r="G133" s="1574"/>
      <c r="H133" s="1684"/>
      <c r="I133" s="1574"/>
      <c r="J133" s="1574"/>
      <c r="K133" s="1696">
        <f>SUM(E133,H133)</f>
        <v>0</v>
      </c>
      <c r="L133" s="1684"/>
      <c r="M133" s="201"/>
      <c r="N133" s="201"/>
    </row>
    <row r="134" spans="1:14" x14ac:dyDescent="0.2">
      <c r="A134" s="1273" t="s">
        <v>300</v>
      </c>
      <c r="B134" s="503">
        <v>4120</v>
      </c>
      <c r="C134" s="1672"/>
      <c r="D134" s="1672"/>
      <c r="E134" s="1582"/>
      <c r="F134" s="1672"/>
      <c r="G134" s="1672"/>
      <c r="H134" s="1585"/>
      <c r="I134" s="1581"/>
      <c r="J134" s="1672"/>
      <c r="K134" s="1677">
        <f>SUM(E134,H134)</f>
        <v>0</v>
      </c>
      <c r="L134" s="1585"/>
    </row>
    <row r="135" spans="1:14" x14ac:dyDescent="0.2">
      <c r="A135" s="1273" t="s">
        <v>691</v>
      </c>
      <c r="B135" s="503">
        <v>4140</v>
      </c>
      <c r="C135" s="1672"/>
      <c r="D135" s="1672"/>
      <c r="E135" s="1573"/>
      <c r="F135" s="1672"/>
      <c r="G135" s="1672"/>
      <c r="H135" s="1572"/>
      <c r="I135" s="1581"/>
      <c r="J135" s="1672"/>
      <c r="K135" s="1677">
        <f>SUM(E135,H135)</f>
        <v>0</v>
      </c>
      <c r="L135" s="1572"/>
    </row>
    <row r="136" spans="1:14" x14ac:dyDescent="0.2">
      <c r="A136" s="1277" t="s">
        <v>692</v>
      </c>
      <c r="B136" s="512">
        <v>4190</v>
      </c>
      <c r="C136" s="1672"/>
      <c r="D136" s="1672"/>
      <c r="E136" s="1573"/>
      <c r="F136" s="1672"/>
      <c r="G136" s="1672"/>
      <c r="H136" s="1572"/>
      <c r="I136" s="1581"/>
      <c r="J136" s="1672"/>
      <c r="K136" s="1677">
        <f>SUM(E136,H136)</f>
        <v>0</v>
      </c>
      <c r="L136" s="1572"/>
    </row>
    <row r="137" spans="1:14" ht="12.75" customHeight="1" thickBot="1" x14ac:dyDescent="0.25">
      <c r="A137" s="1379" t="s">
        <v>476</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924</v>
      </c>
      <c r="C138" s="1672"/>
      <c r="D138" s="1672"/>
      <c r="E138" s="1583"/>
      <c r="F138" s="1672"/>
      <c r="G138" s="1672"/>
      <c r="H138" s="1650"/>
      <c r="I138" s="1581"/>
      <c r="J138" s="1672"/>
      <c r="K138" s="1677">
        <f>SUM(E138,H138)</f>
        <v>0</v>
      </c>
      <c r="L138" s="1650"/>
    </row>
    <row r="139" spans="1:14" ht="12.75" customHeight="1" thickTop="1" thickBot="1" x14ac:dyDescent="0.25">
      <c r="A139" s="1379" t="s">
        <v>1469</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1029</v>
      </c>
      <c r="B140" s="1350" t="s">
        <v>488</v>
      </c>
      <c r="C140" s="1672"/>
      <c r="D140" s="1672"/>
      <c r="E140" s="1683"/>
      <c r="F140" s="1683"/>
      <c r="G140" s="1683"/>
      <c r="H140" s="1682"/>
      <c r="I140" s="1581"/>
      <c r="J140" s="1683"/>
      <c r="K140" s="1682"/>
      <c r="L140" s="1682"/>
    </row>
    <row r="141" spans="1:14" ht="15.75" customHeight="1" x14ac:dyDescent="0.2">
      <c r="A141" s="530" t="s">
        <v>610</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1159</v>
      </c>
      <c r="B144" s="512" t="s">
        <v>612</v>
      </c>
      <c r="C144" s="1672"/>
      <c r="D144" s="1672"/>
      <c r="E144" s="1672"/>
      <c r="F144" s="1672"/>
      <c r="G144" s="1672"/>
      <c r="H144" s="1572"/>
      <c r="I144" s="1574"/>
      <c r="J144" s="1672"/>
      <c r="K144" s="1677">
        <f>SUM(H144)</f>
        <v>0</v>
      </c>
      <c r="L144" s="1572"/>
    </row>
    <row r="145" spans="1:14" x14ac:dyDescent="0.2">
      <c r="A145" s="1273" t="s">
        <v>89</v>
      </c>
      <c r="B145" s="503" t="s">
        <v>584</v>
      </c>
      <c r="C145" s="1672"/>
      <c r="D145" s="1672"/>
      <c r="E145" s="1672"/>
      <c r="F145" s="1672"/>
      <c r="G145" s="1672"/>
      <c r="H145" s="1572"/>
      <c r="I145" s="1574"/>
      <c r="J145" s="1672"/>
      <c r="K145" s="1677">
        <f>SUM(H145)</f>
        <v>0</v>
      </c>
      <c r="L145" s="1572"/>
    </row>
    <row r="146" spans="1:14" ht="12.75" customHeight="1" x14ac:dyDescent="0.2">
      <c r="A146" s="1273" t="s">
        <v>614</v>
      </c>
      <c r="B146" s="503" t="s">
        <v>613</v>
      </c>
      <c r="C146" s="1672"/>
      <c r="D146" s="1672"/>
      <c r="E146" s="1672"/>
      <c r="F146" s="1672"/>
      <c r="G146" s="1672"/>
      <c r="H146" s="1572"/>
      <c r="I146" s="1574"/>
      <c r="J146" s="1672"/>
      <c r="K146" s="1677">
        <f>SUM(H146)</f>
        <v>0</v>
      </c>
      <c r="L146" s="1572"/>
    </row>
    <row r="147" spans="1:14" ht="12.75" customHeight="1" thickBot="1" x14ac:dyDescent="0.25">
      <c r="A147" s="1284" t="s">
        <v>621</v>
      </c>
      <c r="B147" s="534" t="s">
        <v>712</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1093</v>
      </c>
      <c r="B148" s="536" t="s">
        <v>38</v>
      </c>
      <c r="C148" s="1672"/>
      <c r="D148" s="1672"/>
      <c r="E148" s="1672"/>
      <c r="F148" s="1672"/>
      <c r="G148" s="1672"/>
      <c r="H148" s="1583"/>
      <c r="I148" s="1574"/>
      <c r="J148" s="1672"/>
      <c r="K148" s="1677">
        <f>SUM(H148)</f>
        <v>0</v>
      </c>
      <c r="L148" s="1598"/>
    </row>
    <row r="149" spans="1:14" ht="12.75" customHeight="1" thickBot="1" x14ac:dyDescent="0.25">
      <c r="A149" s="1276" t="s">
        <v>632</v>
      </c>
      <c r="B149" s="504" t="s">
        <v>488</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1030</v>
      </c>
      <c r="B150" s="1350" t="s">
        <v>855</v>
      </c>
      <c r="C150" s="1672"/>
      <c r="D150" s="1672"/>
      <c r="E150" s="1672"/>
      <c r="F150" s="1672"/>
      <c r="G150" s="1672"/>
      <c r="H150" s="1697"/>
      <c r="I150" s="1616"/>
      <c r="J150" s="1672"/>
      <c r="K150" s="1675"/>
      <c r="L150" s="1648"/>
    </row>
    <row r="151" spans="1:14" ht="12.75" customHeight="1" thickTop="1" thickBot="1" x14ac:dyDescent="0.25">
      <c r="A151" s="2278" t="s">
        <v>615</v>
      </c>
      <c r="B151" s="2258"/>
      <c r="C151" s="1673">
        <f>SUM(C129,C130,C139,C149,C150)</f>
        <v>0</v>
      </c>
      <c r="D151" s="1673">
        <f t="shared" ref="D151:K151" si="16">SUM(D129,D130,D139,D149,D150)</f>
        <v>0</v>
      </c>
      <c r="E151" s="1673">
        <f t="shared" si="16"/>
        <v>26687</v>
      </c>
      <c r="F151" s="1673">
        <f t="shared" si="16"/>
        <v>4772</v>
      </c>
      <c r="G151" s="1673">
        <f t="shared" si="16"/>
        <v>384955</v>
      </c>
      <c r="H151" s="1673">
        <f t="shared" si="16"/>
        <v>0</v>
      </c>
      <c r="I151" s="1673">
        <f t="shared" si="16"/>
        <v>0</v>
      </c>
      <c r="J151" s="1673">
        <f t="shared" si="16"/>
        <v>0</v>
      </c>
      <c r="K151" s="1673">
        <f t="shared" si="16"/>
        <v>416414</v>
      </c>
      <c r="L151" s="1673">
        <f>SUM(L129,L130,L139,L149,L150)</f>
        <v>297725</v>
      </c>
    </row>
    <row r="152" spans="1:14" ht="12.75" customHeight="1" thickTop="1" x14ac:dyDescent="0.2">
      <c r="A152" s="2281" t="s">
        <v>1167</v>
      </c>
      <c r="B152" s="2282"/>
      <c r="C152" s="1674"/>
      <c r="D152" s="1674"/>
      <c r="E152" s="1674"/>
      <c r="F152" s="1674"/>
      <c r="G152" s="1674"/>
      <c r="H152" s="1674"/>
      <c r="I152" s="1674"/>
      <c r="J152" s="1672"/>
      <c r="K152" s="1688">
        <f>'Revenues 9-14'!D268-'Expenditures 15-22'!K151</f>
        <v>-157830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6" t="s">
        <v>616</v>
      </c>
      <c r="B154" s="226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854</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1816</v>
      </c>
      <c r="B156" s="1460"/>
      <c r="C156" s="1672"/>
      <c r="D156" s="1672"/>
      <c r="E156" s="1672"/>
      <c r="F156" s="1672"/>
      <c r="G156" s="1672"/>
      <c r="H156" s="1700"/>
      <c r="I156" s="1672"/>
      <c r="J156" s="1672"/>
      <c r="K156" s="1701"/>
      <c r="L156" s="1700"/>
      <c r="M156" s="505"/>
      <c r="N156" s="505"/>
    </row>
    <row r="157" spans="1:14" s="506" customFormat="1" ht="12" x14ac:dyDescent="0.2">
      <c r="A157" s="1461" t="s">
        <v>492</v>
      </c>
      <c r="B157" s="1462" t="s">
        <v>1815</v>
      </c>
      <c r="C157" s="1672"/>
      <c r="D157" s="1672"/>
      <c r="E157" s="1672"/>
      <c r="F157" s="1672"/>
      <c r="G157" s="1672"/>
      <c r="H157" s="1684"/>
      <c r="I157" s="1672"/>
      <c r="J157" s="1672"/>
      <c r="K157" s="1671">
        <f>H157</f>
        <v>0</v>
      </c>
      <c r="L157" s="1573"/>
      <c r="M157" s="505"/>
      <c r="N157" s="505"/>
    </row>
    <row r="158" spans="1:14" s="506" customFormat="1" ht="12" x14ac:dyDescent="0.2">
      <c r="A158" s="1461" t="s">
        <v>300</v>
      </c>
      <c r="B158" s="1462" t="s">
        <v>1817</v>
      </c>
      <c r="C158" s="1672"/>
      <c r="D158" s="1672"/>
      <c r="E158" s="1672"/>
      <c r="F158" s="1672"/>
      <c r="G158" s="1672"/>
      <c r="H158" s="1573"/>
      <c r="I158" s="1672"/>
      <c r="J158" s="1672"/>
      <c r="K158" s="1671">
        <f>H158</f>
        <v>0</v>
      </c>
      <c r="L158" s="1573"/>
      <c r="M158" s="505"/>
      <c r="N158" s="505"/>
    </row>
    <row r="159" spans="1:14" s="506" customFormat="1" ht="12" x14ac:dyDescent="0.2">
      <c r="A159" s="1461" t="s">
        <v>1818</v>
      </c>
      <c r="B159" s="1462" t="s">
        <v>553</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1819</v>
      </c>
      <c r="B160" s="1464" t="s">
        <v>854</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1159</v>
      </c>
      <c r="B165" s="503" t="s">
        <v>612</v>
      </c>
      <c r="C165" s="1672"/>
      <c r="D165" s="1672"/>
      <c r="E165" s="1672"/>
      <c r="F165" s="1672"/>
      <c r="G165" s="1672"/>
      <c r="H165" s="1572"/>
      <c r="I165" s="1672"/>
      <c r="J165" s="1672"/>
      <c r="K165" s="1671">
        <f>SUM(C165:J165)</f>
        <v>0</v>
      </c>
      <c r="L165" s="1572"/>
    </row>
    <row r="166" spans="1:14" x14ac:dyDescent="0.2">
      <c r="A166" s="1273" t="s">
        <v>89</v>
      </c>
      <c r="B166" s="512" t="s">
        <v>584</v>
      </c>
      <c r="C166" s="1672"/>
      <c r="D166" s="1672"/>
      <c r="E166" s="1672"/>
      <c r="F166" s="1672"/>
      <c r="G166" s="1672"/>
      <c r="H166" s="1572"/>
      <c r="I166" s="1672"/>
      <c r="J166" s="1672"/>
      <c r="K166" s="1671">
        <f>SUM(C166:J166)</f>
        <v>0</v>
      </c>
      <c r="L166" s="1572"/>
    </row>
    <row r="167" spans="1:14" ht="12.75" customHeight="1" x14ac:dyDescent="0.2">
      <c r="A167" s="1273" t="s">
        <v>614</v>
      </c>
      <c r="B167" s="503" t="s">
        <v>613</v>
      </c>
      <c r="C167" s="1672"/>
      <c r="D167" s="1672"/>
      <c r="E167" s="1672"/>
      <c r="F167" s="1672"/>
      <c r="G167" s="1672"/>
      <c r="H167" s="1572"/>
      <c r="I167" s="1672"/>
      <c r="J167" s="1672"/>
      <c r="K167" s="1671">
        <f>SUM(C167:J167)</f>
        <v>0</v>
      </c>
      <c r="L167" s="1572"/>
    </row>
    <row r="168" spans="1:14" ht="13.5" thickBot="1" x14ac:dyDescent="0.25">
      <c r="A168" s="1379" t="s">
        <v>273</v>
      </c>
      <c r="B168" s="1382"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20850</v>
      </c>
      <c r="I169" s="1672"/>
      <c r="J169" s="1672"/>
      <c r="K169" s="1671">
        <f>SUM(C169:H169)</f>
        <v>20850</v>
      </c>
      <c r="L169" s="1694">
        <v>17826</v>
      </c>
    </row>
    <row r="170" spans="1:14" ht="33.75" customHeight="1" x14ac:dyDescent="0.2">
      <c r="A170" s="543" t="s">
        <v>1650</v>
      </c>
      <c r="B170" s="545" t="s">
        <v>31</v>
      </c>
      <c r="C170" s="1672"/>
      <c r="D170" s="1672"/>
      <c r="E170" s="1672"/>
      <c r="F170" s="1672"/>
      <c r="G170" s="1672"/>
      <c r="H170" s="1645">
        <v>77469</v>
      </c>
      <c r="I170" s="1672"/>
      <c r="J170" s="1672"/>
      <c r="K170" s="1671">
        <f>SUM(C170:J170)</f>
        <v>77469</v>
      </c>
      <c r="L170" s="1645">
        <v>58000</v>
      </c>
    </row>
    <row r="171" spans="1:14" ht="15.75" customHeight="1" x14ac:dyDescent="0.2">
      <c r="A171" s="507" t="s">
        <v>760</v>
      </c>
      <c r="B171" s="546" t="s">
        <v>84</v>
      </c>
      <c r="C171" s="1672"/>
      <c r="D171" s="1672"/>
      <c r="E171" s="1572"/>
      <c r="F171" s="1672"/>
      <c r="G171" s="1672"/>
      <c r="H171" s="1645">
        <v>1000</v>
      </c>
      <c r="I171" s="1581"/>
      <c r="J171" s="1672"/>
      <c r="K171" s="1671">
        <f>SUM(C171:J171)</f>
        <v>1000</v>
      </c>
      <c r="L171" s="1645">
        <v>1000</v>
      </c>
    </row>
    <row r="172" spans="1:14" ht="12.75" customHeight="1" thickBot="1" x14ac:dyDescent="0.25">
      <c r="A172" s="1379" t="s">
        <v>632</v>
      </c>
      <c r="B172" s="1380" t="s">
        <v>488</v>
      </c>
      <c r="C172" s="1672"/>
      <c r="D172" s="1672"/>
      <c r="E172" s="1680">
        <f>SUM(E168,E169,E170,E171)</f>
        <v>0</v>
      </c>
      <c r="F172" s="1672"/>
      <c r="G172" s="1672"/>
      <c r="H172" s="1680">
        <f>SUM(H168,H169,H170,H171)</f>
        <v>99319</v>
      </c>
      <c r="I172" s="1683"/>
      <c r="J172" s="1672"/>
      <c r="K172" s="1680">
        <f>SUM(K168,K169,K170,K171)</f>
        <v>99319</v>
      </c>
      <c r="L172" s="1680">
        <f>SUM(L168,L169,L170,L171)</f>
        <v>76826</v>
      </c>
    </row>
    <row r="173" spans="1:14" ht="15.75" customHeight="1" thickTop="1" thickBot="1" x14ac:dyDescent="0.25">
      <c r="A173" s="1356" t="s">
        <v>85</v>
      </c>
      <c r="B173" s="1348" t="s">
        <v>855</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99319</v>
      </c>
      <c r="I174" s="1683"/>
      <c r="J174" s="1672"/>
      <c r="K174" s="1680">
        <f>SUM(K160,K172,K173)</f>
        <v>99319</v>
      </c>
      <c r="L174" s="1680">
        <f>SUM(L160,L172,L173)</f>
        <v>76826</v>
      </c>
    </row>
    <row r="175" spans="1:14" ht="13.5" thickTop="1" x14ac:dyDescent="0.2">
      <c r="A175" s="2261" t="s">
        <v>988</v>
      </c>
      <c r="B175" s="2262"/>
      <c r="C175" s="1672"/>
      <c r="D175" s="1672"/>
      <c r="E175" s="1672"/>
      <c r="F175" s="1672"/>
      <c r="G175" s="1672"/>
      <c r="H175" s="1674"/>
      <c r="I175" s="1672"/>
      <c r="J175" s="1672"/>
      <c r="K175" s="1688">
        <f>'Revenues 9-14'!E268-'Expenditures 15-22'!K174</f>
        <v>-22123</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930</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931</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3" t="s">
        <v>1962</v>
      </c>
      <c r="B180" s="503" t="s">
        <v>710</v>
      </c>
      <c r="C180" s="1572"/>
      <c r="D180" s="1572"/>
      <c r="E180" s="1572"/>
      <c r="F180" s="1572"/>
      <c r="G180" s="1572"/>
      <c r="H180" s="1572"/>
      <c r="I180" s="1573"/>
      <c r="J180" s="1573"/>
      <c r="K180" s="1671">
        <f>SUM(C180:J180)</f>
        <v>0</v>
      </c>
      <c r="L180" s="1572"/>
    </row>
    <row r="181" spans="1:14" ht="15.75" customHeight="1" x14ac:dyDescent="0.2">
      <c r="A181" s="509" t="s">
        <v>607</v>
      </c>
      <c r="B181" s="550"/>
      <c r="C181" s="1646"/>
      <c r="D181" s="1646"/>
      <c r="E181" s="1646"/>
      <c r="F181" s="1646"/>
      <c r="G181" s="1646"/>
      <c r="H181" s="1646"/>
      <c r="I181" s="1574"/>
      <c r="J181" s="1574"/>
      <c r="K181" s="1646"/>
      <c r="L181" s="1646"/>
    </row>
    <row r="182" spans="1:14" ht="12.75" customHeight="1" x14ac:dyDescent="0.2">
      <c r="A182" s="1273" t="s">
        <v>946</v>
      </c>
      <c r="B182" s="503">
        <v>2550</v>
      </c>
      <c r="C182" s="1572">
        <v>27322</v>
      </c>
      <c r="D182" s="1572">
        <v>9932</v>
      </c>
      <c r="E182" s="1572">
        <v>4035</v>
      </c>
      <c r="F182" s="1572">
        <v>5633</v>
      </c>
      <c r="G182" s="1572">
        <v>176832</v>
      </c>
      <c r="H182" s="1572">
        <v>500</v>
      </c>
      <c r="I182" s="1573"/>
      <c r="J182" s="1573"/>
      <c r="K182" s="1671">
        <f>SUM(C182:J182)</f>
        <v>224254</v>
      </c>
      <c r="L182" s="1572">
        <v>86575</v>
      </c>
    </row>
    <row r="183" spans="1:14" ht="12.75" customHeight="1" thickBot="1" x14ac:dyDescent="0.25">
      <c r="A183" s="1278" t="s">
        <v>972</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805</v>
      </c>
      <c r="B184" s="1380" t="s">
        <v>564</v>
      </c>
      <c r="C184" s="1680">
        <f>SUM(C180,C182,C183)</f>
        <v>27322</v>
      </c>
      <c r="D184" s="1680">
        <f t="shared" ref="D184:J184" si="17">SUM(D180,D182,D183)</f>
        <v>9932</v>
      </c>
      <c r="E184" s="1680">
        <f t="shared" si="17"/>
        <v>4035</v>
      </c>
      <c r="F184" s="1680">
        <f t="shared" si="17"/>
        <v>5633</v>
      </c>
      <c r="G184" s="1680">
        <f t="shared" si="17"/>
        <v>176832</v>
      </c>
      <c r="H184" s="1680">
        <f t="shared" si="17"/>
        <v>500</v>
      </c>
      <c r="I184" s="1680">
        <f t="shared" si="17"/>
        <v>0</v>
      </c>
      <c r="J184" s="1680">
        <f t="shared" si="17"/>
        <v>0</v>
      </c>
      <c r="K184" s="1680">
        <f>SUM(K180,K182,K183)</f>
        <v>224254</v>
      </c>
      <c r="L184" s="1680">
        <f>SUM(L180, L182:L183)</f>
        <v>86575</v>
      </c>
    </row>
    <row r="185" spans="1:14" ht="15.75" customHeight="1" thickTop="1" thickBot="1" x14ac:dyDescent="0.25">
      <c r="A185" s="1359" t="s">
        <v>932</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854</v>
      </c>
      <c r="C186" s="1672"/>
      <c r="D186" s="1672"/>
      <c r="E186" s="1672"/>
      <c r="F186" s="1672"/>
      <c r="G186" s="1672"/>
      <c r="H186" s="1672"/>
      <c r="I186" s="1672"/>
      <c r="J186" s="1672"/>
      <c r="K186" s="1672"/>
      <c r="L186" s="1672"/>
      <c r="M186" s="539"/>
      <c r="N186" s="539"/>
    </row>
    <row r="187" spans="1:14" s="548" customFormat="1" ht="15.75" customHeight="1" x14ac:dyDescent="0.2">
      <c r="A187" s="507" t="s">
        <v>1120</v>
      </c>
      <c r="B187" s="508"/>
      <c r="C187" s="1672"/>
      <c r="D187" s="1672"/>
      <c r="E187" s="1672"/>
      <c r="F187" s="1672"/>
      <c r="G187" s="1672"/>
      <c r="H187" s="1672"/>
      <c r="I187" s="1672"/>
      <c r="J187" s="1672"/>
      <c r="K187" s="1672"/>
      <c r="L187" s="1672"/>
      <c r="M187" s="539"/>
      <c r="N187" s="539"/>
    </row>
    <row r="188" spans="1:14" x14ac:dyDescent="0.2">
      <c r="A188" s="1273" t="s">
        <v>492</v>
      </c>
      <c r="B188" s="503">
        <v>4110</v>
      </c>
      <c r="C188" s="1672"/>
      <c r="D188" s="1672"/>
      <c r="E188" s="1572"/>
      <c r="F188" s="1672"/>
      <c r="G188" s="1672"/>
      <c r="H188" s="1572"/>
      <c r="I188" s="1581"/>
      <c r="J188" s="1672"/>
      <c r="K188" s="1671">
        <f t="shared" ref="K188:K193" si="18">SUM(E188,H188)</f>
        <v>0</v>
      </c>
      <c r="L188" s="1572"/>
    </row>
    <row r="189" spans="1:14" x14ac:dyDescent="0.2">
      <c r="A189" s="1273" t="s">
        <v>300</v>
      </c>
      <c r="B189" s="503">
        <v>4120</v>
      </c>
      <c r="C189" s="1672"/>
      <c r="D189" s="1672"/>
      <c r="E189" s="1572"/>
      <c r="F189" s="1672"/>
      <c r="G189" s="1672"/>
      <c r="H189" s="1572"/>
      <c r="I189" s="1581"/>
      <c r="J189" s="1672"/>
      <c r="K189" s="1671">
        <f t="shared" si="18"/>
        <v>0</v>
      </c>
      <c r="L189" s="1572"/>
    </row>
    <row r="190" spans="1:14" x14ac:dyDescent="0.2">
      <c r="A190" s="1273" t="s">
        <v>301</v>
      </c>
      <c r="B190" s="512">
        <v>4130</v>
      </c>
      <c r="C190" s="1672"/>
      <c r="D190" s="1672"/>
      <c r="E190" s="1572"/>
      <c r="F190" s="1672"/>
      <c r="G190" s="1672"/>
      <c r="H190" s="1572"/>
      <c r="I190" s="1581"/>
      <c r="J190" s="1672"/>
      <c r="K190" s="1671">
        <f t="shared" si="18"/>
        <v>0</v>
      </c>
      <c r="L190" s="1572"/>
    </row>
    <row r="191" spans="1:14" x14ac:dyDescent="0.2">
      <c r="A191" s="1273" t="s">
        <v>691</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692</v>
      </c>
      <c r="B193" s="512">
        <v>4190</v>
      </c>
      <c r="C193" s="1672"/>
      <c r="D193" s="1672"/>
      <c r="E193" s="1572"/>
      <c r="F193" s="1672"/>
      <c r="G193" s="1672"/>
      <c r="H193" s="1572"/>
      <c r="I193" s="1581"/>
      <c r="J193" s="1672"/>
      <c r="K193" s="1671">
        <f t="shared" si="18"/>
        <v>0</v>
      </c>
      <c r="L193" s="1572"/>
    </row>
    <row r="194" spans="1:14" ht="12.75" customHeight="1" thickBot="1" x14ac:dyDescent="0.25">
      <c r="A194" s="1379" t="s">
        <v>1129</v>
      </c>
      <c r="B194" s="1380" t="s">
        <v>554</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924</v>
      </c>
      <c r="C195" s="1672"/>
      <c r="D195" s="1672"/>
      <c r="E195" s="1694"/>
      <c r="F195" s="1672"/>
      <c r="G195" s="1672"/>
      <c r="H195" s="1694"/>
      <c r="I195" s="1581"/>
      <c r="J195" s="1672"/>
      <c r="K195" s="1695">
        <f>SUM(E195,H195)</f>
        <v>0</v>
      </c>
      <c r="L195" s="1694"/>
    </row>
    <row r="196" spans="1:14" ht="12.75" customHeight="1" thickBot="1" x14ac:dyDescent="0.25">
      <c r="A196" s="1379" t="s">
        <v>1469</v>
      </c>
      <c r="B196" s="1380" t="s">
        <v>854</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933</v>
      </c>
      <c r="B197" s="1346"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1159</v>
      </c>
      <c r="B201" s="512" t="s">
        <v>612</v>
      </c>
      <c r="C201" s="1672"/>
      <c r="D201" s="1672"/>
      <c r="E201" s="1672"/>
      <c r="F201" s="1672"/>
      <c r="G201" s="1672"/>
      <c r="H201" s="1572"/>
      <c r="I201" s="1672"/>
      <c r="J201" s="1672"/>
      <c r="K201" s="1671">
        <f>SUM(H201)</f>
        <v>0</v>
      </c>
      <c r="L201" s="1572"/>
    </row>
    <row r="202" spans="1:14" x14ac:dyDescent="0.2">
      <c r="A202" s="1273" t="s">
        <v>89</v>
      </c>
      <c r="B202" s="503" t="s">
        <v>584</v>
      </c>
      <c r="C202" s="1672"/>
      <c r="D202" s="1672"/>
      <c r="E202" s="1672"/>
      <c r="F202" s="1672"/>
      <c r="G202" s="1672"/>
      <c r="H202" s="1572"/>
      <c r="I202" s="1672"/>
      <c r="J202" s="1672"/>
      <c r="K202" s="1671">
        <f>SUM(H202)</f>
        <v>0</v>
      </c>
      <c r="L202" s="1572"/>
    </row>
    <row r="203" spans="1:14" x14ac:dyDescent="0.2">
      <c r="A203" s="1285" t="s">
        <v>614</v>
      </c>
      <c r="B203" s="503" t="s">
        <v>613</v>
      </c>
      <c r="C203" s="1672"/>
      <c r="D203" s="1672"/>
      <c r="E203" s="1672"/>
      <c r="F203" s="1672"/>
      <c r="G203" s="1672"/>
      <c r="H203" s="1576"/>
      <c r="I203" s="1672"/>
      <c r="J203" s="1672"/>
      <c r="K203" s="1671">
        <f>SUM(H203)</f>
        <v>0</v>
      </c>
      <c r="L203" s="1576"/>
    </row>
    <row r="204" spans="1:14" ht="13.5" thickBot="1" x14ac:dyDescent="0.25">
      <c r="A204" s="1379" t="s">
        <v>273</v>
      </c>
      <c r="B204" s="1380"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1365</v>
      </c>
      <c r="I205" s="1672"/>
      <c r="J205" s="1672"/>
      <c r="K205" s="1695">
        <f>SUM(H205)</f>
        <v>1365</v>
      </c>
      <c r="L205" s="1629"/>
    </row>
    <row r="206" spans="1:14" ht="30" customHeight="1" x14ac:dyDescent="0.2">
      <c r="A206" s="555" t="s">
        <v>1651</v>
      </c>
      <c r="B206" s="546" t="s">
        <v>31</v>
      </c>
      <c r="C206" s="1672"/>
      <c r="D206" s="1672"/>
      <c r="E206" s="1672"/>
      <c r="F206" s="1672"/>
      <c r="G206" s="1672"/>
      <c r="H206" s="1572">
        <v>36385</v>
      </c>
      <c r="I206" s="1672"/>
      <c r="J206" s="1672"/>
      <c r="K206" s="1671">
        <f>SUM(H206)</f>
        <v>36385</v>
      </c>
      <c r="L206" s="1572"/>
    </row>
    <row r="207" spans="1:14" ht="15.75" customHeight="1" x14ac:dyDescent="0.2">
      <c r="A207" s="507" t="s">
        <v>760</v>
      </c>
      <c r="B207" s="546" t="s">
        <v>84</v>
      </c>
      <c r="C207" s="1672"/>
      <c r="D207" s="1672"/>
      <c r="E207" s="1672"/>
      <c r="F207" s="1672"/>
      <c r="G207" s="1672"/>
      <c r="H207" s="1573"/>
      <c r="I207" s="1672"/>
      <c r="J207" s="1672"/>
      <c r="K207" s="1671">
        <f>H207</f>
        <v>0</v>
      </c>
      <c r="L207" s="1572"/>
    </row>
    <row r="208" spans="1:14" ht="12.75" customHeight="1" thickBot="1" x14ac:dyDescent="0.25">
      <c r="A208" s="1388" t="s">
        <v>632</v>
      </c>
      <c r="B208" s="1389" t="s">
        <v>488</v>
      </c>
      <c r="C208" s="1672"/>
      <c r="D208" s="1672"/>
      <c r="E208" s="1672"/>
      <c r="F208" s="1672"/>
      <c r="G208" s="1672"/>
      <c r="H208" s="1680">
        <f>SUM(H204,H205,H206,H207)</f>
        <v>37750</v>
      </c>
      <c r="I208" s="1672"/>
      <c r="J208" s="1672"/>
      <c r="K208" s="1680">
        <f>SUM(K204,K205,K206,K207)</f>
        <v>37750</v>
      </c>
      <c r="L208" s="1680">
        <f>SUM(L204,L205,L206,L207)</f>
        <v>0</v>
      </c>
    </row>
    <row r="209" spans="1:14" ht="15.75" customHeight="1" thickTop="1" thickBot="1" x14ac:dyDescent="0.25">
      <c r="A209" s="1343" t="s">
        <v>866</v>
      </c>
      <c r="B209" s="1350" t="s">
        <v>855</v>
      </c>
      <c r="C209" s="1675"/>
      <c r="D209" s="1675"/>
      <c r="E209" s="1675"/>
      <c r="F209" s="1675"/>
      <c r="G209" s="1675"/>
      <c r="H209" s="1675"/>
      <c r="I209" s="1672"/>
      <c r="J209" s="1672"/>
      <c r="K209" s="1675"/>
      <c r="L209" s="1650"/>
    </row>
    <row r="210" spans="1:14" ht="12.75" customHeight="1" thickTop="1" thickBot="1" x14ac:dyDescent="0.25">
      <c r="A210" s="1393" t="s">
        <v>274</v>
      </c>
      <c r="B210" s="1394"/>
      <c r="C210" s="1673">
        <f>SUM(C184,C185)</f>
        <v>27322</v>
      </c>
      <c r="D210" s="1673">
        <f>SUM(D184,D185)</f>
        <v>9932</v>
      </c>
      <c r="E210" s="1673">
        <f>SUM(E184,E185,E196)</f>
        <v>4035</v>
      </c>
      <c r="F210" s="1673">
        <f>SUM(F184,F185)</f>
        <v>5633</v>
      </c>
      <c r="G210" s="1673">
        <f>SUM(G184,G185)</f>
        <v>176832</v>
      </c>
      <c r="H210" s="1673">
        <f>SUM(H184,H185,H196,H208,H209)</f>
        <v>38250</v>
      </c>
      <c r="I210" s="1673">
        <f>SUM(I184,I185)</f>
        <v>0</v>
      </c>
      <c r="J210" s="1673">
        <f>SUM(J184,J185)</f>
        <v>0</v>
      </c>
      <c r="K210" s="1671">
        <f>SUM(K184,K185,K196,K208,K209)</f>
        <v>262004</v>
      </c>
      <c r="L210" s="1673">
        <f>SUM(L184,L185,L196,L208,L209)</f>
        <v>86575</v>
      </c>
    </row>
    <row r="211" spans="1:14" ht="13.5" thickTop="1" x14ac:dyDescent="0.2">
      <c r="A211" s="2261" t="s">
        <v>988</v>
      </c>
      <c r="B211" s="2262"/>
      <c r="C211" s="1674"/>
      <c r="D211" s="1674"/>
      <c r="E211" s="1674"/>
      <c r="F211" s="1674"/>
      <c r="G211" s="1674"/>
      <c r="H211" s="1674"/>
      <c r="I211" s="1672"/>
      <c r="J211" s="1672"/>
      <c r="K211" s="1688">
        <f>'Revenues 9-14'!F268-'Expenditures 15-22'!K210</f>
        <v>-211478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3" t="s">
        <v>958</v>
      </c>
      <c r="B213" s="2284"/>
      <c r="C213" s="1702"/>
      <c r="D213" s="1703"/>
      <c r="E213" s="1703"/>
      <c r="F213" s="1703"/>
      <c r="G213" s="1703"/>
      <c r="H213" s="1703"/>
      <c r="I213" s="1703"/>
      <c r="J213" s="1703"/>
      <c r="K213" s="1703"/>
      <c r="L213" s="1704"/>
      <c r="M213" s="501"/>
      <c r="N213" s="501"/>
    </row>
    <row r="214" spans="1:14" s="548" customFormat="1" ht="15.75" customHeight="1" x14ac:dyDescent="0.2">
      <c r="A214" s="1360" t="s">
        <v>867</v>
      </c>
      <c r="B214" s="1352" t="s">
        <v>565</v>
      </c>
      <c r="C214" s="1672"/>
      <c r="D214" s="1675"/>
      <c r="E214" s="1672"/>
      <c r="F214" s="1672"/>
      <c r="G214" s="1672"/>
      <c r="H214" s="1672"/>
      <c r="I214" s="1672"/>
      <c r="J214" s="1672"/>
      <c r="K214" s="1675"/>
      <c r="L214" s="1675"/>
      <c r="M214" s="539"/>
      <c r="N214" s="539"/>
    </row>
    <row r="215" spans="1:14" x14ac:dyDescent="0.2">
      <c r="A215" s="1273" t="s">
        <v>954</v>
      </c>
      <c r="B215" s="503">
        <v>1100</v>
      </c>
      <c r="C215" s="1672"/>
      <c r="D215" s="1572">
        <v>19092</v>
      </c>
      <c r="E215" s="1672"/>
      <c r="F215" s="1672"/>
      <c r="G215" s="1672"/>
      <c r="H215" s="1672"/>
      <c r="I215" s="1672"/>
      <c r="J215" s="1672"/>
      <c r="K215" s="1671">
        <f>D215</f>
        <v>19092</v>
      </c>
      <c r="L215" s="1572">
        <v>19478</v>
      </c>
    </row>
    <row r="216" spans="1:14" x14ac:dyDescent="0.2">
      <c r="A216" s="1273" t="s">
        <v>162</v>
      </c>
      <c r="B216" s="503" t="s">
        <v>960</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19826</v>
      </c>
      <c r="E217" s="1672"/>
      <c r="F217" s="1672"/>
      <c r="G217" s="1672"/>
      <c r="H217" s="1672"/>
      <c r="I217" s="1672"/>
      <c r="J217" s="1672"/>
      <c r="K217" s="1671">
        <f t="shared" si="19"/>
        <v>19826</v>
      </c>
      <c r="L217" s="1572">
        <v>19800</v>
      </c>
    </row>
    <row r="218" spans="1:14" x14ac:dyDescent="0.2">
      <c r="A218" s="1273" t="s">
        <v>275</v>
      </c>
      <c r="B218" s="503" t="s">
        <v>961</v>
      </c>
      <c r="C218" s="1672"/>
      <c r="D218" s="1573"/>
      <c r="E218" s="1672"/>
      <c r="F218" s="1672"/>
      <c r="G218" s="1672"/>
      <c r="H218" s="1672"/>
      <c r="I218" s="1672"/>
      <c r="J218" s="1672"/>
      <c r="K218" s="1671">
        <f t="shared" si="19"/>
        <v>0</v>
      </c>
      <c r="L218" s="1572"/>
    </row>
    <row r="219" spans="1:14" x14ac:dyDescent="0.2">
      <c r="A219" s="1273" t="s">
        <v>276</v>
      </c>
      <c r="B219" s="503">
        <v>1250</v>
      </c>
      <c r="C219" s="1672"/>
      <c r="D219" s="1572">
        <v>2154</v>
      </c>
      <c r="E219" s="1672"/>
      <c r="F219" s="1672"/>
      <c r="G219" s="1672"/>
      <c r="H219" s="1672"/>
      <c r="I219" s="1672"/>
      <c r="J219" s="1672"/>
      <c r="K219" s="1671">
        <f t="shared" si="19"/>
        <v>2154</v>
      </c>
      <c r="L219" s="1572">
        <v>2200</v>
      </c>
    </row>
    <row r="220" spans="1:14" x14ac:dyDescent="0.2">
      <c r="A220" s="1273" t="s">
        <v>277</v>
      </c>
      <c r="B220" s="503" t="s">
        <v>160</v>
      </c>
      <c r="C220" s="1672"/>
      <c r="D220" s="1573"/>
      <c r="E220" s="1672"/>
      <c r="F220" s="1672"/>
      <c r="G220" s="1672"/>
      <c r="H220" s="1672"/>
      <c r="I220" s="1672"/>
      <c r="J220" s="1672"/>
      <c r="K220" s="1671">
        <f t="shared" si="19"/>
        <v>0</v>
      </c>
      <c r="L220" s="1572"/>
    </row>
    <row r="221" spans="1:14" x14ac:dyDescent="0.2">
      <c r="A221" s="1273" t="s">
        <v>955</v>
      </c>
      <c r="B221" s="503">
        <v>1300</v>
      </c>
      <c r="C221" s="1672"/>
      <c r="D221" s="1572"/>
      <c r="E221" s="1672"/>
      <c r="F221" s="1672"/>
      <c r="G221" s="1672"/>
      <c r="H221" s="1672"/>
      <c r="I221" s="1672"/>
      <c r="J221" s="1672"/>
      <c r="K221" s="1671">
        <f t="shared" si="19"/>
        <v>0</v>
      </c>
      <c r="L221" s="1572"/>
    </row>
    <row r="222" spans="1:14" x14ac:dyDescent="0.2">
      <c r="A222" s="1273" t="s">
        <v>717</v>
      </c>
      <c r="B222" s="503">
        <v>1400</v>
      </c>
      <c r="C222" s="1672"/>
      <c r="D222" s="1572"/>
      <c r="E222" s="1672"/>
      <c r="F222" s="1672"/>
      <c r="G222" s="1672"/>
      <c r="H222" s="1672"/>
      <c r="I222" s="1672"/>
      <c r="J222" s="1672"/>
      <c r="K222" s="1671">
        <f t="shared" si="19"/>
        <v>0</v>
      </c>
      <c r="L222" s="1572"/>
    </row>
    <row r="223" spans="1:14" x14ac:dyDescent="0.2">
      <c r="A223" s="1273" t="s">
        <v>956</v>
      </c>
      <c r="B223" s="503">
        <v>1500</v>
      </c>
      <c r="C223" s="1672"/>
      <c r="D223" s="1572">
        <v>593</v>
      </c>
      <c r="E223" s="1672"/>
      <c r="F223" s="1672"/>
      <c r="G223" s="1672"/>
      <c r="H223" s="1672"/>
      <c r="I223" s="1672"/>
      <c r="J223" s="1672"/>
      <c r="K223" s="1671">
        <f t="shared" si="19"/>
        <v>593</v>
      </c>
      <c r="L223" s="1572">
        <v>620</v>
      </c>
    </row>
    <row r="224" spans="1:14" x14ac:dyDescent="0.2">
      <c r="A224" s="1273" t="s">
        <v>957</v>
      </c>
      <c r="B224" s="503">
        <v>1600</v>
      </c>
      <c r="C224" s="1672"/>
      <c r="D224" s="1572"/>
      <c r="E224" s="1672"/>
      <c r="F224" s="1672"/>
      <c r="G224" s="1672"/>
      <c r="H224" s="1672"/>
      <c r="I224" s="1672"/>
      <c r="J224" s="1672"/>
      <c r="K224" s="1671">
        <f t="shared" si="19"/>
        <v>0</v>
      </c>
      <c r="L224" s="1572"/>
    </row>
    <row r="225" spans="1:12" x14ac:dyDescent="0.2">
      <c r="A225" s="1273" t="s">
        <v>979</v>
      </c>
      <c r="B225" s="503">
        <v>1650</v>
      </c>
      <c r="C225" s="1672"/>
      <c r="D225" s="1572"/>
      <c r="E225" s="1672"/>
      <c r="F225" s="1672"/>
      <c r="G225" s="1672"/>
      <c r="H225" s="1672"/>
      <c r="I225" s="1672"/>
      <c r="J225" s="1672"/>
      <c r="K225" s="1671">
        <f t="shared" si="19"/>
        <v>0</v>
      </c>
      <c r="L225" s="1572"/>
    </row>
    <row r="226" spans="1:12" x14ac:dyDescent="0.2">
      <c r="A226" s="1273" t="s">
        <v>718</v>
      </c>
      <c r="B226" s="503" t="s">
        <v>161</v>
      </c>
      <c r="C226" s="1672"/>
      <c r="D226" s="1573"/>
      <c r="E226" s="1672"/>
      <c r="F226" s="1672"/>
      <c r="G226" s="1672"/>
      <c r="H226" s="1672"/>
      <c r="I226" s="1672"/>
      <c r="J226" s="1672"/>
      <c r="K226" s="1671">
        <f t="shared" si="19"/>
        <v>0</v>
      </c>
      <c r="L226" s="1572"/>
    </row>
    <row r="227" spans="1:12" x14ac:dyDescent="0.2">
      <c r="A227" s="1273" t="s">
        <v>1077</v>
      </c>
      <c r="B227" s="503">
        <v>1800</v>
      </c>
      <c r="C227" s="1672"/>
      <c r="D227" s="1572"/>
      <c r="E227" s="1672"/>
      <c r="F227" s="1672"/>
      <c r="G227" s="1672"/>
      <c r="H227" s="1672"/>
      <c r="I227" s="1672"/>
      <c r="J227" s="1672"/>
      <c r="K227" s="1671">
        <f t="shared" si="19"/>
        <v>0</v>
      </c>
      <c r="L227" s="1572"/>
    </row>
    <row r="228" spans="1:12" x14ac:dyDescent="0.2">
      <c r="A228" s="1273" t="s">
        <v>1078</v>
      </c>
      <c r="B228" s="503">
        <v>1900</v>
      </c>
      <c r="C228" s="1672"/>
      <c r="D228" s="1572"/>
      <c r="E228" s="1672"/>
      <c r="F228" s="1672"/>
      <c r="G228" s="1672"/>
      <c r="H228" s="1672"/>
      <c r="I228" s="1672"/>
      <c r="J228" s="1672"/>
      <c r="K228" s="1671">
        <f t="shared" si="19"/>
        <v>0</v>
      </c>
      <c r="L228" s="1572"/>
    </row>
    <row r="229" spans="1:12" ht="12.75" customHeight="1" thickBot="1" x14ac:dyDescent="0.25">
      <c r="A229" s="1379" t="s">
        <v>709</v>
      </c>
      <c r="B229" s="1382" t="s">
        <v>565</v>
      </c>
      <c r="C229" s="1672"/>
      <c r="D229" s="1673">
        <f>SUM(D215:D228)</f>
        <v>41665</v>
      </c>
      <c r="E229" s="1672"/>
      <c r="F229" s="1672"/>
      <c r="G229" s="1672"/>
      <c r="H229" s="1672"/>
      <c r="I229" s="1672"/>
      <c r="J229" s="1672"/>
      <c r="K229" s="1673">
        <f>SUM(K215:K228)</f>
        <v>41665</v>
      </c>
      <c r="L229" s="1673">
        <f>SUM(L215:L228)</f>
        <v>42098</v>
      </c>
    </row>
    <row r="230" spans="1:12" ht="15.75" customHeight="1" thickTop="1" x14ac:dyDescent="0.2">
      <c r="A230" s="1349" t="s">
        <v>868</v>
      </c>
      <c r="B230" s="1350"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3" t="s">
        <v>1079</v>
      </c>
      <c r="B232" s="503">
        <v>2110</v>
      </c>
      <c r="C232" s="1672"/>
      <c r="D232" s="1572">
        <v>6033</v>
      </c>
      <c r="E232" s="1672"/>
      <c r="F232" s="1672"/>
      <c r="G232" s="1672"/>
      <c r="H232" s="1672"/>
      <c r="I232" s="1672"/>
      <c r="J232" s="1672"/>
      <c r="K232" s="1671">
        <f t="shared" ref="K232:K237" si="20">D232</f>
        <v>6033</v>
      </c>
      <c r="L232" s="1572">
        <v>6080</v>
      </c>
    </row>
    <row r="233" spans="1:12" x14ac:dyDescent="0.2">
      <c r="A233" s="1273" t="s">
        <v>1080</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5894</v>
      </c>
      <c r="E234" s="1672"/>
      <c r="F234" s="1672"/>
      <c r="G234" s="1672"/>
      <c r="H234" s="1672"/>
      <c r="I234" s="1672"/>
      <c r="J234" s="1672"/>
      <c r="K234" s="1671">
        <f t="shared" si="20"/>
        <v>5894</v>
      </c>
      <c r="L234" s="1572">
        <v>5870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555</v>
      </c>
      <c r="B238" s="1382" t="s">
        <v>710</v>
      </c>
      <c r="C238" s="1672"/>
      <c r="D238" s="1673">
        <f>SUM(D232:D237)</f>
        <v>11927</v>
      </c>
      <c r="E238" s="1672"/>
      <c r="F238" s="1672"/>
      <c r="G238" s="1672"/>
      <c r="H238" s="1672"/>
      <c r="I238" s="1672"/>
      <c r="J238" s="1672"/>
      <c r="K238" s="1673">
        <f>SUM(K232:K237)</f>
        <v>11927</v>
      </c>
      <c r="L238" s="1673">
        <f>SUM(L232:L237)</f>
        <v>11950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3" t="s">
        <v>808</v>
      </c>
      <c r="B240" s="503">
        <v>2210</v>
      </c>
      <c r="C240" s="1672"/>
      <c r="D240" s="1585">
        <v>15</v>
      </c>
      <c r="E240" s="1672"/>
      <c r="F240" s="1672"/>
      <c r="G240" s="1672"/>
      <c r="H240" s="1672"/>
      <c r="I240" s="1672"/>
      <c r="J240" s="1672"/>
      <c r="K240" s="1677">
        <f>D240</f>
        <v>15</v>
      </c>
      <c r="L240" s="1585">
        <v>15</v>
      </c>
    </row>
    <row r="241" spans="1:12" x14ac:dyDescent="0.2">
      <c r="A241" s="1273" t="s">
        <v>809</v>
      </c>
      <c r="B241" s="503">
        <v>2220</v>
      </c>
      <c r="C241" s="1672"/>
      <c r="D241" s="1572">
        <v>413</v>
      </c>
      <c r="E241" s="1672"/>
      <c r="F241" s="1672"/>
      <c r="G241" s="1672"/>
      <c r="H241" s="1672"/>
      <c r="I241" s="1672"/>
      <c r="J241" s="1672"/>
      <c r="K241" s="1677">
        <f>D241</f>
        <v>413</v>
      </c>
      <c r="L241" s="1572">
        <v>420</v>
      </c>
    </row>
    <row r="242" spans="1:12" x14ac:dyDescent="0.2">
      <c r="A242" s="1273" t="s">
        <v>810</v>
      </c>
      <c r="B242" s="503">
        <v>2230</v>
      </c>
      <c r="C242" s="1672"/>
      <c r="D242" s="1572"/>
      <c r="E242" s="1672"/>
      <c r="F242" s="1672"/>
      <c r="G242" s="1672"/>
      <c r="H242" s="1672"/>
      <c r="I242" s="1672"/>
      <c r="J242" s="1672"/>
      <c r="K242" s="1677">
        <f>D242</f>
        <v>0</v>
      </c>
      <c r="L242" s="1572"/>
    </row>
    <row r="243" spans="1:12" ht="12.75" customHeight="1" thickBot="1" x14ac:dyDescent="0.25">
      <c r="A243" s="1395" t="s">
        <v>556</v>
      </c>
      <c r="B243" s="1396">
        <v>2200</v>
      </c>
      <c r="C243" s="1672"/>
      <c r="D243" s="1673">
        <f>SUM(D240:D242)</f>
        <v>428</v>
      </c>
      <c r="E243" s="1672"/>
      <c r="F243" s="1672"/>
      <c r="G243" s="1672"/>
      <c r="H243" s="1672"/>
      <c r="I243" s="1672"/>
      <c r="J243" s="1672"/>
      <c r="K243" s="1673">
        <f>SUM(K240:K242)</f>
        <v>428</v>
      </c>
      <c r="L243" s="1673">
        <f>SUM(L240:L242)</f>
        <v>435</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3" t="s">
        <v>811</v>
      </c>
      <c r="B245" s="503">
        <v>2310</v>
      </c>
      <c r="C245" s="1672"/>
      <c r="D245" s="1585">
        <v>327</v>
      </c>
      <c r="E245" s="1672"/>
      <c r="F245" s="1672"/>
      <c r="G245" s="1672"/>
      <c r="H245" s="1672"/>
      <c r="I245" s="1672"/>
      <c r="J245" s="1672"/>
      <c r="K245" s="1677">
        <f>D245</f>
        <v>327</v>
      </c>
      <c r="L245" s="1585">
        <v>352</v>
      </c>
    </row>
    <row r="246" spans="1:12" x14ac:dyDescent="0.2">
      <c r="A246" s="1273" t="s">
        <v>812</v>
      </c>
      <c r="B246" s="503">
        <v>2320</v>
      </c>
      <c r="C246" s="1672"/>
      <c r="D246" s="1572">
        <v>1710</v>
      </c>
      <c r="E246" s="1672"/>
      <c r="F246" s="1672"/>
      <c r="G246" s="1672"/>
      <c r="H246" s="1672"/>
      <c r="I246" s="1672"/>
      <c r="J246" s="1672"/>
      <c r="K246" s="1677">
        <f t="shared" ref="K246:K256" si="21">D246</f>
        <v>1710</v>
      </c>
      <c r="L246" s="1572">
        <v>1700</v>
      </c>
    </row>
    <row r="247" spans="1:12" x14ac:dyDescent="0.2">
      <c r="A247" s="1273" t="s">
        <v>813</v>
      </c>
      <c r="B247" s="503">
        <v>2330</v>
      </c>
      <c r="C247" s="1672"/>
      <c r="D247" s="1572">
        <v>59</v>
      </c>
      <c r="E247" s="1672"/>
      <c r="F247" s="1672"/>
      <c r="G247" s="1672"/>
      <c r="H247" s="1672"/>
      <c r="I247" s="1672"/>
      <c r="J247" s="1672"/>
      <c r="K247" s="1677">
        <f t="shared" si="21"/>
        <v>59</v>
      </c>
      <c r="L247" s="1572">
        <v>60</v>
      </c>
    </row>
    <row r="248" spans="1:12" x14ac:dyDescent="0.2">
      <c r="A248" s="1274" t="s">
        <v>295</v>
      </c>
      <c r="B248" s="494" t="s">
        <v>278</v>
      </c>
      <c r="C248" s="1672"/>
      <c r="D248" s="1578"/>
      <c r="E248" s="1672"/>
      <c r="F248" s="1672"/>
      <c r="G248" s="1672"/>
      <c r="H248" s="1672"/>
      <c r="I248" s="1672"/>
      <c r="J248" s="1672"/>
      <c r="K248" s="1677">
        <f t="shared" si="21"/>
        <v>0</v>
      </c>
      <c r="L248" s="1572"/>
    </row>
    <row r="249" spans="1:12" x14ac:dyDescent="0.2">
      <c r="A249" s="1275" t="s">
        <v>1781</v>
      </c>
      <c r="B249" s="557" t="s">
        <v>279</v>
      </c>
      <c r="C249" s="1672"/>
      <c r="D249" s="1578"/>
      <c r="E249" s="1672"/>
      <c r="F249" s="1672"/>
      <c r="G249" s="1672"/>
      <c r="H249" s="1672"/>
      <c r="I249" s="1672"/>
      <c r="J249" s="1672"/>
      <c r="K249" s="1677">
        <f t="shared" si="21"/>
        <v>0</v>
      </c>
      <c r="L249" s="1572"/>
    </row>
    <row r="250" spans="1:12" x14ac:dyDescent="0.2">
      <c r="A250" s="1274" t="s">
        <v>1782</v>
      </c>
      <c r="B250" s="494" t="s">
        <v>280</v>
      </c>
      <c r="C250" s="1672"/>
      <c r="D250" s="1578"/>
      <c r="E250" s="1672"/>
      <c r="F250" s="1672"/>
      <c r="G250" s="1672"/>
      <c r="H250" s="1672"/>
      <c r="I250" s="1672"/>
      <c r="J250" s="1672"/>
      <c r="K250" s="1677">
        <f t="shared" si="21"/>
        <v>0</v>
      </c>
      <c r="L250" s="1572"/>
    </row>
    <row r="251" spans="1:12" x14ac:dyDescent="0.2">
      <c r="A251" s="1274" t="s">
        <v>236</v>
      </c>
      <c r="B251" s="494" t="s">
        <v>281</v>
      </c>
      <c r="C251" s="1672"/>
      <c r="D251" s="1578"/>
      <c r="E251" s="1672"/>
      <c r="F251" s="1672"/>
      <c r="G251" s="1672"/>
      <c r="H251" s="1672"/>
      <c r="I251" s="1672"/>
      <c r="J251" s="1672"/>
      <c r="K251" s="1677">
        <f t="shared" si="21"/>
        <v>0</v>
      </c>
      <c r="L251" s="1572"/>
    </row>
    <row r="252" spans="1:12" x14ac:dyDescent="0.2">
      <c r="A252" s="1274" t="s">
        <v>696</v>
      </c>
      <c r="B252" s="494" t="s">
        <v>282</v>
      </c>
      <c r="C252" s="1672"/>
      <c r="D252" s="1578"/>
      <c r="E252" s="1672"/>
      <c r="F252" s="1672"/>
      <c r="G252" s="1672"/>
      <c r="H252" s="1672"/>
      <c r="I252" s="1672"/>
      <c r="J252" s="1672"/>
      <c r="K252" s="1677">
        <f t="shared" si="21"/>
        <v>0</v>
      </c>
      <c r="L252" s="1572"/>
    </row>
    <row r="253" spans="1:12" x14ac:dyDescent="0.2">
      <c r="A253" s="1274" t="s">
        <v>237</v>
      </c>
      <c r="B253" s="494" t="s">
        <v>283</v>
      </c>
      <c r="C253" s="1672"/>
      <c r="D253" s="1578"/>
      <c r="E253" s="1672"/>
      <c r="F253" s="1672"/>
      <c r="G253" s="1672"/>
      <c r="H253" s="1672"/>
      <c r="I253" s="1672"/>
      <c r="J253" s="1672"/>
      <c r="K253" s="1677">
        <f t="shared" si="21"/>
        <v>0</v>
      </c>
      <c r="L253" s="1572"/>
    </row>
    <row r="254" spans="1:12" ht="22.5" x14ac:dyDescent="0.2">
      <c r="A254" s="1274" t="s">
        <v>1021</v>
      </c>
      <c r="B254" s="557" t="s">
        <v>284</v>
      </c>
      <c r="C254" s="1672"/>
      <c r="D254" s="1578"/>
      <c r="E254" s="1672"/>
      <c r="F254" s="1672"/>
      <c r="G254" s="1672"/>
      <c r="H254" s="1672"/>
      <c r="I254" s="1672"/>
      <c r="J254" s="1672"/>
      <c r="K254" s="1677">
        <f t="shared" si="21"/>
        <v>0</v>
      </c>
      <c r="L254" s="1572"/>
    </row>
    <row r="255" spans="1:12" x14ac:dyDescent="0.2">
      <c r="A255" s="1274" t="s">
        <v>1022</v>
      </c>
      <c r="B255" s="494" t="s">
        <v>285</v>
      </c>
      <c r="C255" s="1672"/>
      <c r="D255" s="1578"/>
      <c r="E255" s="1672"/>
      <c r="F255" s="1672"/>
      <c r="G255" s="1672"/>
      <c r="H255" s="1672"/>
      <c r="I255" s="1672"/>
      <c r="J255" s="1672"/>
      <c r="K255" s="1677">
        <f t="shared" si="21"/>
        <v>0</v>
      </c>
      <c r="L255" s="1572"/>
    </row>
    <row r="256" spans="1:12" x14ac:dyDescent="0.2">
      <c r="A256" s="1274" t="s">
        <v>964</v>
      </c>
      <c r="B256" s="503" t="s">
        <v>286</v>
      </c>
      <c r="C256" s="1672"/>
      <c r="D256" s="1578"/>
      <c r="E256" s="1672"/>
      <c r="F256" s="1672"/>
      <c r="G256" s="1672"/>
      <c r="H256" s="1672"/>
      <c r="I256" s="1672"/>
      <c r="J256" s="1672"/>
      <c r="K256" s="1677">
        <f t="shared" si="21"/>
        <v>0</v>
      </c>
      <c r="L256" s="1572"/>
    </row>
    <row r="257" spans="1:14" ht="12.75" customHeight="1" thickBot="1" x14ac:dyDescent="0.25">
      <c r="A257" s="1379" t="s">
        <v>711</v>
      </c>
      <c r="B257" s="1397">
        <v>2300</v>
      </c>
      <c r="C257" s="1672"/>
      <c r="D257" s="1673">
        <f>SUM(D245:D256)</f>
        <v>2096</v>
      </c>
      <c r="E257" s="1672"/>
      <c r="F257" s="1672"/>
      <c r="G257" s="1672"/>
      <c r="H257" s="1672"/>
      <c r="I257" s="1672"/>
      <c r="J257" s="1672"/>
      <c r="K257" s="1673">
        <f>SUM(K245:K256)</f>
        <v>2096</v>
      </c>
      <c r="L257" s="1673">
        <f>SUM(L245:L256)</f>
        <v>2112</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3" t="s">
        <v>1057</v>
      </c>
      <c r="B259" s="559">
        <v>2410</v>
      </c>
      <c r="C259" s="1672"/>
      <c r="D259" s="1585"/>
      <c r="E259" s="1672"/>
      <c r="F259" s="1672"/>
      <c r="G259" s="1672"/>
      <c r="H259" s="1672"/>
      <c r="I259" s="1672"/>
      <c r="J259" s="1672"/>
      <c r="K259" s="1677">
        <f>D259</f>
        <v>0</v>
      </c>
      <c r="L259" s="1585"/>
    </row>
    <row r="260" spans="1:14" s="493" customFormat="1" x14ac:dyDescent="0.2">
      <c r="A260" s="1291" t="s">
        <v>1780</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0</v>
      </c>
      <c r="E261" s="1672"/>
      <c r="F261" s="1672"/>
      <c r="G261" s="1672"/>
      <c r="H261" s="1672"/>
      <c r="I261" s="1672"/>
      <c r="J261" s="1672"/>
      <c r="K261" s="1673">
        <f>SUM(K259:K260)</f>
        <v>0</v>
      </c>
      <c r="L261" s="1673">
        <f>SUM(L259:L260)</f>
        <v>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3" t="s">
        <v>1058</v>
      </c>
      <c r="B263" s="559">
        <v>2510</v>
      </c>
      <c r="C263" s="1672"/>
      <c r="D263" s="1572"/>
      <c r="E263" s="1672"/>
      <c r="F263" s="1672"/>
      <c r="G263" s="1672"/>
      <c r="H263" s="1672"/>
      <c r="I263" s="1672"/>
      <c r="J263" s="1672"/>
      <c r="K263" s="1677">
        <f>D263</f>
        <v>0</v>
      </c>
      <c r="L263" s="1585"/>
    </row>
    <row r="264" spans="1:14" x14ac:dyDescent="0.2">
      <c r="A264" s="1273" t="s">
        <v>459</v>
      </c>
      <c r="B264" s="559">
        <v>2520</v>
      </c>
      <c r="C264" s="1672"/>
      <c r="D264" s="1572">
        <v>10897</v>
      </c>
      <c r="E264" s="1672"/>
      <c r="F264" s="1672"/>
      <c r="G264" s="1672"/>
      <c r="H264" s="1672"/>
      <c r="I264" s="1672"/>
      <c r="J264" s="1672"/>
      <c r="K264" s="1677">
        <f t="shared" ref="K264:K269" si="22">D264</f>
        <v>10897</v>
      </c>
      <c r="L264" s="1572">
        <v>10925</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14823</v>
      </c>
      <c r="E266" s="1672"/>
      <c r="F266" s="1672"/>
      <c r="G266" s="1672"/>
      <c r="H266" s="1672"/>
      <c r="I266" s="1672"/>
      <c r="J266" s="1672"/>
      <c r="K266" s="1677">
        <f t="shared" si="22"/>
        <v>14823</v>
      </c>
      <c r="L266" s="1572">
        <v>14950</v>
      </c>
    </row>
    <row r="267" spans="1:14" x14ac:dyDescent="0.2">
      <c r="A267" s="1273" t="s">
        <v>946</v>
      </c>
      <c r="B267" s="503">
        <v>2550</v>
      </c>
      <c r="C267" s="1672"/>
      <c r="D267" s="1572">
        <v>4960</v>
      </c>
      <c r="E267" s="1672"/>
      <c r="F267" s="1672"/>
      <c r="G267" s="1672"/>
      <c r="H267" s="1672"/>
      <c r="I267" s="1672"/>
      <c r="J267" s="1672"/>
      <c r="K267" s="1677">
        <f t="shared" si="22"/>
        <v>4960</v>
      </c>
      <c r="L267" s="1572">
        <v>5195</v>
      </c>
    </row>
    <row r="268" spans="1:14" x14ac:dyDescent="0.2">
      <c r="A268" s="1273" t="s">
        <v>100</v>
      </c>
      <c r="B268" s="503">
        <v>2560</v>
      </c>
      <c r="C268" s="1672"/>
      <c r="D268" s="1572">
        <v>6895</v>
      </c>
      <c r="E268" s="1672"/>
      <c r="F268" s="1672"/>
      <c r="G268" s="1672"/>
      <c r="H268" s="1672"/>
      <c r="I268" s="1672"/>
      <c r="J268" s="1672"/>
      <c r="K268" s="1677">
        <f t="shared" si="22"/>
        <v>6895</v>
      </c>
      <c r="L268" s="1572">
        <v>11255</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713</v>
      </c>
      <c r="B270" s="1382" t="s">
        <v>35</v>
      </c>
      <c r="C270" s="1672"/>
      <c r="D270" s="1673">
        <f>SUM(D263:D269)</f>
        <v>37575</v>
      </c>
      <c r="E270" s="1672"/>
      <c r="F270" s="1672"/>
      <c r="G270" s="1672"/>
      <c r="H270" s="1672"/>
      <c r="I270" s="1672"/>
      <c r="J270" s="1672"/>
      <c r="K270" s="1673">
        <f>SUM(K263:K269)</f>
        <v>37575</v>
      </c>
      <c r="L270" s="1673">
        <f>SUM(L263:L269)</f>
        <v>42325</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3" t="s">
        <v>1050</v>
      </c>
      <c r="B272" s="503">
        <v>2610</v>
      </c>
      <c r="C272" s="1672"/>
      <c r="D272" s="1585"/>
      <c r="E272" s="1672"/>
      <c r="F272" s="1672"/>
      <c r="G272" s="1672"/>
      <c r="H272" s="1672"/>
      <c r="I272" s="1672"/>
      <c r="J272" s="1672"/>
      <c r="K272" s="1677">
        <f>D272</f>
        <v>0</v>
      </c>
      <c r="L272" s="1585"/>
    </row>
    <row r="273" spans="1:12" x14ac:dyDescent="0.2">
      <c r="A273" s="1273" t="s">
        <v>602</v>
      </c>
      <c r="B273" s="512">
        <v>2620</v>
      </c>
      <c r="C273" s="1672"/>
      <c r="D273" s="1572"/>
      <c r="E273" s="1672"/>
      <c r="F273" s="1672"/>
      <c r="G273" s="1672"/>
      <c r="H273" s="1672"/>
      <c r="I273" s="1672"/>
      <c r="J273" s="1672"/>
      <c r="K273" s="1677">
        <f>D273</f>
        <v>0</v>
      </c>
      <c r="L273" s="1572"/>
    </row>
    <row r="274" spans="1:12" ht="12" customHeight="1" x14ac:dyDescent="0.2">
      <c r="A274" s="1273" t="s">
        <v>1051</v>
      </c>
      <c r="B274" s="503">
        <v>2630</v>
      </c>
      <c r="C274" s="1672"/>
      <c r="D274" s="1572"/>
      <c r="E274" s="1672"/>
      <c r="F274" s="1672"/>
      <c r="G274" s="1672"/>
      <c r="H274" s="1672"/>
      <c r="I274" s="1672"/>
      <c r="J274" s="1672"/>
      <c r="K274" s="1677">
        <f>D274</f>
        <v>0</v>
      </c>
      <c r="L274" s="1572"/>
    </row>
    <row r="275" spans="1:12" x14ac:dyDescent="0.2">
      <c r="A275" s="1273" t="s">
        <v>399</v>
      </c>
      <c r="B275" s="503">
        <v>2640</v>
      </c>
      <c r="C275" s="1672"/>
      <c r="D275" s="1572"/>
      <c r="E275" s="1672"/>
      <c r="F275" s="1672"/>
      <c r="G275" s="1672"/>
      <c r="H275" s="1672"/>
      <c r="I275" s="1672"/>
      <c r="J275" s="1672"/>
      <c r="K275" s="1677">
        <f>D275</f>
        <v>0</v>
      </c>
      <c r="L275" s="1572"/>
    </row>
    <row r="276" spans="1:12" x14ac:dyDescent="0.2">
      <c r="A276" s="1273" t="s">
        <v>400</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972</v>
      </c>
      <c r="B278" s="531" t="s">
        <v>569</v>
      </c>
      <c r="C278" s="1672"/>
      <c r="D278" s="1694">
        <v>396</v>
      </c>
      <c r="E278" s="1672"/>
      <c r="F278" s="1672"/>
      <c r="G278" s="1672"/>
      <c r="H278" s="1672"/>
      <c r="I278" s="1672"/>
      <c r="J278" s="1672"/>
      <c r="K278" s="1695">
        <f>D278</f>
        <v>396</v>
      </c>
      <c r="L278" s="1694">
        <v>430</v>
      </c>
    </row>
    <row r="279" spans="1:12" ht="12.75" customHeight="1" thickBot="1" x14ac:dyDescent="0.25">
      <c r="A279" s="1399" t="s">
        <v>805</v>
      </c>
      <c r="B279" s="1386">
        <v>2000</v>
      </c>
      <c r="C279" s="1672"/>
      <c r="D279" s="1680">
        <f>SUM(D238,D243,D257,D261,D270,D277,D278)</f>
        <v>52422</v>
      </c>
      <c r="E279" s="1672"/>
      <c r="F279" s="1672"/>
      <c r="G279" s="1672"/>
      <c r="H279" s="1672"/>
      <c r="I279" s="1672"/>
      <c r="J279" s="1672"/>
      <c r="K279" s="1680">
        <f>SUM(K238,K243,K257,K261,K270,K277,K278)</f>
        <v>52422</v>
      </c>
      <c r="L279" s="1680">
        <f>SUM(L238,L243,L257,L261,L270,L277,L278)</f>
        <v>57252</v>
      </c>
    </row>
    <row r="280" spans="1:12" ht="15.75" customHeight="1" thickTop="1" thickBot="1" x14ac:dyDescent="0.25">
      <c r="A280" s="1361" t="s">
        <v>869</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854</v>
      </c>
      <c r="C281" s="1672"/>
      <c r="D281" s="1644"/>
      <c r="E281" s="1672"/>
      <c r="F281" s="1672"/>
      <c r="G281" s="1672"/>
      <c r="H281" s="1672"/>
      <c r="I281" s="1672"/>
      <c r="J281" s="1672"/>
      <c r="K281" s="1672"/>
      <c r="L281" s="1672"/>
    </row>
    <row r="282" spans="1:12" ht="15.75" customHeight="1" x14ac:dyDescent="0.2">
      <c r="A282" s="1465" t="s">
        <v>492</v>
      </c>
      <c r="B282" s="562" t="s">
        <v>1815</v>
      </c>
      <c r="C282" s="1672"/>
      <c r="D282" s="1573"/>
      <c r="E282" s="1672"/>
      <c r="F282" s="1672"/>
      <c r="G282" s="1672"/>
      <c r="H282" s="1672"/>
      <c r="I282" s="1672"/>
      <c r="J282" s="1672"/>
      <c r="K282" s="1671">
        <f>D282</f>
        <v>0</v>
      </c>
      <c r="L282" s="1573"/>
    </row>
    <row r="283" spans="1:12" x14ac:dyDescent="0.2">
      <c r="A283" s="1273" t="s">
        <v>300</v>
      </c>
      <c r="B283" s="503">
        <v>4120</v>
      </c>
      <c r="C283" s="1672"/>
      <c r="D283" s="1572"/>
      <c r="E283" s="1672"/>
      <c r="F283" s="1672"/>
      <c r="G283" s="1672"/>
      <c r="H283" s="1672"/>
      <c r="I283" s="1672"/>
      <c r="J283" s="1672"/>
      <c r="K283" s="1671">
        <f>D283</f>
        <v>0</v>
      </c>
      <c r="L283" s="1572"/>
    </row>
    <row r="284" spans="1:12" x14ac:dyDescent="0.2">
      <c r="A284" s="1273" t="s">
        <v>691</v>
      </c>
      <c r="B284" s="503">
        <v>4140</v>
      </c>
      <c r="C284" s="1672"/>
      <c r="D284" s="1573"/>
      <c r="E284" s="1672"/>
      <c r="F284" s="1672"/>
      <c r="G284" s="1672"/>
      <c r="H284" s="1672"/>
      <c r="I284" s="1672"/>
      <c r="J284" s="1672"/>
      <c r="K284" s="1671">
        <f>D284</f>
        <v>0</v>
      </c>
      <c r="L284" s="1572"/>
    </row>
    <row r="285" spans="1:12" ht="12.75" customHeight="1" thickBot="1" x14ac:dyDescent="0.25">
      <c r="A285" s="1379" t="s">
        <v>1469</v>
      </c>
      <c r="B285" s="1380"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870</v>
      </c>
      <c r="B286" s="1346"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1159</v>
      </c>
      <c r="B290" s="512" t="s">
        <v>612</v>
      </c>
      <c r="C290" s="1672"/>
      <c r="D290" s="1672"/>
      <c r="E290" s="1672"/>
      <c r="F290" s="1672"/>
      <c r="G290" s="1672"/>
      <c r="H290" s="1572"/>
      <c r="I290" s="1672"/>
      <c r="J290" s="1672"/>
      <c r="K290" s="1671">
        <f>H290</f>
        <v>0</v>
      </c>
      <c r="L290" s="1572"/>
    </row>
    <row r="291" spans="1:14" x14ac:dyDescent="0.2">
      <c r="A291" s="1273" t="s">
        <v>89</v>
      </c>
      <c r="B291" s="503" t="s">
        <v>584</v>
      </c>
      <c r="C291" s="1672"/>
      <c r="D291" s="1672"/>
      <c r="E291" s="1672"/>
      <c r="F291" s="1672"/>
      <c r="G291" s="1672"/>
      <c r="H291" s="1572"/>
      <c r="I291" s="1672"/>
      <c r="J291" s="1672"/>
      <c r="K291" s="1671">
        <f>H291</f>
        <v>0</v>
      </c>
      <c r="L291" s="1572"/>
    </row>
    <row r="292" spans="1:14" x14ac:dyDescent="0.2">
      <c r="A292" s="1273" t="s">
        <v>756</v>
      </c>
      <c r="B292" s="503" t="s">
        <v>613</v>
      </c>
      <c r="C292" s="1672"/>
      <c r="D292" s="1672"/>
      <c r="E292" s="1672"/>
      <c r="F292" s="1672"/>
      <c r="G292" s="1672"/>
      <c r="H292" s="1572"/>
      <c r="I292" s="1672"/>
      <c r="J292" s="1672"/>
      <c r="K292" s="1671">
        <f>H292</f>
        <v>0</v>
      </c>
      <c r="L292" s="1572"/>
    </row>
    <row r="293" spans="1:14" ht="12.75" customHeight="1" thickBot="1" x14ac:dyDescent="0.25">
      <c r="A293" s="1379" t="s">
        <v>480</v>
      </c>
      <c r="B293" s="1380"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871</v>
      </c>
      <c r="B294" s="1350" t="s">
        <v>855</v>
      </c>
      <c r="C294" s="1672"/>
      <c r="D294" s="1675"/>
      <c r="E294" s="1672"/>
      <c r="F294" s="1672"/>
      <c r="G294" s="1672"/>
      <c r="H294" s="1705"/>
      <c r="I294" s="1672"/>
      <c r="J294" s="1672"/>
      <c r="K294" s="1705"/>
      <c r="L294" s="1652"/>
    </row>
    <row r="295" spans="1:14" ht="12.75" customHeight="1" thickTop="1" thickBot="1" x14ac:dyDescent="0.25">
      <c r="A295" s="2279" t="s">
        <v>501</v>
      </c>
      <c r="B295" s="2280"/>
      <c r="C295" s="1672"/>
      <c r="D295" s="1673">
        <f>SUM(D229,D279,D280,D285)</f>
        <v>94087</v>
      </c>
      <c r="E295" s="1672"/>
      <c r="F295" s="1672"/>
      <c r="G295" s="1672"/>
      <c r="H295" s="1673">
        <f>H293</f>
        <v>0</v>
      </c>
      <c r="I295" s="1672"/>
      <c r="J295" s="1672"/>
      <c r="K295" s="1673">
        <f>SUM(K229,K279,K280,K285,K293,K294)</f>
        <v>94087</v>
      </c>
      <c r="L295" s="1673">
        <f>SUM(L229,L279,L280,L285,L293,L294)</f>
        <v>99350</v>
      </c>
    </row>
    <row r="296" spans="1:14" ht="13.5" thickTop="1" x14ac:dyDescent="0.2">
      <c r="A296" s="2261" t="s">
        <v>988</v>
      </c>
      <c r="B296" s="2262"/>
      <c r="C296" s="1672"/>
      <c r="D296" s="1674"/>
      <c r="E296" s="1672"/>
      <c r="F296" s="1672"/>
      <c r="G296" s="1672"/>
      <c r="H296" s="1706"/>
      <c r="I296" s="1672"/>
      <c r="J296" s="1672"/>
      <c r="K296" s="1688">
        <f>'Revenues 9-14'!G268-'Expenditures 15-22'!K295</f>
        <v>-12080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1" t="s">
        <v>142</v>
      </c>
      <c r="B298" s="2265"/>
      <c r="C298" s="1702"/>
      <c r="D298" s="1703"/>
      <c r="E298" s="1703"/>
      <c r="F298" s="1703"/>
      <c r="G298" s="1703"/>
      <c r="H298" s="1703"/>
      <c r="I298" s="1703"/>
      <c r="J298" s="1703"/>
      <c r="K298" s="1703"/>
      <c r="L298" s="1704"/>
    </row>
    <row r="299" spans="1:14" ht="15.75" customHeight="1" x14ac:dyDescent="0.2">
      <c r="A299" s="1349" t="s">
        <v>143</v>
      </c>
      <c r="B299" s="1352"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6" t="s">
        <v>603</v>
      </c>
      <c r="B301" s="561">
        <v>2530</v>
      </c>
      <c r="C301" s="1572"/>
      <c r="D301" s="1572"/>
      <c r="E301" s="1572"/>
      <c r="F301" s="1572"/>
      <c r="G301" s="1572"/>
      <c r="H301" s="1572"/>
      <c r="I301" s="1573"/>
      <c r="J301" s="1573"/>
      <c r="K301" s="1671">
        <f>SUM(C301:J301)</f>
        <v>0</v>
      </c>
      <c r="L301" s="1573"/>
    </row>
    <row r="302" spans="1:14" ht="13.5" customHeight="1" x14ac:dyDescent="0.2">
      <c r="A302" s="1286" t="s">
        <v>972</v>
      </c>
      <c r="B302" s="503" t="s">
        <v>569</v>
      </c>
      <c r="C302" s="1572"/>
      <c r="D302" s="1572"/>
      <c r="E302" s="1572"/>
      <c r="F302" s="1572"/>
      <c r="G302" s="1572"/>
      <c r="H302" s="1572"/>
      <c r="I302" s="1573"/>
      <c r="J302" s="1573"/>
      <c r="K302" s="1671">
        <f>SUM(C302:J302)</f>
        <v>0</v>
      </c>
      <c r="L302" s="1572"/>
    </row>
    <row r="303" spans="1:14" ht="12.75" customHeight="1" thickBot="1" x14ac:dyDescent="0.25">
      <c r="A303" s="1379" t="s">
        <v>805</v>
      </c>
      <c r="B303" s="1380"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7" t="s">
        <v>1820</v>
      </c>
      <c r="B306" s="562" t="s">
        <v>1815</v>
      </c>
      <c r="C306" s="1672"/>
      <c r="D306" s="1672"/>
      <c r="E306" s="1573"/>
      <c r="F306" s="1672"/>
      <c r="G306" s="1672"/>
      <c r="H306" s="1573"/>
      <c r="I306" s="1672"/>
      <c r="J306" s="1672"/>
      <c r="K306" s="1671">
        <f>SUM(E306,H306)</f>
        <v>0</v>
      </c>
      <c r="L306" s="1573"/>
    </row>
    <row r="307" spans="1:14" x14ac:dyDescent="0.2">
      <c r="A307" s="1273" t="s">
        <v>300</v>
      </c>
      <c r="B307" s="503">
        <v>4120</v>
      </c>
      <c r="C307" s="1672"/>
      <c r="D307" s="1672"/>
      <c r="E307" s="1573"/>
      <c r="F307" s="1672"/>
      <c r="G307" s="1672"/>
      <c r="H307" s="1573"/>
      <c r="I307" s="1581"/>
      <c r="J307" s="1672"/>
      <c r="K307" s="1671">
        <f>SUM(E307,H307)</f>
        <v>0</v>
      </c>
      <c r="L307" s="1572"/>
    </row>
    <row r="308" spans="1:14" x14ac:dyDescent="0.2">
      <c r="A308" s="1273" t="s">
        <v>691</v>
      </c>
      <c r="B308" s="503">
        <v>4140</v>
      </c>
      <c r="C308" s="1672"/>
      <c r="D308" s="1672"/>
      <c r="E308" s="1573"/>
      <c r="F308" s="1672"/>
      <c r="G308" s="1672"/>
      <c r="H308" s="1573"/>
      <c r="I308" s="1581"/>
      <c r="J308" s="1672"/>
      <c r="K308" s="1671">
        <f>SUM(E308,H308)</f>
        <v>0</v>
      </c>
      <c r="L308" s="1572"/>
    </row>
    <row r="309" spans="1:14" ht="12.75" customHeight="1" x14ac:dyDescent="0.2">
      <c r="A309" s="1277" t="s">
        <v>692</v>
      </c>
      <c r="B309" s="512">
        <v>4190</v>
      </c>
      <c r="C309" s="1672"/>
      <c r="D309" s="1672"/>
      <c r="E309" s="1573"/>
      <c r="F309" s="1672"/>
      <c r="G309" s="1672"/>
      <c r="H309" s="1573"/>
      <c r="I309" s="1581"/>
      <c r="J309" s="1672"/>
      <c r="K309" s="1671">
        <f>SUM(E309,H309)</f>
        <v>0</v>
      </c>
      <c r="L309" s="1572"/>
    </row>
    <row r="310" spans="1:14" ht="12.75" customHeight="1" thickBot="1" x14ac:dyDescent="0.25">
      <c r="A310" s="1379" t="s">
        <v>1469</v>
      </c>
      <c r="B310" s="1382" t="s">
        <v>854</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888</v>
      </c>
      <c r="B311" s="1348" t="s">
        <v>855</v>
      </c>
      <c r="C311" s="1675"/>
      <c r="D311" s="1675"/>
      <c r="E311" s="1675"/>
      <c r="F311" s="1675"/>
      <c r="G311" s="1675"/>
      <c r="H311" s="1675"/>
      <c r="I311" s="1675"/>
      <c r="J311" s="1672"/>
      <c r="K311" s="1675"/>
      <c r="L311" s="1650"/>
    </row>
    <row r="312" spans="1:14" s="548" customFormat="1" ht="12.75" customHeight="1" thickTop="1" thickBot="1" x14ac:dyDescent="0.25">
      <c r="A312" s="2276" t="s">
        <v>274</v>
      </c>
      <c r="B312" s="227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2" t="s">
        <v>988</v>
      </c>
      <c r="B313" s="2273"/>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5" t="s">
        <v>148</v>
      </c>
      <c r="B315" s="228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7" t="s">
        <v>891</v>
      </c>
      <c r="B317" s="2286"/>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8" t="s">
        <v>295</v>
      </c>
      <c r="B319" s="567" t="s">
        <v>278</v>
      </c>
      <c r="C319" s="1573"/>
      <c r="D319" s="1573"/>
      <c r="E319" s="1573"/>
      <c r="F319" s="1573"/>
      <c r="G319" s="1573"/>
      <c r="H319" s="1573"/>
      <c r="I319" s="1573"/>
      <c r="J319" s="1573"/>
      <c r="K319" s="1671">
        <f>SUM(C319:J319)</f>
        <v>0</v>
      </c>
      <c r="L319" s="1573"/>
      <c r="M319" s="539"/>
      <c r="N319" s="539"/>
    </row>
    <row r="320" spans="1:14" s="548" customFormat="1" x14ac:dyDescent="0.2">
      <c r="A320" s="1292" t="s">
        <v>1781</v>
      </c>
      <c r="B320" s="568" t="s">
        <v>279</v>
      </c>
      <c r="C320" s="1573"/>
      <c r="D320" s="1573"/>
      <c r="E320" s="1573">
        <v>4418</v>
      </c>
      <c r="F320" s="1573"/>
      <c r="G320" s="1573"/>
      <c r="H320" s="1573"/>
      <c r="I320" s="1573"/>
      <c r="J320" s="1573"/>
      <c r="K320" s="1671">
        <f t="shared" ref="K320:K327" si="24">SUM(C320:J320)</f>
        <v>4418</v>
      </c>
      <c r="L320" s="1573">
        <v>4500</v>
      </c>
      <c r="M320" s="539"/>
      <c r="N320" s="539"/>
    </row>
    <row r="321" spans="1:14" s="548" customFormat="1" x14ac:dyDescent="0.2">
      <c r="A321" s="1288" t="s">
        <v>296</v>
      </c>
      <c r="B321" s="567" t="s">
        <v>280</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281</v>
      </c>
      <c r="C322" s="1573"/>
      <c r="D322" s="1573"/>
      <c r="E322" s="1573"/>
      <c r="F322" s="1573"/>
      <c r="G322" s="1573"/>
      <c r="H322" s="1573"/>
      <c r="I322" s="1573"/>
      <c r="J322" s="1573"/>
      <c r="K322" s="1671">
        <f t="shared" si="24"/>
        <v>0</v>
      </c>
      <c r="L322" s="1573"/>
      <c r="M322" s="539"/>
      <c r="N322" s="539"/>
    </row>
    <row r="323" spans="1:14" s="548" customFormat="1" x14ac:dyDescent="0.2">
      <c r="A323" s="1288" t="s">
        <v>696</v>
      </c>
      <c r="B323" s="567" t="s">
        <v>282</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283</v>
      </c>
      <c r="C324" s="1573"/>
      <c r="D324" s="1573"/>
      <c r="E324" s="1573"/>
      <c r="F324" s="1573"/>
      <c r="G324" s="1573"/>
      <c r="H324" s="1573"/>
      <c r="I324" s="1573"/>
      <c r="J324" s="1573"/>
      <c r="K324" s="1671">
        <f t="shared" si="24"/>
        <v>0</v>
      </c>
      <c r="L324" s="1573"/>
      <c r="M324" s="539"/>
      <c r="N324" s="539"/>
    </row>
    <row r="325" spans="1:14" s="548" customFormat="1" ht="22.5" x14ac:dyDescent="0.2">
      <c r="A325" s="1288" t="s">
        <v>1021</v>
      </c>
      <c r="B325" s="568" t="s">
        <v>284</v>
      </c>
      <c r="C325" s="1573"/>
      <c r="D325" s="1573"/>
      <c r="E325" s="1573"/>
      <c r="F325" s="1573"/>
      <c r="G325" s="1573"/>
      <c r="H325" s="1573"/>
      <c r="I325" s="1573"/>
      <c r="J325" s="1573"/>
      <c r="K325" s="1671">
        <f t="shared" si="24"/>
        <v>0</v>
      </c>
      <c r="L325" s="1573"/>
      <c r="M325" s="539"/>
      <c r="N325" s="539"/>
    </row>
    <row r="326" spans="1:14" s="548" customFormat="1" x14ac:dyDescent="0.2">
      <c r="A326" s="1288" t="s">
        <v>1022</v>
      </c>
      <c r="B326" s="567" t="s">
        <v>285</v>
      </c>
      <c r="C326" s="1573"/>
      <c r="D326" s="1573"/>
      <c r="E326" s="1573"/>
      <c r="F326" s="1573"/>
      <c r="G326" s="1573"/>
      <c r="H326" s="1573"/>
      <c r="I326" s="1573"/>
      <c r="J326" s="1573"/>
      <c r="K326" s="1671">
        <f t="shared" si="24"/>
        <v>0</v>
      </c>
      <c r="L326" s="1573"/>
      <c r="M326" s="539"/>
      <c r="N326" s="539"/>
    </row>
    <row r="327" spans="1:14" s="548" customFormat="1" x14ac:dyDescent="0.2">
      <c r="A327" s="1288" t="s">
        <v>964</v>
      </c>
      <c r="B327" s="567" t="s">
        <v>286</v>
      </c>
      <c r="C327" s="1573"/>
      <c r="D327" s="1573"/>
      <c r="E327" s="1573"/>
      <c r="F327" s="1573"/>
      <c r="G327" s="1573"/>
      <c r="H327" s="1573"/>
      <c r="I327" s="1573"/>
      <c r="J327" s="1573"/>
      <c r="K327" s="1671">
        <f t="shared" si="24"/>
        <v>0</v>
      </c>
      <c r="L327" s="1573"/>
      <c r="M327" s="539"/>
      <c r="N327" s="539"/>
    </row>
    <row r="328" spans="1:14" s="548" customFormat="1" x14ac:dyDescent="0.2">
      <c r="A328" s="1289" t="s">
        <v>468</v>
      </c>
      <c r="B328" s="562" t="s">
        <v>1121</v>
      </c>
      <c r="C328" s="1578"/>
      <c r="D328" s="1578"/>
      <c r="E328" s="1578"/>
      <c r="F328" s="1578"/>
      <c r="G328" s="1578"/>
      <c r="H328" s="1578"/>
      <c r="I328" s="1578"/>
      <c r="J328" s="1578"/>
      <c r="K328" s="1712">
        <f>SUM(C328:J328)</f>
        <v>0</v>
      </c>
      <c r="L328" s="1578"/>
      <c r="M328" s="539"/>
      <c r="N328" s="539"/>
    </row>
    <row r="329" spans="1:14" s="548" customFormat="1" x14ac:dyDescent="0.2">
      <c r="A329" s="1289" t="s">
        <v>1122</v>
      </c>
      <c r="B329" s="562" t="s">
        <v>1123</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711</v>
      </c>
      <c r="B330" s="1380" t="s">
        <v>564</v>
      </c>
      <c r="C330" s="1673">
        <f>SUM(C319:C329)</f>
        <v>0</v>
      </c>
      <c r="D330" s="1673">
        <f t="shared" ref="D330:J330" si="25">SUM(D319:D329)</f>
        <v>0</v>
      </c>
      <c r="E330" s="1673">
        <f t="shared" si="25"/>
        <v>4418</v>
      </c>
      <c r="F330" s="1673">
        <f t="shared" si="25"/>
        <v>0</v>
      </c>
      <c r="G330" s="1673">
        <f t="shared" si="25"/>
        <v>0</v>
      </c>
      <c r="H330" s="1673">
        <f t="shared" si="25"/>
        <v>0</v>
      </c>
      <c r="I330" s="1673">
        <f t="shared" si="25"/>
        <v>0</v>
      </c>
      <c r="J330" s="1673">
        <f t="shared" si="25"/>
        <v>0</v>
      </c>
      <c r="K330" s="1673">
        <f>SUM(K319:K329)</f>
        <v>4418</v>
      </c>
      <c r="L330" s="1673">
        <f>SUM(L319:L329)</f>
        <v>4500</v>
      </c>
      <c r="M330" s="539"/>
      <c r="N330" s="539"/>
    </row>
    <row r="331" spans="1:14" s="548" customFormat="1" ht="12.75" customHeight="1" thickTop="1" x14ac:dyDescent="0.2">
      <c r="A331" s="1466"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7" t="s">
        <v>492</v>
      </c>
      <c r="B332" s="1462" t="s">
        <v>1815</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300</v>
      </c>
      <c r="B333" s="1462" t="s">
        <v>1817</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1822</v>
      </c>
      <c r="B334" s="1462"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892</v>
      </c>
      <c r="B335" s="1344"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7" t="s">
        <v>87</v>
      </c>
      <c r="B337" s="562" t="s">
        <v>893</v>
      </c>
      <c r="C337" s="1683"/>
      <c r="D337" s="1683"/>
      <c r="E337" s="1683"/>
      <c r="F337" s="1683"/>
      <c r="G337" s="1683"/>
      <c r="H337" s="1582"/>
      <c r="I337" s="1683"/>
      <c r="J337" s="1683"/>
      <c r="K337" s="1671">
        <f>H337</f>
        <v>0</v>
      </c>
      <c r="L337" s="1582"/>
    </row>
    <row r="338" spans="1:14" ht="12.75" customHeight="1" x14ac:dyDescent="0.2">
      <c r="A338" s="1287" t="s">
        <v>1159</v>
      </c>
      <c r="B338" s="562" t="s">
        <v>612</v>
      </c>
      <c r="C338" s="1683"/>
      <c r="D338" s="1683"/>
      <c r="E338" s="1683"/>
      <c r="F338" s="1683"/>
      <c r="G338" s="1683"/>
      <c r="H338" s="1582"/>
      <c r="I338" s="1683"/>
      <c r="J338" s="1683"/>
      <c r="K338" s="1671">
        <f>H338</f>
        <v>0</v>
      </c>
      <c r="L338" s="1582"/>
    </row>
    <row r="339" spans="1:14" x14ac:dyDescent="0.2">
      <c r="A339" s="1273" t="s">
        <v>894</v>
      </c>
      <c r="B339" s="512">
        <v>5150</v>
      </c>
      <c r="C339" s="1683"/>
      <c r="D339" s="1683"/>
      <c r="E339" s="1683"/>
      <c r="F339" s="1683"/>
      <c r="G339" s="1683"/>
      <c r="H339" s="1573"/>
      <c r="I339" s="1683"/>
      <c r="J339" s="1683"/>
      <c r="K339" s="1671">
        <f>H339</f>
        <v>0</v>
      </c>
      <c r="L339" s="1573"/>
    </row>
    <row r="340" spans="1:14" ht="13.5" thickBot="1" x14ac:dyDescent="0.25">
      <c r="A340" s="1395" t="s">
        <v>895</v>
      </c>
      <c r="B340" s="1380" t="s">
        <v>488</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896</v>
      </c>
      <c r="B341" s="1348" t="s">
        <v>855</v>
      </c>
      <c r="C341" s="1672"/>
      <c r="D341" s="1672"/>
      <c r="E341" s="1581"/>
      <c r="F341" s="1574"/>
      <c r="G341" s="1574"/>
      <c r="H341" s="1581"/>
      <c r="I341" s="1581"/>
      <c r="J341" s="1574"/>
      <c r="K341" s="1581"/>
      <c r="L341" s="1650"/>
    </row>
    <row r="342" spans="1:14" ht="12.75" customHeight="1" thickTop="1" thickBot="1" x14ac:dyDescent="0.25">
      <c r="A342" s="1388" t="s">
        <v>501</v>
      </c>
      <c r="B342" s="1401"/>
      <c r="C342" s="1673">
        <f>SUM(C330)</f>
        <v>0</v>
      </c>
      <c r="D342" s="1673">
        <f>SUM(D330)</f>
        <v>0</v>
      </c>
      <c r="E342" s="1673">
        <f>SUM(E330)</f>
        <v>4418</v>
      </c>
      <c r="F342" s="1673">
        <f>SUM(F330)</f>
        <v>0</v>
      </c>
      <c r="G342" s="1673">
        <f>SUM(G330)</f>
        <v>0</v>
      </c>
      <c r="H342" s="1673">
        <f>SUM(H330,H334,H340)</f>
        <v>0</v>
      </c>
      <c r="I342" s="1673">
        <f>SUM(I330)</f>
        <v>0</v>
      </c>
      <c r="J342" s="1673">
        <f>SUM(J330)</f>
        <v>0</v>
      </c>
      <c r="K342" s="1673">
        <f>SUM(K330,K334,K340)</f>
        <v>4418</v>
      </c>
      <c r="L342" s="1680">
        <f>SUM(L330,L334,L340,L341)</f>
        <v>4500</v>
      </c>
    </row>
    <row r="343" spans="1:14" ht="12.75" customHeight="1" thickTop="1" x14ac:dyDescent="0.2">
      <c r="A343" s="2274" t="s">
        <v>988</v>
      </c>
      <c r="B343" s="2275"/>
      <c r="C343" s="1672"/>
      <c r="D343" s="1672"/>
      <c r="E343" s="1672"/>
      <c r="F343" s="1672"/>
      <c r="G343" s="1672"/>
      <c r="H343" s="1672"/>
      <c r="I343" s="1672"/>
      <c r="J343" s="1672"/>
      <c r="K343" s="1688">
        <f>'Revenues 9-14'!J268-'Expenditures 15-22'!K342</f>
        <v>8391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4" t="s">
        <v>959</v>
      </c>
      <c r="B345" s="2265"/>
      <c r="C345" s="1702"/>
      <c r="D345" s="1703"/>
      <c r="E345" s="1703"/>
      <c r="F345" s="1703"/>
      <c r="G345" s="1703"/>
      <c r="H345" s="1703"/>
      <c r="I345" s="1703"/>
      <c r="J345" s="1703"/>
      <c r="K345" s="1703"/>
      <c r="L345" s="1704"/>
      <c r="M345" s="541"/>
      <c r="N345" s="541"/>
    </row>
    <row r="346" spans="1:14" s="321" customFormat="1" ht="15.75" customHeight="1" x14ac:dyDescent="0.2">
      <c r="A346" s="1360" t="s">
        <v>838</v>
      </c>
      <c r="B346" s="1352"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713</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972</v>
      </c>
      <c r="B351" s="521" t="s">
        <v>569</v>
      </c>
      <c r="C351" s="1585"/>
      <c r="D351" s="1585"/>
      <c r="E351" s="1585"/>
      <c r="F351" s="1585"/>
      <c r="G351" s="1585"/>
      <c r="H351" s="1585"/>
      <c r="I351" s="1582"/>
      <c r="J351" s="1582"/>
      <c r="K351" s="1714">
        <f>SUM(C351:J351)</f>
        <v>0</v>
      </c>
      <c r="L351" s="1585"/>
    </row>
    <row r="352" spans="1:14" ht="12.75" customHeight="1" thickBot="1" x14ac:dyDescent="0.25">
      <c r="A352" s="1379" t="s">
        <v>619</v>
      </c>
      <c r="B352" s="1382"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620</v>
      </c>
      <c r="B353" s="1346" t="s">
        <v>854</v>
      </c>
      <c r="C353" s="1672"/>
      <c r="D353" s="1672"/>
      <c r="E353" s="1672"/>
      <c r="F353" s="1672"/>
      <c r="G353" s="1672"/>
      <c r="H353" s="1672"/>
      <c r="I353" s="1672"/>
      <c r="J353" s="1672"/>
      <c r="K353" s="1672"/>
      <c r="L353" s="1672"/>
      <c r="M353" s="501"/>
      <c r="N353" s="501"/>
    </row>
    <row r="354" spans="1:14" x14ac:dyDescent="0.2">
      <c r="A354" s="1468" t="s">
        <v>1823</v>
      </c>
      <c r="B354" s="557" t="s">
        <v>1815</v>
      </c>
      <c r="C354" s="1672"/>
      <c r="D354" s="1672"/>
      <c r="E354" s="1672"/>
      <c r="F354" s="1672"/>
      <c r="G354" s="1672"/>
      <c r="H354" s="1578"/>
      <c r="I354" s="1715"/>
      <c r="J354" s="1672"/>
      <c r="K354" s="1712">
        <f>H354</f>
        <v>0</v>
      </c>
      <c r="L354" s="1576"/>
    </row>
    <row r="355" spans="1:14" ht="12.75" customHeight="1" x14ac:dyDescent="0.2">
      <c r="A355" s="1282" t="s">
        <v>1824</v>
      </c>
      <c r="B355" s="562" t="s">
        <v>1817</v>
      </c>
      <c r="C355" s="1672"/>
      <c r="D355" s="1672"/>
      <c r="E355" s="1672"/>
      <c r="F355" s="1672"/>
      <c r="G355" s="1672"/>
      <c r="H355" s="1573"/>
      <c r="I355" s="1715"/>
      <c r="J355" s="1672"/>
      <c r="K355" s="1606">
        <f>H355</f>
        <v>0</v>
      </c>
      <c r="L355" s="1573"/>
    </row>
    <row r="356" spans="1:14" ht="12.75" customHeight="1" x14ac:dyDescent="0.2">
      <c r="A356" s="1468" t="s">
        <v>692</v>
      </c>
      <c r="B356" s="557" t="s">
        <v>553</v>
      </c>
      <c r="C356" s="1672"/>
      <c r="D356" s="1672"/>
      <c r="E356" s="1672"/>
      <c r="F356" s="1672"/>
      <c r="G356" s="1672"/>
      <c r="H356" s="1583"/>
      <c r="I356" s="1715"/>
      <c r="J356" s="1672"/>
      <c r="K356" s="1599">
        <f>H356</f>
        <v>0</v>
      </c>
      <c r="L356" s="1583"/>
    </row>
    <row r="357" spans="1:14" ht="12.75" customHeight="1" thickBot="1" x14ac:dyDescent="0.25">
      <c r="A357" s="1379" t="s">
        <v>1469</v>
      </c>
      <c r="B357" s="1380" t="s">
        <v>854</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941</v>
      </c>
      <c r="B358" s="1346"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614</v>
      </c>
      <c r="B361" s="494" t="s">
        <v>613</v>
      </c>
      <c r="C361" s="1672"/>
      <c r="D361" s="1672"/>
      <c r="E361" s="1672"/>
      <c r="F361" s="1672"/>
      <c r="G361" s="1672"/>
      <c r="H361" s="1573"/>
      <c r="I361" s="1672"/>
      <c r="J361" s="1672"/>
      <c r="K361" s="1671">
        <f>SUM(C361:J361)</f>
        <v>0</v>
      </c>
      <c r="L361" s="1572"/>
    </row>
    <row r="362" spans="1:14" ht="12.75" customHeight="1" thickBot="1" x14ac:dyDescent="0.25">
      <c r="A362" s="1379" t="s">
        <v>621</v>
      </c>
      <c r="B362" s="1380"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1652</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942</v>
      </c>
      <c r="B366" s="1350" t="s">
        <v>855</v>
      </c>
      <c r="C366" s="1675"/>
      <c r="D366" s="1675"/>
      <c r="E366" s="1675"/>
      <c r="F366" s="1675"/>
      <c r="G366" s="1675"/>
      <c r="H366" s="1675"/>
      <c r="I366" s="1675"/>
      <c r="J366" s="1672"/>
      <c r="K366" s="1675"/>
      <c r="L366" s="1648"/>
      <c r="M366" s="501"/>
      <c r="N366" s="501"/>
    </row>
    <row r="367" spans="1:14" ht="12.75" customHeight="1" thickTop="1" thickBot="1" x14ac:dyDescent="0.25">
      <c r="A367" s="1393" t="s">
        <v>501</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1" t="s">
        <v>988</v>
      </c>
      <c r="B368" s="2262"/>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schemas.microsoft.com/sharepoint/v3"/>
    <ds:schemaRef ds:uri="http://www.w3.org/XML/1998/namespace"/>
    <ds:schemaRef ds:uri="d21dc803-237d-4c68-8692-8d731fd29118"/>
    <ds:schemaRef ds:uri="http://purl.org/dc/dcmitype/"/>
    <ds:schemaRef ds:uri="http://schemas.microsoft.com/office/2006/documentManagement/types"/>
    <ds:schemaRef ds:uri="http://schemas.microsoft.com/office/infopath/2007/PartnerControls"/>
    <ds:schemaRef ds:uri="http://purl.org/dc/elements/1.1/"/>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Sec-2 (5)</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2020-10-15T19:40:43Z</cp:lastPrinted>
  <dcterms:created xsi:type="dcterms:W3CDTF">2003-10-29T19:06:34Z</dcterms:created>
  <dcterms:modified xsi:type="dcterms:W3CDTF">2020-10-26T15:04:40Z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