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C0D6C47-63CA-4132-8CF9-5A01E932479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 i="186" l="1"/>
  <c r="F24" i="186"/>
  <c r="I22" i="186"/>
  <c r="F22" i="186"/>
  <c r="I17" i="186"/>
  <c r="F17" i="186"/>
  <c r="I15" i="186"/>
  <c r="F15" i="186"/>
  <c r="I27" i="185"/>
  <c r="I22" i="185"/>
  <c r="F22" i="185"/>
  <c r="F27" i="185" s="1"/>
  <c r="I17" i="185"/>
  <c r="F17" i="185"/>
  <c r="I27" i="179"/>
  <c r="F27" i="179"/>
  <c r="I26" i="179"/>
  <c r="F26" i="179"/>
  <c r="L21" i="186" l="1"/>
  <c r="L20" i="186"/>
  <c r="L14" i="186"/>
  <c r="L13" i="186"/>
  <c r="I9" i="186"/>
  <c r="G9" i="186"/>
  <c r="F9" i="186"/>
  <c r="E9" i="186"/>
  <c r="J8" i="186"/>
  <c r="H8" i="186"/>
  <c r="B4" i="186"/>
  <c r="L25" i="185"/>
  <c r="L24" i="185"/>
  <c r="L21" i="185"/>
  <c r="L20" i="185"/>
  <c r="L19" i="185"/>
  <c r="L16" i="185"/>
  <c r="L15" i="185"/>
  <c r="L14" i="185"/>
  <c r="I9" i="185"/>
  <c r="G9" i="185"/>
  <c r="F9" i="185"/>
  <c r="E9" i="185"/>
  <c r="J8" i="185"/>
  <c r="H8" i="185"/>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22" i="179"/>
  <c r="L21"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0" i="108" l="1"/>
  <c r="D69" i="36"/>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N23" i="3"/>
  <c r="B284" i="106" s="1"/>
  <c r="D284"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J78" i="4"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<sst xmlns="http://schemas.openxmlformats.org/spreadsheetml/2006/main" count="5361" uniqueCount="2165">
  <si>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</si>
  <si>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</si>
  <si>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</si>
  <si>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</si>
  <si>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</si>
  <si>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</si>
  <si>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</si>
  <si>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</si>
  <si>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</si>
  <si>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</si>
  <si>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</si>
  <si>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</si>
  <si>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</si>
  <si>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</si>
  <si>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</si>
  <si>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</si>
  <si>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</si>
  <si>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</si>
  <si>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</si>
  <si>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</si>
  <si>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</si>
  <si>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</si>
  <si>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</si>
  <si>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</si>
  <si>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</si>
  <si>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</si>
  <si>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</si>
  <si>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</si>
  <si>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</si>
  <si>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</si>
  <si>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</si>
  <si>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</si>
  <si>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</si>
  <si>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</si>
  <si>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</si>
  <si>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</si>
  <si>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</si>
  <si>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</si>
  <si>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</si>
  <si>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</si>
  <si>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</si>
  <si>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</si>
  <si>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</si>
  <si>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</si>
  <si>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</si>
  <si>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</si>
  <si>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</si>
  <si>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</si>
  <si>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</si>
  <si>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</si>
  <si>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</si>
  <si>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</si>
  <si>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</si>
  <si>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</si>
  <si>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</si>
  <si>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</si>
  <si>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</si>
  <si>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</si>
  <si>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</si>
  <si>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</si>
  <si>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</si>
  <si>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</si>
  <si>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</si>
  <si>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</si>
  <si>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</si>
  <si>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</si>
  <si>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</si>
  <si>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</si>
  <si>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</si>
  <si>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</si>
  <si>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</si>
  <si>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</si>
  <si>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</si>
  <si>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</si>
  <si>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</si>
  <si>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</si>
  <si>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</si>
  <si>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</si>
  <si>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</si>
  <si>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</si>
  <si>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</si>
  <si>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</si>
  <si>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</si>
  <si>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</si>
  <si>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</si>
  <si>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</si>
  <si>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</si>
  <si>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</si>
  <si>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</si>
  <si>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</si>
  <si>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</si>
  <si>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</si>
  <si>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</si>
  <si>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</si>
  <si>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</si>
  <si>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</si>
  <si>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</si>
  <si>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</si>
  <si>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</si>
  <si>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</si>
  <si>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</si>
  <si>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</si>
  <si>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</si>
  <si>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</si>
  <si>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</si>
  <si>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</si>
  <si>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</si>
  <si>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</si>
  <si>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</si>
  <si>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</si>
  <si>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</si>
  <si>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</si>
  <si>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</si>
  <si>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</si>
  <si>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</si>
  <si>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</si>
  <si>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</si>
  <si>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</si>
  <si>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</si>
  <si>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</si>
  <si>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</si>
  <si>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</si>
  <si>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</si>
  <si>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</si>
  <si>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</si>
  <si>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</si>
  <si>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</si>
  <si>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</si>
  <si>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</si>
  <si>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</si>
  <si>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</si>
  <si>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</si>
  <si>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</si>
  <si>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</si>
  <si>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</si>
  <si>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</si>
  <si>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</si>
  <si>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</si>
  <si>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</si>
  <si>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</si>
  <si>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</si>
  <si>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</si>
  <si>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</si>
  <si>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</si>
  <si>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</si>
  <si>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</si>
  <si>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</si>
  <si>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</si>
  <si>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</si>
  <si>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</si>
  <si>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</si>
  <si>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</si>
  <si>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</si>
  <si>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</si>
  <si>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</si>
  <si>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</si>
  <si>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</si>
  <si>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</si>
  <si>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</si>
  <si>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</si>
  <si>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</si>
  <si>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</si>
  <si>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</si>
  <si>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</si>
  <si>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</si>
  <si>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</si>
  <si>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</si>
  <si>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</si>
  <si>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</si>
  <si>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</si>
  <si>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</si>
  <si>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</si>
  <si>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</si>
  <si>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</si>
  <si>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</si>
  <si>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</si>
  <si>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</si>
  <si>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</si>
  <si>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</si>
  <si>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</si>
  <si>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</si>
  <si>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</si>
  <si>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</si>
  <si>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</si>
  <si>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</si>
  <si>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</si>
  <si>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</si>
  <si>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</si>
  <si>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</si>
  <si>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</si>
  <si>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</si>
  <si>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</si>
  <si>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</si>
  <si>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</si>
  <si>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</si>
  <si>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</si>
  <si>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</si>
  <si>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</si>
  <si>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</si>
  <si>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</si>
  <si>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</si>
  <si>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</si>
  <si>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</si>
  <si>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</si>
  <si>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</si>
  <si>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</si>
  <si>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</si>
  <si>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</si>
  <si>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</si>
  <si>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</si>
  <si>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</si>
  <si>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</si>
  <si>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</si>
  <si>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</si>
  <si>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</si>
  <si>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</si>
  <si>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</si>
  <si>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</si>
  <si>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</si>
  <si>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</si>
  <si>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</si>
  <si>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</si>
  <si>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</si>
  <si>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</si>
  <si>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</si>
  <si>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</si>
  <si>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</si>
  <si>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</si>
  <si>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</si>
  <si>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</si>
  <si>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</si>
  <si>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</si>
  <si>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</si>
  <si>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</si>
  <si>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</si>
  <si>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</si>
  <si>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</si>
  <si>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</si>
  <si>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</si>
  <si>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</si>
  <si>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</si>
  <si>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</si>
  <si>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</si>
  <si>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</si>
  <si>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</si>
  <si>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</si>
  <si>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</si>
  <si>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</si>
  <si>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</si>
  <si>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</si>
  <si>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</si>
  <si>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</si>
  <si>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</si>
  <si>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</si>
  <si>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</si>
  <si>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</si>
  <si>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</si>
  <si>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</si>
  <si>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</si>
  <si>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</si>
  <si>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</si>
  <si>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</si>
  <si>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</si>
  <si>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</si>
  <si>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</si>
  <si>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</si>
  <si>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</si>
  <si>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</si>
  <si>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</si>
  <si>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</si>
  <si>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</si>
  <si>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</si>
  <si>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</si>
  <si>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</si>
  <si>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</si>
  <si>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</si>
  <si>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</si>
  <si>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</si>
  <si>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</si>
  <si>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</si>
  <si>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</si>
  <si>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</si>
  <si>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</si>
  <si>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</si>
  <si>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</si>
  <si>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</si>
  <si>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</si>
  <si>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</si>
  <si>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</si>
  <si>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</si>
  <si>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</si>
  <si>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</si>
  <si>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</si>
  <si>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</si>
  <si>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</si>
  <si>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</si>
  <si>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</si>
  <si>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</si>
  <si>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</si>
  <si>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</si>
  <si>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</si>
  <si>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</si>
  <si>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</si>
  <si>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</si>
  <si>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</si>
  <si>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</si>
  <si>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</si>
  <si>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</si>
  <si>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</si>
  <si>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</si>
  <si>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</si>
  <si>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</si>
  <si>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</si>
  <si>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</si>
  <si>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</si>
  <si>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</si>
  <si>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</si>
  <si>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</si>
  <si>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</si>
  <si>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</si>
  <si>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</si>
  <si>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</si>
  <si>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</si>
  <si>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</si>
  <si>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</si>
  <si>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</si>
  <si>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</si>
  <si>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</si>
  <si>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</si>
  <si>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</si>
  <si>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</si>
  <si>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</si>
  <si>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</si>
  <si>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</si>
  <si>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</si>
  <si>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</si>
  <si>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</si>
  <si>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</si>
  <si>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</si>
  <si>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</si>
  <si>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</si>
  <si>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</si>
  <si>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</si>
  <si>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</si>
  <si>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</si>
  <si>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</si>
  <si>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</si>
  <si>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</si>
  <si>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</si>
  <si>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</si>
  <si>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</si>
  <si>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</si>
  <si>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</si>
  <si>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</si>
  <si>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</si>
  <si>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</si>
  <si>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</si>
  <si>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</si>
  <si>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</si>
  <si>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</si>
  <si>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</si>
  <si>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</si>
  <si>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</si>
  <si>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</si>
  <si>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</si>
  <si>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</si>
  <si>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</si>
  <si>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</si>
  <si>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</si>
  <si>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</si>
  <si>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</si>
  <si>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</si>
  <si>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</si>
  <si>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</si>
  <si>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</si>
  <si>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</si>
  <si>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</si>
  <si>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</si>
  <si>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</si>
  <si>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</si>
  <si>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</si>
  <si>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</si>
  <si>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</si>
  <si>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</si>
  <si>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</si>
  <si>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</si>
  <si>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</si>
  <si>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</si>
  <si>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</si>
  <si>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</si>
  <si>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</si>
  <si>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</si>
  <si>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</si>
  <si>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</si>
  <si>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</si>
  <si>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</si>
  <si>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</si>
  <si>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</si>
  <si>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</si>
  <si>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</si>
  <si>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</si>
  <si>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</si>
  <si>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</si>
  <si>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</si>
  <si>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</si>
  <si>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</si>
  <si>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</si>
  <si>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</si>
  <si>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</si>
  <si>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</si>
  <si>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</si>
  <si>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</si>
  <si>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</si>
  <si>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</si>
  <si>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</si>
  <si>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</si>
  <si>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</si>
  <si>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</si>
  <si>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</si>
  <si>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</si>
  <si>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</si>
  <si>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</si>
  <si>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</si>
  <si>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</si>
  <si>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</si>
  <si>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</si>
  <si>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</si>
  <si>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</si>
  <si>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</si>
  <si>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</si>
  <si>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</si>
  <si>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</si>
  <si>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</si>
  <si>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</si>
  <si>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</si>
  <si>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</si>
  <si>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</si>
  <si>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</si>
  <si>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</si>
  <si>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</si>
  <si>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</si>
  <si>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</si>
  <si>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</si>
  <si>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</si>
  <si>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</si>
  <si>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</si>
  <si>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</si>
  <si>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</si>
  <si>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</si>
  <si>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</si>
  <si>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</si>
  <si>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</si>
  <si>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</si>
  <si>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</si>
  <si>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</si>
  <si>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</si>
  <si>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</si>
  <si>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</si>
  <si>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</si>
  <si>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</si>
  <si>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</si>
  <si>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</si>
  <si>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</si>
  <si>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</si>
  <si>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</si>
  <si>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</si>
  <si>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</si>
  <si>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</si>
  <si>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</si>
  <si>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</si>
  <si>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</si>
  <si>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</si>
  <si>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</si>
  <si>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</si>
  <si>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</si>
  <si>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</si>
  <si>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</si>
  <si>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</si>
  <si>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</si>
  <si>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</si>
  <si>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</si>
  <si>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</si>
  <si>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</si>
  <si>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</si>
  <si>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</si>
  <si>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</si>
  <si>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</si>
  <si>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</si>
  <si>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</si>
  <si>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</si>
  <si>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</si>
  <si>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</si>
  <si>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</si>
  <si>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</si>
  <si>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</si>
  <si>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</si>
  <si>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</si>
  <si>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</si>
  <si>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</si>
  <si>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</si>
  <si>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</si>
  <si>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</si>
  <si>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</si>
  <si>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</si>
  <si>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</si>
  <si>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</si>
  <si>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</si>
  <si>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</si>
  <si>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</si>
  <si>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</si>
  <si>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</si>
  <si>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</si>
  <si>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</si>
  <si>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</si>
  <si>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</si>
  <si>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</si>
  <si>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</si>
  <si>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</si>
  <si>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</si>
  <si>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</si>
  <si>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</si>
  <si>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</si>
  <si>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</si>
  <si>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</si>
  <si>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</si>
  <si>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</si>
  <si>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</si>
  <si>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</si>
  <si>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</si>
  <si>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</si>
  <si>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</si>
  <si>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</si>
  <si>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</si>
  <si>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</si>
  <si>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</si>
  <si>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</si>
  <si>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</si>
  <si>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</si>
  <si>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</si>
  <si>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</si>
  <si>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</si>
  <si>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</si>
  <si>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</si>
  <si>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</si>
  <si>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</si>
  <si>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</si>
  <si>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</si>
  <si>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</si>
  <si>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</si>
  <si>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</si>
  <si>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</si>
  <si>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</si>
  <si>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</si>
  <si>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</si>
  <si>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</si>
  <si>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</si>
  <si>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</si>
  <si>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</si>
  <si>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</si>
  <si>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</si>
  <si>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</si>
  <si>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</si>
  <si>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</si>
  <si>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</si>
  <si>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</si>
  <si>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</si>
  <si>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</si>
  <si>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</si>
  <si>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</si>
  <si>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</si>
  <si>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</si>
  <si>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</si>
  <si>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</si>
  <si>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</si>
  <si>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</si>
  <si>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</si>
  <si>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</si>
  <si>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</si>
  <si>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</si>
  <si>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</si>
  <si>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</si>
  <si>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</si>
  <si>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</si>
  <si>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</si>
  <si>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</si>
  <si>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</si>
  <si>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</si>
  <si>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</si>
  <si>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</si>
  <si>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</si>
  <si>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</si>
  <si>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</si>
  <si>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</si>
  <si>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</si>
  <si>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</si>
  <si>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</si>
  <si>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</si>
  <si>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</si>
  <si>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</si>
  <si>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</si>
  <si>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</si>
  <si>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</si>
  <si>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</si>
  <si>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</si>
  <si>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</si>
  <si>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</si>
  <si>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</si>
  <si>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</si>
  <si>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</si>
  <si>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</si>
  <si>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</si>
  <si>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</si>
  <si>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</si>
  <si>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</si>
  <si>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</si>
  <si>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</si>
  <si>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</si>
  <si>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</si>
  <si>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</si>
  <si>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</si>
  <si>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</si>
  <si>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</si>
  <si>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</si>
  <si>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</si>
  <si>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</si>
  <si>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</si>
  <si>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</si>
  <si>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</si>
  <si>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</si>
  <si>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</si>
  <si>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</si>
  <si>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</si>
  <si>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</si>
  <si>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</si>
  <si>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</si>
  <si>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</si>
  <si>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</si>
  <si>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</si>
  <si>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</si>
  <si>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</si>
  <si>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</si>
  <si>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</si>
  <si>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</si>
  <si>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</si>
  <si>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</si>
  <si>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</si>
  <si>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</si>
  <si>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</si>
  <si>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</si>
  <si>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</si>
  <si>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</si>
  <si>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</si>
  <si>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</si>
  <si>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</si>
  <si>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</si>
  <si>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</si>
  <si>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</si>
  <si>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</si>
  <si>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</si>
  <si>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</si>
  <si>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</si>
  <si>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</si>
  <si>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</si>
  <si>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</si>
  <si>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</si>
  <si>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</si>
  <si>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</si>
  <si>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</si>
  <si>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</si>
  <si>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</si>
  <si>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</si>
  <si>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</si>
  <si>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</si>
  <si>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</si>
  <si>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</si>
  <si>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</si>
  <si>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</si>
  <si>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</si>
  <si>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</si>
  <si>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</si>
  <si>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</si>
  <si>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</si>
  <si>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</si>
  <si>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</si>
  <si>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</si>
  <si>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</si>
  <si>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</si>
  <si>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</si>
  <si>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</si>
  <si>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</si>
  <si>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</si>
  <si>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</si>
  <si>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</si>
  <si>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</si>
  <si>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</si>
  <si>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</si>
  <si>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</si>
  <si>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</si>
  <si>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</si>
  <si>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</si>
  <si>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</si>
  <si>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</si>
  <si>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</si>
  <si>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</si>
  <si>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</si>
  <si>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</si>
  <si>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</si>
  <si>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</si>
  <si>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</si>
  <si>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</si>
  <si>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</si>
  <si>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</si>
  <si>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</si>
  <si>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</si>
  <si>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</si>
  <si>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</si>
  <si>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</si>
  <si>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</si>
  <si>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</si>
  <si>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</si>
  <si>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</si>
  <si>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</si>
  <si>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</si>
  <si>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</si>
  <si>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</si>
  <si>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</si>
  <si>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</si>
  <si>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</si>
  <si>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</si>
  <si>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</si>
  <si>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</si>
  <si>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</si>
  <si>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</si>
  <si>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</si>
  <si>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</si>
  <si>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</si>
  <si>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</si>
  <si>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</si>
  <si>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</si>
  <si>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</si>
  <si>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</si>
  <si>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</si>
  <si>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</si>
  <si>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</si>
  <si>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</si>
  <si>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</si>
  <si>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</si>
  <si>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</si>
  <si>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</si>
  <si>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</si>
  <si>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</si>
  <si>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</si>
  <si>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</si>
  <si>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</si>
  <si>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</si>
  <si>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</si>
  <si>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</si>
  <si>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</si>
  <si>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</si>
  <si>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</si>
  <si>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</si>
  <si>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</si>
  <si>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</si>
  <si>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</si>
  <si>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</si>
  <si>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</si>
  <si>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</si>
  <si>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</si>
  <si>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</si>
  <si>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</si>
  <si>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</si>
  <si>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</si>
  <si>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</si>
  <si>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</si>
  <si>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</si>
  <si>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</si>
  <si>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</si>
  <si>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</si>
  <si>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</si>
  <si>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</si>
  <si>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</si>
  <si>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</si>
  <si>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</si>
  <si>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</si>
  <si>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</si>
  <si>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</si>
  <si>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</si>
  <si>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</si>
  <si>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</si>
  <si>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</si>
  <si>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</si>
  <si>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</si>
  <si>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</si>
  <si>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</si>
  <si>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</si>
  <si>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</si>
  <si>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</si>
  <si>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</si>
  <si>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</si>
  <si>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</si>
  <si>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</si>
  <si>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</si>
  <si>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</si>
  <si>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</si>
  <si>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</si>
  <si>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</si>
  <si>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</si>
  <si>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</si>
  <si>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</si>
  <si>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</si>
  <si>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</si>
  <si>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</si>
  <si>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</si>
  <si>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</si>
  <si>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</si>
  <si>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</si>
  <si>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</si>
  <si>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</si>
  <si>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</si>
  <si>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</si>
  <si>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</si>
  <si>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</si>
  <si>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</si>
  <si>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</si>
  <si>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</si>
  <si>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</si>
  <si>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</si>
  <si>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</si>
  <si>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</si>
  <si>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</si>
  <si>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</si>
  <si>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</si>
  <si>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</si>
  <si>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</si>
  <si>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</si>
  <si>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</si>
  <si>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</si>
  <si>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</si>
  <si>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</si>
  <si>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</si>
  <si>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</si>
  <si>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</si>
  <si>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</si>
  <si>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</si>
  <si>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</si>
  <si>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</si>
  <si>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</si>
  <si>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</si>
  <si>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</si>
  <si>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</si>
  <si>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</si>
  <si>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</si>
  <si>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</si>
  <si>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</si>
  <si>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</si>
  <si>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</si>
  <si>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</si>
  <si>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</si>
  <si>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</si>
  <si>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</si>
  <si>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</si>
  <si>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</si>
  <si>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</si>
  <si>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</si>
  <si>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</si>
  <si>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</si>
  <si>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</si>
  <si>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</si>
  <si>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</si>
  <si>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</si>
  <si>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</si>
  <si>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</si>
  <si>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</si>
  <si>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</si>
  <si>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</si>
  <si>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</si>
  <si>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</si>
  <si>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</si>
  <si>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</si>
  <si>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</si>
  <si>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</si>
  <si>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</si>
  <si>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</si>
  <si>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</si>
  <si>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</si>
  <si>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</si>
  <si>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</si>
  <si>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</si>
  <si>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</si>
  <si>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</si>
  <si>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</si>
  <si>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</si>
  <si>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</si>
  <si>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</si>
  <si>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</si>
  <si>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</si>
  <si>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</si>
  <si>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</si>
  <si>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</si>
  <si>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</si>
  <si>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</si>
  <si>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</si>
  <si>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</si>
  <si>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</si>
  <si>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</si>
  <si>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</si>
  <si>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</si>
  <si>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</si>
  <si>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</si>
  <si>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</si>
  <si>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</si>
  <si>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</si>
  <si>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</si>
  <si>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</si>
  <si>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</si>
  <si>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</si>
  <si>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</si>
  <si>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</si>
  <si>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</si>
  <si>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</si>
  <si>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</si>
  <si>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</si>
  <si>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</si>
  <si>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</si>
  <si>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</si>
  <si>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</si>
  <si>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</si>
  <si>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</si>
  <si>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</si>
  <si>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</si>
  <si>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</si>
  <si>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</si>
  <si>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</si>
  <si>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</si>
  <si>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</si>
  <si>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</si>
  <si>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</si>
  <si>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</si>
  <si>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</si>
  <si>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</si>
  <si>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</si>
  <si>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</si>
  <si>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</si>
  <si>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</si>
  <si>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</si>
  <si>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</si>
  <si>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</si>
  <si>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</si>
  <si>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</si>
  <si>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</si>
  <si>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</si>
  <si>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</si>
  <si>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</si>
  <si>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</si>
  <si>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</si>
  <si>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</si>
  <si>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</si>
  <si>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</si>
  <si>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</si>
  <si>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</si>
  <si>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</si>
  <si>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</si>
  <si>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</si>
  <si>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</si>
  <si>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</si>
  <si>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</si>
  <si>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</si>
  <si>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</si>
  <si>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</si>
  <si>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</si>
  <si>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</si>
  <si>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</si>
  <si>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</si>
  <si>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</si>
  <si>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</si>
  <si>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</si>
  <si>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</si>
  <si>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</si>
  <si>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</si>
  <si>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</si>
  <si>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</si>
  <si>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</si>
  <si>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</si>
  <si>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</si>
  <si>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</si>
  <si>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</si>
  <si>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</si>
  <si>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</si>
  <si>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</si>
  <si>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</si>
  <si>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</si>
  <si>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</si>
  <si>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</si>
  <si>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</si>
  <si>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</si>
  <si>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</si>
  <si>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</si>
  <si>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</si>
  <si>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</si>
  <si>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</si>
  <si>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</si>
  <si>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</si>
  <si>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</si>
  <si>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</si>
  <si>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</si>
  <si>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</si>
  <si>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</si>
  <si>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</si>
  <si>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</si>
  <si>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</si>
  <si>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</si>
  <si>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</si>
  <si>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</si>
  <si>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</si>
  <si>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</si>
  <si>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</si>
  <si>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</si>
  <si>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</si>
  <si>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</si>
  <si>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</si>
  <si>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</si>
  <si>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</si>
  <si>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</si>
  <si>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</si>
  <si>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</si>
  <si>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</si>
  <si>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</si>
  <si>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</si>
  <si>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</si>
  <si>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</si>
  <si>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</si>
  <si>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</si>
  <si>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</si>
  <si>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</si>
  <si>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</si>
  <si>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</si>
  <si>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</si>
  <si>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</si>
  <si>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</si>
  <si>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</si>
  <si>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</si>
  <si>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</si>
  <si>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</si>
  <si>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</si>
  <si>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</si>
  <si>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</si>
  <si>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</si>
  <si>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</si>
  <si>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</si>
  <si>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</si>
  <si>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</si>
  <si>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</si>
  <si>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</si>
  <si>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</si>
  <si>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</si>
  <si>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</si>
  <si>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</si>
  <si>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</si>
  <si>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</si>
  <si>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</si>
  <si>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</si>
  <si>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</si>
  <si>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</si>
  <si>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</si>
  <si>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</si>
  <si>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</si>
  <si>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</si>
  <si>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</si>
  <si>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</si>
  <si>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</si>
  <si>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</si>
  <si>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</si>
  <si>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</si>
  <si>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</si>
  <si>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</si>
  <si>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</si>
  <si>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</si>
  <si>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</si>
  <si>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</si>
  <si>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</si>
  <si>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</si>
  <si>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</si>
  <si>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</si>
  <si>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</si>
  <si>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</si>
  <si>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</si>
  <si>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</si>
  <si>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</si>
  <si>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</si>
  <si>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</si>
  <si>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</si>
  <si>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</si>
  <si>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</si>
  <si>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</si>
  <si>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</si>
  <si>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</si>
  <si>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</si>
  <si>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</si>
  <si>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</si>
  <si>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</si>
  <si>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</si>
  <si>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</si>
  <si>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</si>
  <si>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</si>
  <si>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</si>
  <si>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</si>
  <si>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</si>
  <si>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</si>
  <si>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</si>
  <si>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</si>
  <si>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</si>
  <si>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</si>
  <si>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</si>
  <si>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</si>
  <si>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</si>
  <si>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</si>
  <si>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</si>
  <si>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</si>
  <si>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</si>
  <si>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</si>
  <si>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</si>
  <si>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</si>
  <si>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</si>
  <si>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</si>
  <si>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</si>
  <si>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</si>
  <si>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</si>
  <si>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</si>
  <si>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</si>
  <si>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</si>
  <si>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</si>
  <si>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</si>
  <si>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</si>
  <si>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</si>
  <si>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</si>
  <si>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</si>
  <si>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</si>
  <si>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</si>
  <si>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</si>
  <si>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</si>
  <si>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</si>
  <si>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</si>
  <si>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</si>
  <si>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</si>
  <si>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</si>
  <si>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</si>
  <si>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</si>
  <si>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</si>
  <si>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</si>
  <si>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</si>
  <si>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</si>
  <si>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</si>
  <si>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</si>
  <si>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</si>
  <si>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</si>
  <si>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</si>
  <si>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</si>
  <si>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</si>
  <si>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</si>
  <si>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</si>
  <si>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</si>
  <si>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</si>
  <si>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</si>
  <si>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</si>
  <si>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</si>
  <si>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</si>
  <si>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</si>
  <si>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</si>
  <si>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</si>
  <si>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</si>
  <si>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</si>
  <si>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</si>
  <si>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</si>
  <si>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</si>
  <si>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</si>
  <si>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</si>
  <si>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</si>
  <si>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</si>
  <si>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</si>
  <si>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</si>
  <si>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</si>
  <si>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</si>
  <si>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</si>
  <si>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</si>
  <si>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</si>
  <si>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</si>
  <si>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</si>
  <si>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</si>
  <si>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</si>
  <si>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</si>
  <si>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</si>
  <si>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</si>
  <si>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</si>
  <si>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</si>
  <si>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</si>
  <si>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</si>
  <si>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</si>
  <si>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</si>
  <si>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</si>
  <si>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</si>
  <si>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</si>
  <si>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</si>
  <si>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</si>
  <si>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</si>
  <si>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</si>
  <si>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</si>
  <si>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</si>
  <si>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</si>
  <si>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</si>
  <si>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</si>
  <si>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</si>
  <si>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</si>
  <si>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</si>
  <si>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</si>
  <si>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</si>
  <si>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</si>
  <si>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</si>
  <si>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</si>
  <si>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</si>
  <si>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</si>
  <si>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</si>
  <si>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</si>
  <si>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</si>
  <si>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</si>
  <si>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</si>
  <si>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</si>
  <si>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</si>
  <si>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</si>
  <si>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</si>
  <si>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</si>
  <si>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</si>
  <si>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</si>
  <si>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</si>
  <si>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</si>
  <si>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</si>
  <si>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</si>
  <si>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</si>
  <si>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</si>
  <si>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</si>
  <si>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</si>
  <si>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</si>
  <si>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</si>
  <si>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</si>
  <si>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</si>
  <si>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</si>
  <si>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</si>
  <si>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</si>
  <si>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</si>
  <si>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</si>
  <si>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</si>
  <si>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</si>
  <si>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</si>
  <si>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</si>
  <si>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</si>
  <si>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</si>
  <si>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</si>
  <si>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</si>
  <si>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</si>
  <si>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</si>
  <si>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</si>
  <si>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</si>
  <si>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</si>
  <si>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</si>
  <si>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</si>
  <si>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</si>
  <si>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</si>
  <si>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</si>
  <si>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</si>
  <si>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</si>
  <si>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</si>
  <si>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</si>
  <si>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</si>
  <si>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</si>
  <si>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</si>
  <si>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</si>
  <si>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</si>
  <si>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</si>
  <si>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</si>
  <si>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</si>
  <si>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</si>
  <si>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</si>
  <si>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</si>
  <si>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</si>
  <si>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</si>
  <si>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</si>
  <si>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</si>
  <si>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</si>
  <si>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</si>
  <si>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</si>
  <si>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</si>
  <si>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</si>
  <si>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</si>
  <si>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</si>
  <si>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</si>
  <si>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</si>
  <si>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</si>
  <si>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</si>
  <si>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</si>
  <si>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</si>
  <si>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</si>
  <si>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</si>
  <si>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</si>
  <si>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</si>
  <si>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</si>
  <si>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</si>
  <si>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</si>
  <si>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</si>
  <si>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</si>
  <si>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</si>
  <si>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</si>
  <si>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</si>
  <si>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</si>
  <si>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</si>
  <si>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</si>
  <si>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</si>
  <si>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</si>
  <si>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</si>
  <si>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</si>
  <si>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</si>
  <si>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</si>
  <si>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</si>
  <si>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</si>
  <si>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</si>
  <si>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</si>
  <si>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</si>
  <si>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</si>
  <si>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</si>
  <si>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</si>
  <si>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</si>
  <si>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</si>
  <si>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</si>
  <si>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</si>
  <si>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</si>
  <si>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</si>
  <si>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</si>
  <si>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</si>
  <si>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</si>
  <si>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</si>
  <si>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</si>
  <si>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</si>
  <si>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</si>
  <si>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</si>
  <si>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</si>
  <si>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</si>
  <si>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</si>
  <si>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</si>
  <si>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</si>
  <si>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</si>
  <si>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</si>
  <si>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</si>
  <si>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</si>
  <si>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</si>
  <si>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</si>
  <si>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</si>
  <si>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</si>
  <si>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</si>
  <si>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</si>
  <si>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</si>
  <si>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</si>
  <si>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</si>
  <si>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</si>
  <si>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</si>
  <si>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</si>
  <si>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</si>
  <si>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</si>
  <si>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</si>
  <si>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</si>
  <si>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</si>
  <si>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</si>
  <si>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</si>
  <si>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</si>
  <si>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</si>
  <si>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</si>
  <si>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</si>
  <si>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</si>
  <si>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</si>
  <si>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</si>
  <si>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</si>
  <si>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</si>
  <si>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</si>
  <si>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</si>
  <si>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</si>
  <si>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</si>
  <si>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</si>
  <si>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</si>
  <si>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</si>
  <si>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</si>
  <si>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</si>
  <si>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</si>
  <si>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</si>
  <si>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</si>
  <si>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</si>
  <si>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</si>
  <si>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</si>
  <si>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</si>
  <si>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</si>
  <si>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</si>
  <si>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</si>
  <si>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</si>
  <si>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</si>
  <si>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</si>
  <si>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</si>
  <si>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</si>
  <si>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</si>
  <si>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</si>
  <si>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</si>
  <si>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</si>
  <si>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</si>
  <si>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</si>
  <si>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</si>
  <si>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</si>
  <si>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</si>
  <si>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</si>
  <si>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</si>
  <si>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</si>
  <si>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</si>
  <si>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</si>
  <si>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</si>
  <si>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</si>
  <si>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</si>
  <si>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</si>
  <si>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</si>
  <si>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</si>
  <si>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</si>
  <si>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</si>
  <si>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</si>
  <si>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</si>
  <si>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</si>
  <si>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</si>
  <si>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</si>
  <si>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</si>
  <si>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</si>
  <si>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</si>
  <si>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</si>
  <si>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</si>
  <si>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</si>
  <si>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</si>
  <si>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</si>
  <si>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</si>
  <si>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</si>
  <si>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</si>
  <si>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</si>
  <si>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</si>
  <si>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</si>
  <si>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</si>
  <si>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</si>
  <si>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</si>
  <si>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</si>
  <si>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</si>
  <si>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</si>
  <si>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</si>
  <si>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</si>
  <si>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</si>
  <si>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</si>
  <si>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</si>
  <si>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</si>
  <si>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</si>
  <si>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</si>
  <si>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</si>
  <si>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</si>
  <si>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</si>
  <si>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</si>
  <si>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</si>
  <si>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</si>
  <si>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</si>
  <si>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</si>
  <si>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</si>
  <si>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</si>
  <si>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</si>
  <si>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</si>
  <si>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</si>
  <si>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</si>
  <si>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</si>
  <si>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</si>
  <si>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</si>
  <si>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</si>
  <si>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</si>
  <si>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</si>
  <si>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</si>
  <si>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</si>
  <si>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</si>
  <si>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</si>
  <si>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</si>
  <si>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</si>
  <si>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</si>
  <si>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</si>
  <si>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</si>
  <si>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</si>
  <si>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</si>
  <si>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</si>
  <si>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</si>
  <si>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</si>
  <si>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</si>
  <si>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</si>
  <si>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</si>
  <si>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</si>
  <si>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</si>
  <si>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</si>
  <si>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</si>
  <si>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</si>
  <si>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</si>
  <si>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</si>
  <si>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</si>
  <si>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</si>
  <si>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</si>
  <si>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</si>
  <si>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</si>
  <si>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</si>
  <si>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</si>
  <si>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</si>
  <si>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</si>
  <si>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</si>
  <si>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</si>
  <si>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</si>
  <si>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</si>
  <si>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</si>
  <si>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</si>
  <si>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</si>
  <si>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</si>
  <si>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</si>
  <si>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</si>
  <si>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</si>
  <si>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</si>
  <si>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</si>
  <si>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</si>
  <si>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</si>
  <si>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</si>
  <si>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</si>
  <si>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</si>
  <si>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</si>
  <si>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</si>
  <si>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</si>
  <si>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</si>
  <si>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</si>
  <si>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</si>
  <si>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</si>
  <si>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</si>
  <si>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</si>
  <si>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</si>
  <si>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</si>
  <si>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</si>
  <si>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</si>
  <si>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</si>
  <si>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</si>
  <si>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</si>
  <si>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</si>
  <si>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</si>
  <si>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</si>
  <si>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</si>
  <si>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</si>
  <si>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</si>
  <si>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</si>
  <si>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</si>
  <si>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</si>
  <si>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</si>
  <si>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</si>
  <si>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</si>
  <si>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</si>
  <si>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</si>
  <si>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</si>
  <si>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</si>
  <si>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</si>
  <si>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</si>
  <si>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</si>
  <si>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</si>
  <si>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</si>
  <si>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</si>
  <si>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</si>
  <si>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</si>
  <si>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</si>
  <si>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</si>
  <si>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</si>
  <si>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</si>
  <si>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</si>
  <si>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</si>
  <si>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</si>
  <si>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</si>
  <si>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</si>
  <si>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</si>
  <si>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</si>
  <si>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</si>
  <si>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</si>
  <si>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</si>
  <si>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</si>
  <si>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</si>
  <si>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</si>
  <si>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</si>
  <si>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</si>
  <si>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</si>
  <si>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</si>
  <si>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</si>
  <si>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</si>
  <si>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</si>
  <si>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</si>
  <si>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</si>
  <si>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</si>
  <si>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</si>
  <si>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</si>
  <si>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</si>
  <si>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</si>
  <si>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</si>
  <si>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</si>
  <si>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</si>
  <si>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</si>
  <si>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</si>
  <si>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</si>
  <si>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</si>
  <si>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</si>
  <si>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</si>
  <si>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</si>
  <si>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</si>
  <si>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</si>
  <si>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</si>
  <si>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</si>
  <si>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</si>
  <si>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</si>
  <si>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</si>
  <si>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</si>
  <si>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</si>
  <si>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</si>
  <si>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</si>
  <si>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</si>
  <si>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</si>
  <si>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</si>
  <si>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</si>
  <si>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</si>
  <si>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</si>
  <si>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</si>
  <si>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</si>
  <si>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</si>
  <si>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</si>
  <si>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</si>
  <si>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</si>
  <si>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</si>
  <si>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</si>
  <si>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</si>
  <si>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</si>
  <si>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</si>
  <si>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</si>
  <si>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</si>
  <si>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</si>
  <si>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</si>
  <si>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</si>
  <si>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</si>
  <si>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</si>
  <si>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</si>
  <si>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</si>
  <si>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</si>
  <si>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</si>
  <si>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</si>
  <si>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</si>
  <si>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</si>
  <si>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</si>
  <si>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</si>
  <si>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</si>
  <si>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</si>
  <si>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</si>
  <si>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</si>
  <si>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</si>
  <si>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</si>
  <si>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</si>
  <si>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</si>
  <si>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</si>
  <si>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</si>
  <si>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</si>
  <si>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</si>
  <si>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</si>
  <si>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</si>
  <si>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</si>
  <si>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</si>
  <si>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</si>
  <si>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</si>
  <si>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</si>
  <si>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</si>
  <si>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</si>
  <si>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</si>
  <si>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</si>
  <si>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</si>
  <si>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</si>
  <si>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</si>
  <si>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</si>
  <si>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</si>
  <si>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</si>
  <si>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</si>
  <si>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</si>
  <si>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</si>
  <si>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</si>
  <si>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</si>
  <si>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</si>
  <si>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</si>
  <si>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</si>
  <si>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</si>
  <si>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</si>
  <si>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</si>
  <si>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</si>
  <si>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</si>
  <si>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</si>
  <si>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</si>
  <si>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</si>
  <si>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</si>
  <si>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</si>
  <si>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</si>
  <si>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</si>
  <si>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</si>
  <si>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</si>
  <si>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</si>
  <si>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</si>
  <si>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</si>
  <si>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</si>
  <si>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</si>
  <si>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</si>
  <si>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</si>
  <si>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</si>
  <si>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</si>
  <si>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</si>
  <si>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</si>
  <si>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</si>
  <si>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</si>
  <si>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</si>
  <si>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</si>
  <si>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</si>
  <si>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</si>
  <si>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</si>
  <si>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</si>
  <si>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</si>
  <si>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</si>
  <si>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</si>
  <si>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</si>
  <si>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</si>
  <si>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</si>
  <si>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</si>
  <si>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</si>
  <si>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</si>
  <si>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</si>
  <si>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</si>
  <si>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</si>
  <si>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</si>
  <si>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</si>
  <si>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</si>
  <si>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</si>
  <si>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</si>
  <si>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</si>
  <si>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</si>
  <si>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</si>
  <si>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</si>
  <si>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</si>
  <si>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</si>
  <si>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</si>
  <si>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</si>
  <si>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</si>
  <si>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</si>
  <si>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</si>
  <si>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</si>
  <si>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</si>
  <si>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</si>
  <si>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</si>
  <si>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</si>
  <si>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</si>
  <si>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</si>
  <si>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</si>
  <si>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</si>
  <si>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</si>
  <si>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</si>
  <si>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</si>
  <si>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</si>
  <si>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</si>
  <si>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</si>
  <si>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</si>
  <si>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</si>
  <si>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</si>
  <si>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</si>
  <si>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</si>
  <si>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</si>
  <si>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</si>
  <si>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</si>
  <si>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</si>
  <si>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</si>
  <si>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</si>
  <si>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</si>
  <si>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</si>
  <si>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</si>
  <si>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</si>
  <si>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</si>
  <si>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</si>
  <si>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</si>
  <si>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</si>
  <si>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</si>
  <si>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</si>
  <si>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</si>
  <si>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</si>
  <si>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</si>
  <si>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</si>
  <si>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</si>
  <si>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</si>
  <si>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</si>
  <si>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</si>
  <si>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</si>
  <si>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</si>
  <si>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</si>
  <si>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</si>
  <si>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</si>
  <si>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</si>
  <si>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</si>
  <si>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</si>
  <si>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</si>
  <si>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</si>
  <si>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</si>
  <si>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</si>
  <si>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</si>
  <si>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</si>
  <si>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</si>
  <si>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</si>
  <si>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</si>
  <si>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</si>
  <si>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</si>
  <si>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</si>
  <si>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</si>
  <si>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</si>
  <si>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</si>
  <si>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</si>
  <si>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</si>
  <si>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</si>
  <si>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</si>
  <si>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</si>
  <si>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</si>
  <si>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</si>
  <si>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</si>
  <si>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</si>
  <si>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</si>
  <si>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</si>
  <si>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</si>
  <si>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</si>
  <si>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</si>
  <si>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</si>
  <si>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</si>
  <si>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</si>
  <si>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</si>
  <si>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</si>
  <si>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</si>
  <si>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</si>
  <si>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</si>
  <si>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</si>
  <si>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</si>
  <si>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</si>
  <si>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</si>
  <si>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</si>
  <si>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</si>
  <si>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</si>
  <si>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</si>
  <si>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</si>
  <si>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</si>
  <si>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</si>
  <si>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</si>
  <si>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</si>
  <si>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</si>
  <si>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</si>
  <si>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</si>
  <si>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</si>
  <si>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</si>
  <si>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</si>
  <si>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</si>
  <si>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</si>
  <si>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</si>
  <si>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</si>
  <si>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</si>
  <si>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</si>
  <si>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</si>
  <si>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</si>
  <si>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</si>
  <si>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</si>
  <si>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</si>
  <si>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</si>
  <si>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</si>
  <si>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</si>
  <si>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</si>
  <si>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</si>
  <si>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</si>
  <si>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</si>
  <si>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</si>
  <si>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</si>
  <si>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</si>
  <si>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</si>
  <si>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</si>
  <si>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</si>
  <si>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</si>
  <si>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</si>
  <si>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</si>
  <si>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</si>
  <si>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</si>
  <si>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</si>
  <si>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</si>
  <si>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</si>
  <si>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</si>
  <si>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</si>
  <si>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</si>
  <si>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</si>
  <si>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</si>
  <si>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</si>
  <si>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</si>
  <si>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</si>
  <si>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</si>
  <si>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</si>
  <si>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</si>
  <si>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</si>
  <si>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</si>
  <si>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</si>
  <si>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</si>
  <si>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</si>
  <si>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</si>
  <si>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</si>
  <si>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</si>
  <si>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</si>
  <si>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</si>
  <si>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</si>
  <si>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</si>
  <si>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</si>
  <si>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</si>
  <si>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</si>
  <si>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</si>
  <si>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</si>
  <si>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</si>
  <si>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</si>
  <si>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</si>
  <si>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</si>
  <si>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</si>
  <si>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</si>
  <si>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</si>
  <si>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</si>
  <si>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</si>
  <si>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</si>
  <si>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</si>
  <si>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</si>
  <si>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</si>
  <si>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</si>
  <si>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</si>
  <si>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</si>
  <si>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</si>
  <si>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</si>
  <si>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</si>
  <si>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</si>
  <si>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</si>
  <si>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</si>
  <si>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</si>
  <si>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</si>
  <si>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</si>
  <si>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</si>
  <si>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</si>
  <si>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</si>
  <si>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</si>
  <si>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</si>
  <si>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</si>
  <si>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</si>
  <si>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</si>
  <si>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</si>
  <si>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</si>
  <si>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</si>
  <si>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</si>
  <si>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</si>
  <si>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</si>
  <si>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</si>
  <si>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</si>
  <si>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</si>
  <si>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</si>
  <si>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</si>
  <si>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</si>
  <si>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</si>
  <si>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</si>
  <si>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</si>
  <si>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</si>
  <si>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</si>
  <si>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</si>
  <si>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</si>
  <si>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</si>
  <si>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</si>
  <si>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</si>
  <si>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</si>
  <si>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</si>
  <si>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</si>
  <si>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</si>
  <si>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</si>
  <si>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</si>
  <si>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</si>
  <si>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</si>
  <si>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</si>
  <si>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</si>
  <si>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</si>
  <si>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</si>
  <si>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</si>
  <si>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</si>
  <si>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</si>
  <si>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</si>
  <si>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</si>
  <si>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</si>
  <si>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</si>
  <si>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</si>
  <si>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</si>
  <si>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</si>
  <si>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</si>
  <si>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</si>
  <si>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</si>
  <si>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</si>
  <si>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</si>
  <si>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</si>
  <si>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</si>
  <si>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</si>
  <si>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</si>
  <si>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</si>
  <si>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</si>
  <si>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</si>
  <si>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</si>
  <si>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</si>
  <si>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</si>
  <si>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</si>
  <si>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</si>
  <si>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</si>
  <si>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</si>
  <si>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</si>
  <si>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</si>
  <si>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</si>
  <si>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</si>
  <si>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</si>
  <si>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</si>
  <si>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</si>
  <si>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</si>
  <si>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</si>
  <si>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</si>
  <si>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</si>
  <si>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</si>
  <si>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</si>
  <si>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</si>
  <si>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</si>
  <si>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</si>
  <si>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</si>
  <si>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</si>
  <si>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</si>
  <si>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</si>
  <si>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</si>
  <si>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</si>
  <si>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</si>
  <si>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</si>
  <si>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</si>
  <si>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</si>
  <si>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</si>
  <si>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</si>
  <si>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</si>
  <si>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</si>
  <si>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</si>
  <si>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</si>
  <si>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</si>
  <si>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</si>
  <si>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</si>
  <si>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</si>
  <si>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</si>
  <si>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</si>
  <si>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</si>
  <si>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</si>
  <si>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</si>
  <si>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</si>
  <si>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Marion</t>
  </si>
  <si>
    <t>1300 Bobcat Circle</t>
  </si>
  <si>
    <t xml:space="preserve">Salem </t>
  </si>
  <si>
    <t>Dr. Leslie Foppe</t>
  </si>
  <si>
    <t>618-548-7702</t>
  </si>
  <si>
    <t>618-548-7714</t>
  </si>
  <si>
    <t>General Obligation School Bond Series 2016</t>
  </si>
  <si>
    <t>GO School Bond</t>
  </si>
  <si>
    <t>ISBE Technology Revolving Loan</t>
  </si>
  <si>
    <t>Technology Loan</t>
  </si>
  <si>
    <t>10-1993:  ICARE ($8,680)</t>
  </si>
  <si>
    <t>10-1999:  Other Local Income ($10,496)</t>
  </si>
  <si>
    <t>10-3999:  State Library Grant ($750)</t>
  </si>
  <si>
    <t>20-1999:  Other Income ($5,550)</t>
  </si>
  <si>
    <t>Schedule of Restricted Local Tax Levies and Selected Revenue Sources:  Other Receipts - Special Education Personnel ($63,451); Special</t>
  </si>
  <si>
    <t>Kaskaskia Special Education District</t>
  </si>
  <si>
    <t>Education Orphanage ($294,121</t>
  </si>
  <si>
    <t>30-5400(600):  Debt Service Fees ($125)</t>
  </si>
  <si>
    <t>10-1690:  Food - Other ($2,857)</t>
  </si>
  <si>
    <t>10-2490(100):  Secretary Salaries ($49,926)</t>
  </si>
  <si>
    <t>10-2490(200):  Secretary Benefits ($11)</t>
  </si>
  <si>
    <t>50-2490(200):  Secretary Benefits ($10,190)</t>
  </si>
  <si>
    <t xml:space="preserve">Schedule of Long-Term Debt Issued:  ISBE Technology Loan issued ($172,580) </t>
  </si>
  <si>
    <t>ADVERSE</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</si>
  <si>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</si>
  <si>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</si>
  <si>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</si>
  <si>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</si>
  <si>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</si>
  <si>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</si>
  <si>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</si>
  <si>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2019-001</t>
  </si>
  <si>
    <t xml:space="preserve">The audit firm prepares the financial statements and </t>
  </si>
  <si>
    <t>with the technical training to do this internally.</t>
  </si>
  <si>
    <t>disclosures, while the District does not maintain staff</t>
  </si>
  <si>
    <t>Due to the cost/benefit, no action was expected.</t>
  </si>
  <si>
    <t>United States Department of Education</t>
  </si>
  <si>
    <t>Passed Through Illinois State Board of Education</t>
  </si>
  <si>
    <t xml:space="preserve">     Title I Low Income (M)</t>
  </si>
  <si>
    <t xml:space="preserve">     Title II Supporting Effective Instruction</t>
  </si>
  <si>
    <t xml:space="preserve">     Title V Rural Education Initiative</t>
  </si>
  <si>
    <t>Passed Through Kaskaskia Special Education District</t>
  </si>
  <si>
    <t xml:space="preserve">     Special Education Cluster</t>
  </si>
  <si>
    <t xml:space="preserve">        IDEA Preschool</t>
  </si>
  <si>
    <t xml:space="preserve">        IDEA, Part B</t>
  </si>
  <si>
    <t xml:space="preserve">        IDEA, Room &amp; Board</t>
  </si>
  <si>
    <t>Total Special Education Cluster</t>
  </si>
  <si>
    <t>Total United States Department of Education</t>
  </si>
  <si>
    <t>84.027A</t>
  </si>
  <si>
    <t>2019-4300</t>
  </si>
  <si>
    <t>2020-4300</t>
  </si>
  <si>
    <t>2019-4932</t>
  </si>
  <si>
    <t>2020-4932</t>
  </si>
  <si>
    <t>2019-4107</t>
  </si>
  <si>
    <t>2020-4107</t>
  </si>
  <si>
    <t>2019-4600</t>
  </si>
  <si>
    <t>2020-4600</t>
  </si>
  <si>
    <t>2019-4620</t>
  </si>
  <si>
    <t>2020-4620</t>
  </si>
  <si>
    <t>2019-4625</t>
  </si>
  <si>
    <t>United States Department of Agriculture</t>
  </si>
  <si>
    <t xml:space="preserve">     Child Nutrition Cluster</t>
  </si>
  <si>
    <t xml:space="preserve">        National School Lunch Program (M)</t>
  </si>
  <si>
    <t xml:space="preserve">        Commodity Assistance (M)</t>
  </si>
  <si>
    <t>Total United States Department of Agriculture</t>
  </si>
  <si>
    <t xml:space="preserve">             Total National School Lunch Program</t>
  </si>
  <si>
    <t xml:space="preserve">        COVID-19 National School Lunch Program (M)</t>
  </si>
  <si>
    <t xml:space="preserve">        School Breakfast Program (M)</t>
  </si>
  <si>
    <t xml:space="preserve">        COVID-19 School Breakfast Program (M)</t>
  </si>
  <si>
    <t xml:space="preserve">             Total School Breakfast Program</t>
  </si>
  <si>
    <t>2019-4210</t>
  </si>
  <si>
    <t>2020-4210</t>
  </si>
  <si>
    <t>2019-4220</t>
  </si>
  <si>
    <t>2020-4220</t>
  </si>
  <si>
    <t>Child Nutrition Cluster (Continued)</t>
  </si>
  <si>
    <t>United States Department of Defense</t>
  </si>
  <si>
    <t xml:space="preserve">     Fresh Fruits and Vegetables Program (M)</t>
  </si>
  <si>
    <t>Total United States Department of Defense</t>
  </si>
  <si>
    <t>Total Child Nutrition Cluster</t>
  </si>
  <si>
    <t>Department of Health &amp; Human Services</t>
  </si>
  <si>
    <t xml:space="preserve">     Medicaid Award</t>
  </si>
  <si>
    <t>Total Department of Health &amp; Human Services</t>
  </si>
  <si>
    <t>Total Federal Funds</t>
  </si>
  <si>
    <t>N/A</t>
  </si>
  <si>
    <r>
      <t xml:space="preserve">Of the federal expenditures presented in the schedule, </t>
    </r>
    <r>
      <rPr>
        <b/>
        <sz val="9"/>
        <rFont val="Calibri"/>
        <family val="2"/>
        <scheme val="minor"/>
      </rPr>
      <t>Salem Elementary School District 111</t>
    </r>
    <r>
      <rPr>
        <sz val="9"/>
        <rFont val="Calibri"/>
        <family val="2"/>
        <scheme val="minor"/>
      </rPr>
      <t xml:space="preserve"> provided federal awards to subrecipients as follows:</t>
    </r>
  </si>
  <si>
    <r>
      <t xml:space="preserve">The accompanying Schedule of Expenditures of Federal Awards includes the federal grant activity of Salem Elementary School District 111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</si>
  <si>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Salem Elementary School District 111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</si>
  <si>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Title I</t>
  </si>
  <si>
    <t>10.553 &amp; 10.555</t>
  </si>
  <si>
    <t>Child Nutrition Cluster</t>
  </si>
  <si>
    <t>Child Nutrition Cluster: National School Lunch and School Breakfast Program</t>
  </si>
  <si>
    <t>2020-4210 &amp; 2020-4220</t>
  </si>
  <si>
    <t>10.555 &amp; 10.553</t>
  </si>
  <si>
    <t>Illinois State Board of Education</t>
  </si>
  <si>
    <t>The District did not verify and document that the vendors they used for cafeteria services and supplies were not suspended, debarred, or otherwise excluded from participating in the covered transaction with the District.</t>
  </si>
  <si>
    <t>The District is in noncompliance with the Suspension and Debarment verification and documentation requirement.</t>
  </si>
  <si>
    <t>The District did not verify and document suspension or debarment of cafeteria vendors who were paid with federal funds for cafeteria services and supplies during the fiscal year.</t>
  </si>
  <si>
    <t>The District will make sure to verify that the vendors they use, and pay with federal funds, for cafeteria services and supplies are not suspended, debarred, or otherwise excluded from participating in the covered transaction annually.</t>
  </si>
  <si>
    <t>Under the Procurement and Suspension and Debarment compliance requirement, management is responsible for designing internal control activities to verify and document suspension and debarment on vendors who are paid with federal funds.</t>
  </si>
  <si>
    <t xml:space="preserve">During the course of the audit it was noted that the District did not verify and document the suspension and debarment check of vendors paid with federal funds of which they used to purchase cafeteria services and supplies from. </t>
  </si>
  <si>
    <t>This section is not applicable to this specific finding. This finding relates to the Procurement and Suspension and Debarment section of the compliance requirements of the OMB 2 CFR Part 200 Compliance Supplement. This finding does not affect costs of the program as vendors paid with federal funds were not suspended or debarred.</t>
  </si>
  <si>
    <t>We recommend the District annually verifies and documents that the vendors they use to purchase cafeteria services and supplies from who are paid with federal funds are not suspended, debarred, or otherwise excluded from participating in the covered transaction. This can be done by checking the excluded parties list on www.sam.gov or adding a clause or condition to the contract.</t>
  </si>
  <si>
    <t>Unmodified</t>
  </si>
  <si>
    <t>ED - Board of Education Services - Purchased Services</t>
  </si>
  <si>
    <t>ED - Instruction - Purchased Services</t>
  </si>
  <si>
    <t>US Bank - GFI</t>
  </si>
  <si>
    <t xml:space="preserve"> Salem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</si>
</sst>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605270</xdr:colOff>
          <xdr:row>1</xdr:row>
          <xdr:rowOff>2598</xdr:rowOff>
        </xdr:from>
        <xdr:to>
          <xdr:col>4</xdr:col>
          <xdr:colOff>316057</xdr:colOff>
          <xdr:row>5</xdr:row>
          <xdr:rowOff>155864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598343</xdr:colOff>
          <xdr:row>1</xdr:row>
          <xdr:rowOff>2598</xdr:rowOff>
        </xdr:from>
        <xdr:to>
          <xdr:col>6</xdr:col>
          <xdr:colOff>309130</xdr:colOff>
          <xdr:row>5</xdr:row>
          <xdr:rowOff>155864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591416</xdr:colOff>
          <xdr:row>1</xdr:row>
          <xdr:rowOff>2598</xdr:rowOff>
        </xdr:from>
        <xdr:to>
          <xdr:col>8</xdr:col>
          <xdr:colOff>302202</xdr:colOff>
          <xdr:row>5</xdr:row>
          <xdr:rowOff>155864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402</v>
      </c>
      <c r="J1" s="2078"/>
      <c r="K1" s="2078"/>
      <c r="L1" s="2078"/>
      <c r="M1" s="2078"/>
      <c r="N1" s="2078"/>
      <c r="O1" s="2078"/>
      <c r="P1" s="2078"/>
      <c r="Q1" s="2078"/>
      <c r="R1" s="2078"/>
      <c r="S1" s="2078"/>
    </row>
    <row r="2" spans="1:32" ht="12" customHeight="1" x14ac:dyDescent="0.2">
      <c r="A2" s="1831" t="str">
        <f>"Due to ISBE on "</f>
        <v xml:space="preserve">Due to ISBE on </v>
      </c>
      <c r="B2" s="2120">
        <f>+'AFR20'!F4</f>
        <v>44151</v>
      </c>
      <c r="C2" s="2120"/>
      <c r="D2" s="2121"/>
      <c r="I2" s="2079" t="s">
        <v>2000</v>
      </c>
      <c r="J2" s="2078"/>
      <c r="K2" s="2078"/>
      <c r="L2" s="2078"/>
      <c r="M2" s="2078"/>
      <c r="N2" s="2078"/>
      <c r="O2" s="2078"/>
      <c r="P2" s="2078"/>
      <c r="Q2" s="2078"/>
      <c r="R2" s="2078"/>
      <c r="S2" s="2078"/>
    </row>
    <row r="3" spans="1:32" ht="12" customHeight="1" x14ac:dyDescent="0.2">
      <c r="A3" s="1834"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t="s">
        <v>2048</v>
      </c>
      <c r="C5" s="26" t="s">
        <v>904</v>
      </c>
      <c r="D5" s="81"/>
      <c r="E5" s="81"/>
      <c r="H5" s="38"/>
      <c r="I5" s="2087" t="s">
        <v>675</v>
      </c>
      <c r="J5" s="2086"/>
      <c r="K5" s="2086"/>
      <c r="L5" s="2086"/>
      <c r="M5" s="2086"/>
      <c r="N5" s="2086"/>
      <c r="O5" s="2086"/>
      <c r="P5" s="2086"/>
      <c r="Q5" s="2086"/>
      <c r="R5" s="2086"/>
      <c r="S5" s="2086"/>
      <c r="AF5" s="1827"/>
    </row>
    <row r="6" spans="1:32" ht="14.1" customHeight="1" x14ac:dyDescent="0.2">
      <c r="B6" s="101"/>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5" t="s">
        <v>530</v>
      </c>
      <c r="U9" s="2136"/>
      <c r="V9" s="2136"/>
      <c r="W9" s="2136"/>
      <c r="X9" s="2136"/>
      <c r="Y9" s="2136"/>
      <c r="Z9" s="2136"/>
      <c r="AA9" s="2137"/>
    </row>
    <row r="10" spans="1:32" ht="13.5" customHeight="1" x14ac:dyDescent="0.2">
      <c r="A10" s="2142" t="s">
        <v>670</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949</v>
      </c>
      <c r="B11" s="2146"/>
      <c r="C11" s="2146"/>
      <c r="D11" s="2146"/>
      <c r="E11" s="2146"/>
      <c r="F11" s="2146"/>
      <c r="G11" s="2146"/>
      <c r="H11" s="2147"/>
      <c r="I11" s="27"/>
      <c r="J11" s="71"/>
      <c r="K11" s="27"/>
      <c r="O11" s="144" t="s">
        <v>2048</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13058111002</v>
      </c>
      <c r="B13" s="2099"/>
      <c r="C13" s="2099"/>
      <c r="D13" s="2099"/>
      <c r="E13" s="2099"/>
      <c r="F13" s="2099"/>
      <c r="G13" s="2099"/>
      <c r="H13" s="2100"/>
      <c r="I13" s="31"/>
      <c r="J13" s="30"/>
      <c r="K13" s="28"/>
      <c r="L13" s="30"/>
      <c r="M13" s="30"/>
      <c r="N13" s="30"/>
      <c r="O13" s="30"/>
      <c r="P13" s="30"/>
      <c r="Q13" s="30"/>
      <c r="R13" s="30"/>
      <c r="S13" s="30"/>
      <c r="T13" s="2104" t="s">
        <v>2049</v>
      </c>
      <c r="U13" s="2105"/>
      <c r="V13" s="2105"/>
      <c r="W13" s="2105"/>
      <c r="X13" s="2105"/>
      <c r="Y13" s="2106"/>
      <c r="Z13" s="2106"/>
      <c r="AA13" s="210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1" t="s">
        <v>2058</v>
      </c>
      <c r="B15" s="2102"/>
      <c r="C15" s="2102"/>
      <c r="D15" s="2102"/>
      <c r="E15" s="2102"/>
      <c r="F15" s="2102"/>
      <c r="G15" s="2102"/>
      <c r="H15" s="2103"/>
      <c r="T15" s="2108" t="s">
        <v>2050</v>
      </c>
      <c r="U15" s="2065"/>
      <c r="V15" s="2065"/>
      <c r="W15" s="2065"/>
      <c r="X15" s="2065"/>
      <c r="Y15" s="2109"/>
      <c r="Z15" s="2109"/>
      <c r="AA15" s="21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2164</v>
      </c>
      <c r="B17" s="2072"/>
      <c r="C17" s="2072"/>
      <c r="D17" s="2072"/>
      <c r="E17" s="2072"/>
      <c r="F17" s="2072"/>
      <c r="G17" s="2072"/>
      <c r="H17" s="2097"/>
      <c r="T17" s="2115" t="s">
        <v>2051</v>
      </c>
      <c r="U17" s="2116"/>
      <c r="V17" s="2116"/>
      <c r="W17" s="2116"/>
      <c r="X17" s="2116"/>
      <c r="Y17" s="2116"/>
      <c r="Z17" s="2116"/>
      <c r="AA17" s="2117"/>
    </row>
    <row r="18" spans="1:27" ht="13.5" customHeight="1" x14ac:dyDescent="0.2">
      <c r="A18" s="82" t="s">
        <v>527</v>
      </c>
      <c r="B18" s="73"/>
      <c r="C18" s="69"/>
      <c r="D18" s="73"/>
      <c r="E18" s="73"/>
      <c r="F18" s="73"/>
      <c r="G18" s="73"/>
      <c r="H18" s="53"/>
      <c r="I18" s="2096" t="s">
        <v>671</v>
      </c>
      <c r="J18" s="2047"/>
      <c r="K18" s="2047"/>
      <c r="L18" s="2047"/>
      <c r="M18" s="2047"/>
      <c r="N18" s="2047"/>
      <c r="O18" s="2047"/>
      <c r="P18" s="2047"/>
      <c r="Q18" s="2047"/>
      <c r="R18" s="2047"/>
      <c r="S18" s="2048"/>
      <c r="T18" s="82" t="s">
        <v>706</v>
      </c>
      <c r="U18" s="48"/>
      <c r="V18" s="69"/>
      <c r="W18" s="47"/>
      <c r="X18" s="82" t="s">
        <v>264</v>
      </c>
      <c r="Y18" s="78"/>
      <c r="Z18" s="154" t="s">
        <v>672</v>
      </c>
      <c r="AA18" s="44"/>
    </row>
    <row r="19" spans="1:27" ht="13.5" customHeight="1" x14ac:dyDescent="0.2">
      <c r="A19" s="2101" t="s">
        <v>2059</v>
      </c>
      <c r="B19" s="2057"/>
      <c r="C19" s="2057"/>
      <c r="D19" s="2057"/>
      <c r="E19" s="2057"/>
      <c r="F19" s="2057"/>
      <c r="G19" s="2057"/>
      <c r="H19" s="2037"/>
      <c r="I19" s="30"/>
      <c r="J19" s="96"/>
      <c r="K19" s="40"/>
      <c r="L19" s="38"/>
      <c r="M19" s="109" t="s">
        <v>312</v>
      </c>
      <c r="P19" s="27"/>
      <c r="Q19" s="27"/>
      <c r="R19" s="27"/>
      <c r="S19" s="31"/>
      <c r="T19" s="2101" t="s">
        <v>2052</v>
      </c>
      <c r="U19" s="2036"/>
      <c r="V19" s="2036"/>
      <c r="W19" s="2037"/>
      <c r="X19" s="2113" t="s">
        <v>2053</v>
      </c>
      <c r="Y19" s="2114"/>
      <c r="Z19" s="2111">
        <v>62881</v>
      </c>
      <c r="AA19" s="21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2060</v>
      </c>
      <c r="B21" s="2036"/>
      <c r="C21" s="2036"/>
      <c r="D21" s="2036"/>
      <c r="E21" s="2036"/>
      <c r="F21" s="2036"/>
      <c r="G21" s="2036"/>
      <c r="H21" s="2037"/>
      <c r="I21" s="2091" t="s">
        <v>673</v>
      </c>
      <c r="J21" s="2086"/>
      <c r="K21" s="2086"/>
      <c r="L21" s="2086"/>
      <c r="M21" s="2086"/>
      <c r="N21" s="2086"/>
      <c r="O21" s="2086"/>
      <c r="P21" s="2086"/>
      <c r="Q21" s="2086"/>
      <c r="R21" s="2086"/>
      <c r="S21" s="2092"/>
      <c r="T21" s="2126" t="s">
        <v>2054</v>
      </c>
      <c r="U21" s="2127"/>
      <c r="V21" s="2127"/>
      <c r="W21" s="2127"/>
      <c r="X21" s="2132" t="s">
        <v>2055</v>
      </c>
      <c r="Y21" s="2133"/>
      <c r="Z21" s="2133"/>
      <c r="AA21" s="2134"/>
    </row>
    <row r="22" spans="1:27" ht="13.5" customHeight="1" x14ac:dyDescent="0.2">
      <c r="A22" s="84" t="s">
        <v>528</v>
      </c>
      <c r="B22" s="56"/>
      <c r="C22" s="56"/>
      <c r="D22" s="56"/>
      <c r="E22" s="56"/>
      <c r="F22" s="56"/>
      <c r="G22" s="56"/>
      <c r="H22" s="57"/>
      <c r="I22" s="2093" t="s">
        <v>1412</v>
      </c>
      <c r="J22" s="2094"/>
      <c r="K22" s="2094"/>
      <c r="L22" s="2094"/>
      <c r="M22" s="2094"/>
      <c r="N22" s="2094"/>
      <c r="O22" s="2094"/>
      <c r="P22" s="2094"/>
      <c r="Q22" s="2094"/>
      <c r="R22" s="2094"/>
      <c r="S22" s="2095"/>
      <c r="T22" s="82" t="s">
        <v>1499</v>
      </c>
      <c r="U22" s="48"/>
      <c r="V22" s="69"/>
      <c r="W22" s="48"/>
      <c r="X22" s="155" t="s">
        <v>1307</v>
      </c>
      <c r="Z22" s="43"/>
      <c r="AA22" s="44"/>
    </row>
    <row r="23" spans="1:27" ht="13.5" customHeight="1" x14ac:dyDescent="0.2">
      <c r="A23" s="2088"/>
      <c r="B23" s="2089"/>
      <c r="C23" s="2089"/>
      <c r="D23" s="2089"/>
      <c r="E23" s="2089"/>
      <c r="F23" s="2089"/>
      <c r="G23" s="2089"/>
      <c r="H23" s="2090"/>
      <c r="T23" s="2071" t="s">
        <v>2056</v>
      </c>
      <c r="U23" s="2125"/>
      <c r="V23" s="2125"/>
      <c r="W23" s="2125"/>
      <c r="X23" s="2129">
        <v>44530</v>
      </c>
      <c r="Y23" s="2130"/>
      <c r="Z23" s="2130"/>
      <c r="AA23" s="2131"/>
    </row>
    <row r="24" spans="1:27" ht="14.1" customHeight="1" x14ac:dyDescent="0.2">
      <c r="A24" s="85" t="s">
        <v>672</v>
      </c>
      <c r="B24" s="46"/>
      <c r="C24" s="46"/>
      <c r="D24" s="46"/>
      <c r="E24" s="46"/>
      <c r="F24" s="46"/>
      <c r="G24" s="46"/>
      <c r="H24" s="58"/>
      <c r="J24" s="2058">
        <f>IF(B5="x",IF(AUDITCHECK!D29="AFR form Incomplete.","",IF(AUDITCHECK!D29="Deficit reduction plan is required.","School District must complete a deficit reduction plan in the 2020-2021 Budget",)),"")</f>
        <v>0</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5">
        <v>62881</v>
      </c>
      <c r="B25" s="2036"/>
      <c r="C25" s="2036"/>
      <c r="D25" s="2036"/>
      <c r="E25" s="2036"/>
      <c r="F25" s="2036"/>
      <c r="G25" s="2036"/>
      <c r="H25" s="2037"/>
      <c r="I25" s="110"/>
      <c r="J25" s="2060"/>
      <c r="K25" s="2060"/>
      <c r="L25" s="2060"/>
      <c r="M25" s="2060"/>
      <c r="N25" s="2060"/>
      <c r="O25" s="2060"/>
      <c r="P25" s="2060"/>
      <c r="Q25" s="2060"/>
      <c r="R25" s="2060"/>
      <c r="S25" s="2061"/>
      <c r="T25" s="2122" t="s">
        <v>2057</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6" t="s">
        <v>1494</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2061</v>
      </c>
      <c r="B38" s="2072"/>
      <c r="C38" s="2072"/>
      <c r="D38" s="2072"/>
      <c r="E38" s="2072"/>
      <c r="F38" s="2036"/>
      <c r="G38" s="2036"/>
      <c r="H38" s="2037"/>
      <c r="I38" s="2064"/>
      <c r="J38" s="2065"/>
      <c r="K38" s="2065"/>
      <c r="L38" s="2065"/>
      <c r="M38" s="2065"/>
      <c r="N38" s="2065"/>
      <c r="O38" s="2065"/>
      <c r="P38" s="2066"/>
      <c r="Q38" s="2066"/>
      <c r="R38" s="2066"/>
      <c r="S38" s="2067"/>
      <c r="T38" s="2108"/>
      <c r="U38" s="2065"/>
      <c r="V38" s="2065"/>
      <c r="W38" s="2065"/>
      <c r="X38" s="2066"/>
      <c r="Y38" s="2066"/>
      <c r="Z38" s="2066"/>
      <c r="AA38" s="2067"/>
    </row>
    <row r="39" spans="1:27" ht="12" customHeight="1" x14ac:dyDescent="0.2">
      <c r="A39" s="2041" t="s">
        <v>528</v>
      </c>
      <c r="B39" s="2042"/>
      <c r="C39" s="69"/>
      <c r="D39" s="66"/>
      <c r="E39" s="66"/>
      <c r="F39" s="76"/>
      <c r="G39" s="66"/>
      <c r="H39" s="53"/>
      <c r="I39" s="2041" t="s">
        <v>528</v>
      </c>
      <c r="J39" s="2042"/>
      <c r="K39" s="2042"/>
      <c r="L39" s="2042"/>
      <c r="M39" s="2042"/>
      <c r="N39" s="64"/>
      <c r="O39" s="69"/>
      <c r="P39" s="69"/>
      <c r="Q39" s="75"/>
      <c r="R39" s="69"/>
      <c r="S39" s="53"/>
      <c r="T39" s="69" t="s">
        <v>528</v>
      </c>
      <c r="U39" s="48"/>
      <c r="V39" s="69"/>
      <c r="W39" s="47"/>
      <c r="X39" s="75"/>
      <c r="Y39" s="43"/>
      <c r="Z39" s="43"/>
      <c r="AA39" s="44"/>
    </row>
    <row r="40" spans="1:27" ht="13.5" customHeight="1" x14ac:dyDescent="0.2">
      <c r="A40" s="2049"/>
      <c r="B40" s="2050"/>
      <c r="C40" s="2051"/>
      <c r="D40" s="2051"/>
      <c r="E40" s="2051"/>
      <c r="F40" s="2052"/>
      <c r="G40" s="2052"/>
      <c r="H40" s="2053"/>
      <c r="I40" s="2074"/>
      <c r="J40" s="2075"/>
      <c r="K40" s="2075"/>
      <c r="L40" s="2075"/>
      <c r="M40" s="2075"/>
      <c r="N40" s="2075"/>
      <c r="O40" s="2075"/>
      <c r="P40" s="2075"/>
      <c r="Q40" s="2075"/>
      <c r="R40" s="2075"/>
      <c r="S40" s="2076"/>
      <c r="T40" s="2074"/>
      <c r="U40" s="2128"/>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2062</v>
      </c>
      <c r="B42" s="2055"/>
      <c r="C42" s="2056"/>
      <c r="D42" s="2054" t="s">
        <v>2063</v>
      </c>
      <c r="E42" s="2055"/>
      <c r="F42" s="2055"/>
      <c r="G42" s="2055"/>
      <c r="H42" s="2056"/>
      <c r="I42" s="2038"/>
      <c r="J42" s="2039"/>
      <c r="K42" s="2039"/>
      <c r="L42" s="2039"/>
      <c r="M42" s="2039"/>
      <c r="N42" s="2039"/>
      <c r="O42" s="2040"/>
      <c r="P42" s="2073"/>
      <c r="Q42" s="2039"/>
      <c r="R42" s="2039"/>
      <c r="S42" s="2040"/>
      <c r="T42" s="2038"/>
      <c r="U42" s="2039"/>
      <c r="V42" s="2039"/>
      <c r="W42" s="2040"/>
      <c r="X42" s="2073"/>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64"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6"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7"/>
      <c r="B3" s="1294"/>
      <c r="C3" s="1295"/>
      <c r="D3" s="1296" t="s">
        <v>254</v>
      </c>
      <c r="E3" s="1295"/>
      <c r="F3" s="1296" t="s">
        <v>255</v>
      </c>
    </row>
    <row r="4" spans="1:8" ht="13.7" customHeight="1" x14ac:dyDescent="0.2">
      <c r="A4" s="579" t="s">
        <v>1145</v>
      </c>
      <c r="B4" s="1721">
        <f>'Revenues 9-14'!C5</f>
        <v>1348527</v>
      </c>
      <c r="C4" s="1722"/>
      <c r="D4" s="1723">
        <f>B4-C4</f>
        <v>1348527</v>
      </c>
      <c r="E4" s="1722">
        <v>1377619</v>
      </c>
      <c r="F4" s="1723">
        <f>E4-C4</f>
        <v>1377619</v>
      </c>
    </row>
    <row r="5" spans="1:8" ht="13.7" customHeight="1" x14ac:dyDescent="0.2">
      <c r="A5" s="579" t="s">
        <v>865</v>
      </c>
      <c r="B5" s="1724">
        <f>'Revenues 9-14'!D5</f>
        <v>278517</v>
      </c>
      <c r="C5" s="1664"/>
      <c r="D5" s="1725">
        <f t="shared" ref="D5:D18" si="0">B5-C5</f>
        <v>278517</v>
      </c>
      <c r="E5" s="1664">
        <v>286370</v>
      </c>
      <c r="F5" s="1725">
        <f>E5-C5</f>
        <v>286370</v>
      </c>
    </row>
    <row r="6" spans="1:8" ht="13.7" customHeight="1" x14ac:dyDescent="0.2">
      <c r="A6" s="579" t="s">
        <v>408</v>
      </c>
      <c r="B6" s="1724">
        <f>'Revenues 9-14'!E5</f>
        <v>175347</v>
      </c>
      <c r="C6" s="1664"/>
      <c r="D6" s="1725">
        <f t="shared" si="0"/>
        <v>175347</v>
      </c>
      <c r="E6" s="1664">
        <v>173479</v>
      </c>
      <c r="F6" s="1725">
        <f t="shared" ref="F6:F18" si="1">E6-C6</f>
        <v>173479</v>
      </c>
    </row>
    <row r="7" spans="1:8" ht="13.7" customHeight="1" x14ac:dyDescent="0.2">
      <c r="A7" s="579" t="s">
        <v>154</v>
      </c>
      <c r="B7" s="1724">
        <f>'Revenues 9-14'!F5</f>
        <v>219882</v>
      </c>
      <c r="C7" s="1664"/>
      <c r="D7" s="1725">
        <f t="shared" si="0"/>
        <v>219882</v>
      </c>
      <c r="E7" s="1664">
        <v>226337</v>
      </c>
      <c r="F7" s="1725">
        <f t="shared" si="1"/>
        <v>226337</v>
      </c>
    </row>
    <row r="8" spans="1:8" ht="13.7" customHeight="1" x14ac:dyDescent="0.2">
      <c r="A8" s="579" t="s">
        <v>1169</v>
      </c>
      <c r="B8" s="1724">
        <f>'Revenues 9-14'!G5</f>
        <v>122164</v>
      </c>
      <c r="C8" s="1664"/>
      <c r="D8" s="1725">
        <f t="shared" si="0"/>
        <v>122164</v>
      </c>
      <c r="E8" s="1664">
        <v>132858</v>
      </c>
      <c r="F8" s="1725">
        <f t="shared" si="1"/>
        <v>132858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43981</v>
      </c>
      <c r="C10" s="1664"/>
      <c r="D10" s="1725">
        <f t="shared" si="0"/>
        <v>43981</v>
      </c>
      <c r="E10" s="1664">
        <v>44296</v>
      </c>
      <c r="F10" s="1725">
        <f t="shared" si="1"/>
        <v>44296</v>
      </c>
    </row>
    <row r="11" spans="1:8" x14ac:dyDescent="0.2">
      <c r="A11" s="579" t="s">
        <v>406</v>
      </c>
      <c r="B11" s="1724">
        <f>'Revenues 9-14'!J5</f>
        <v>64511</v>
      </c>
      <c r="C11" s="1664"/>
      <c r="D11" s="1725">
        <f t="shared" si="0"/>
        <v>64511</v>
      </c>
      <c r="E11" s="1664">
        <v>68893</v>
      </c>
      <c r="F11" s="1725">
        <f t="shared" si="1"/>
        <v>68893</v>
      </c>
    </row>
    <row r="12" spans="1:8" ht="13.7" customHeight="1" x14ac:dyDescent="0.2">
      <c r="A12" s="579" t="s">
        <v>156</v>
      </c>
      <c r="B12" s="1724">
        <f>'Revenues 9-14'!K5</f>
        <v>34209</v>
      </c>
      <c r="C12" s="1664"/>
      <c r="D12" s="1725">
        <f t="shared" si="0"/>
        <v>34209</v>
      </c>
      <c r="E12" s="1664">
        <v>39369</v>
      </c>
      <c r="F12" s="1725">
        <f t="shared" si="1"/>
        <v>39369</v>
      </c>
    </row>
    <row r="13" spans="1:8" ht="13.7" customHeight="1" x14ac:dyDescent="0.2">
      <c r="A13" s="579" t="s">
        <v>930</v>
      </c>
      <c r="B13" s="1724">
        <f>SUM('Revenues 9-14'!C6:D6)</f>
        <v>12709</v>
      </c>
      <c r="C13" s="1664"/>
      <c r="D13" s="1725">
        <f t="shared" si="0"/>
        <v>12709</v>
      </c>
      <c r="E13" s="1664">
        <v>13788</v>
      </c>
      <c r="F13" s="1725">
        <f t="shared" si="1"/>
        <v>13788</v>
      </c>
    </row>
    <row r="14" spans="1:8" ht="13.7" customHeight="1" x14ac:dyDescent="0.2">
      <c r="A14" s="579" t="s">
        <v>407</v>
      </c>
      <c r="B14" s="1724">
        <f>SUM('Revenues 9-14'!C7:D7,'Revenues 9-14'!F7:H7)</f>
        <v>34701</v>
      </c>
      <c r="C14" s="1664"/>
      <c r="D14" s="1725">
        <f t="shared" si="0"/>
        <v>34701</v>
      </c>
      <c r="E14" s="1664">
        <v>36422</v>
      </c>
      <c r="F14" s="1725">
        <f t="shared" si="1"/>
        <v>36422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127045</v>
      </c>
      <c r="C16" s="1664"/>
      <c r="D16" s="1725">
        <f t="shared" si="0"/>
        <v>127045</v>
      </c>
      <c r="E16" s="1664">
        <v>137775</v>
      </c>
      <c r="F16" s="1725">
        <f t="shared" si="1"/>
        <v>137775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2461593</v>
      </c>
      <c r="C19" s="1726">
        <f>SUM(C4:C18)</f>
        <v>0</v>
      </c>
      <c r="D19" s="1726">
        <f>SUM(D4:D18)</f>
        <v>2461593</v>
      </c>
      <c r="E19" s="1726">
        <f>SUM(E4:E18)</f>
        <v>2537206</v>
      </c>
      <c r="F19" s="1726">
        <f>SUM(F4:F18)</f>
        <v>2537206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92" footer="0.28999999999999998"/>
  <pageSetup firstPageNumber="47" orientation="landscape" useFirstPageNumber="1" r:id="rId1"/>
  <headerFooter alignWithMargins="0">
    <oddHeader xml:space="preserve">&amp;CSalem Elementary School District 111 </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O35" sqref="O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6"/>
      <c r="C1" s="585"/>
    </row>
    <row r="2" spans="1:7" ht="33.75" x14ac:dyDescent="0.2">
      <c r="A2" s="2313" t="s">
        <v>1776</v>
      </c>
      <c r="B2" s="231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9"/>
      <c r="D3" s="2310"/>
      <c r="E3" s="2310"/>
      <c r="F3" s="2311"/>
    </row>
    <row r="4" spans="1:7" ht="12.75" customHeight="1" thickBot="1" x14ac:dyDescent="0.25">
      <c r="A4" s="2303" t="s">
        <v>626</v>
      </c>
      <c r="B4" s="2304"/>
      <c r="C4" s="1656"/>
      <c r="D4" s="1656"/>
      <c r="E4" s="1656"/>
      <c r="F4" s="1732">
        <f>SUM(C4+D4)-E4</f>
        <v>0</v>
      </c>
    </row>
    <row r="5" spans="1:7" ht="15.75" customHeight="1" thickTop="1" x14ac:dyDescent="0.2">
      <c r="A5" s="2307" t="s">
        <v>1101</v>
      </c>
      <c r="B5" s="2302"/>
      <c r="C5" s="2296"/>
      <c r="D5" s="2297"/>
      <c r="E5" s="2297"/>
      <c r="F5" s="229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9" t="s">
        <v>627</v>
      </c>
      <c r="B15" s="2300"/>
      <c r="C15" s="1732">
        <f>SUM(C6:C14)</f>
        <v>0</v>
      </c>
      <c r="D15" s="1732">
        <f>SUM(D6:D14)</f>
        <v>0</v>
      </c>
      <c r="E15" s="1732">
        <f>SUM(E6:E14)</f>
        <v>0</v>
      </c>
      <c r="F15" s="1732">
        <f>SUM(F6:F14)</f>
        <v>0</v>
      </c>
      <c r="G15" s="473"/>
    </row>
    <row r="16" spans="1:7" s="197" customFormat="1" ht="15.75" customHeight="1" thickTop="1" x14ac:dyDescent="0.2">
      <c r="A16" s="2312" t="s">
        <v>1102</v>
      </c>
      <c r="B16" s="2302"/>
      <c r="C16" s="2296"/>
      <c r="D16" s="2297"/>
      <c r="E16" s="2297"/>
      <c r="F16" s="2298"/>
    </row>
    <row r="17" spans="1:11" ht="12.75" customHeight="1" thickBot="1" x14ac:dyDescent="0.25">
      <c r="A17" s="2294" t="s">
        <v>64</v>
      </c>
      <c r="B17" s="2295"/>
      <c r="C17" s="1733"/>
      <c r="D17" s="1664"/>
      <c r="E17" s="1733"/>
      <c r="F17" s="1732">
        <f>SUM(C17+D17)-E17</f>
        <v>0</v>
      </c>
    </row>
    <row r="18" spans="1:11" ht="12.75" customHeight="1" thickTop="1" thickBot="1" x14ac:dyDescent="0.25">
      <c r="A18" s="2294" t="s">
        <v>6</v>
      </c>
      <c r="B18" s="2295"/>
      <c r="C18" s="1733"/>
      <c r="D18" s="1664"/>
      <c r="E18" s="1733"/>
      <c r="F18" s="1732">
        <f>SUM(C18+D18)-E18</f>
        <v>0</v>
      </c>
    </row>
    <row r="19" spans="1:11" ht="12.75" customHeight="1" thickTop="1" thickBot="1" x14ac:dyDescent="0.25">
      <c r="A19" s="2294" t="s">
        <v>385</v>
      </c>
      <c r="B19" s="2295"/>
      <c r="C19" s="1733"/>
      <c r="D19" s="1664"/>
      <c r="E19" s="1733"/>
      <c r="F19" s="1732">
        <f>SUM(C19+D19)-E19</f>
        <v>0</v>
      </c>
    </row>
    <row r="20" spans="1:11" ht="12.75" customHeight="1" thickTop="1" thickBot="1" x14ac:dyDescent="0.25">
      <c r="A20" s="2294" t="s">
        <v>445</v>
      </c>
      <c r="B20" s="2295"/>
      <c r="C20" s="1733"/>
      <c r="D20" s="1664"/>
      <c r="E20" s="1733"/>
      <c r="F20" s="1732">
        <f>SUM(C20+D20)-E20</f>
        <v>0</v>
      </c>
    </row>
    <row r="21" spans="1:11" ht="14.25" thickTop="1" thickBot="1" x14ac:dyDescent="0.25">
      <c r="A21" s="2299" t="s">
        <v>628</v>
      </c>
      <c r="B21" s="2300"/>
      <c r="C21" s="1732">
        <f>SUM(C17:C20)</f>
        <v>0</v>
      </c>
      <c r="D21" s="1732">
        <f>SUM(D17:D20)</f>
        <v>0</v>
      </c>
      <c r="E21" s="1732">
        <f>SUM(E17:E20)</f>
        <v>0</v>
      </c>
      <c r="F21" s="1732">
        <f>SUM(F17:F20)</f>
        <v>0</v>
      </c>
      <c r="G21" s="473"/>
    </row>
    <row r="22" spans="1:11" ht="15.75" customHeight="1" thickTop="1" x14ac:dyDescent="0.2">
      <c r="A22" s="2301" t="s">
        <v>1103</v>
      </c>
      <c r="B22" s="2302"/>
      <c r="C22" s="2296"/>
      <c r="D22" s="2297"/>
      <c r="E22" s="2297"/>
      <c r="F22" s="2298"/>
    </row>
    <row r="23" spans="1:11" ht="13.5" thickBot="1" x14ac:dyDescent="0.25">
      <c r="A23" s="2303" t="s">
        <v>629</v>
      </c>
      <c r="B23" s="2304"/>
      <c r="C23" s="1656"/>
      <c r="D23" s="1656"/>
      <c r="E23" s="1656"/>
      <c r="F23" s="1732">
        <f>SUM(C23+D23)-E23</f>
        <v>0</v>
      </c>
      <c r="G23" s="473"/>
    </row>
    <row r="24" spans="1:11" ht="15.75" customHeight="1" thickTop="1" x14ac:dyDescent="0.2">
      <c r="A24" s="2301" t="s">
        <v>2003</v>
      </c>
      <c r="B24" s="2302"/>
      <c r="C24" s="2296"/>
      <c r="D24" s="2297"/>
      <c r="E24" s="2297"/>
      <c r="F24" s="2298"/>
    </row>
    <row r="25" spans="1:11" ht="13.5" thickBot="1" x14ac:dyDescent="0.25">
      <c r="A25" s="2303" t="s">
        <v>2004</v>
      </c>
      <c r="B25" s="2304"/>
      <c r="C25" s="1656"/>
      <c r="D25" s="1656"/>
      <c r="E25" s="1656"/>
      <c r="F25" s="1732">
        <f>SUM(C25+D25)-E25</f>
        <v>0</v>
      </c>
      <c r="G25" s="473"/>
    </row>
    <row r="26" spans="1:11" ht="15.75" customHeight="1" thickTop="1" x14ac:dyDescent="0.2">
      <c r="A26" s="2307" t="s">
        <v>652</v>
      </c>
      <c r="B26" s="2302"/>
      <c r="C26" s="589"/>
      <c r="D26" s="589"/>
      <c r="E26" s="589"/>
      <c r="F26" s="590"/>
    </row>
    <row r="27" spans="1:11" ht="13.5" thickBot="1" x14ac:dyDescent="0.25">
      <c r="A27" s="2299" t="s">
        <v>1061</v>
      </c>
      <c r="B27" s="2300"/>
      <c r="C27" s="1664"/>
      <c r="D27" s="1664"/>
      <c r="E27" s="1664"/>
      <c r="F27" s="1732">
        <f>SUM(C27+D27)-E27</f>
        <v>0</v>
      </c>
      <c r="G27" s="473"/>
    </row>
    <row r="28" spans="1:11" ht="7.5" customHeight="1" thickTop="1" x14ac:dyDescent="0.2">
      <c r="A28" s="489"/>
    </row>
    <row r="29" spans="1:11" ht="23.25" customHeight="1" x14ac:dyDescent="0.2">
      <c r="A29" s="2305" t="s">
        <v>578</v>
      </c>
      <c r="B29" s="230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42528</v>
      </c>
      <c r="C31" s="1734">
        <v>2140000</v>
      </c>
      <c r="D31" s="1735">
        <v>7</v>
      </c>
      <c r="E31" s="1734">
        <v>1855000</v>
      </c>
      <c r="F31" s="1734"/>
      <c r="G31" s="1734"/>
      <c r="H31" s="1734">
        <v>100000</v>
      </c>
      <c r="I31" s="1736">
        <f>((E31+F31)-H31)+G31</f>
        <v>1755000</v>
      </c>
      <c r="J31" s="1734">
        <v>1755000</v>
      </c>
      <c r="K31" s="596"/>
    </row>
    <row r="32" spans="1:11" ht="12" customHeight="1" x14ac:dyDescent="0.2">
      <c r="A32" s="594" t="s">
        <v>2066</v>
      </c>
      <c r="B32" s="595">
        <v>43832</v>
      </c>
      <c r="C32" s="1734">
        <v>172580</v>
      </c>
      <c r="D32" s="1735">
        <v>8</v>
      </c>
      <c r="E32" s="1734"/>
      <c r="F32" s="1734">
        <v>172580</v>
      </c>
      <c r="G32" s="1734"/>
      <c r="H32" s="1734">
        <v>29021</v>
      </c>
      <c r="I32" s="1736">
        <f>((E32+F32)-H32)+G32</f>
        <v>143559</v>
      </c>
      <c r="J32" s="1734">
        <v>66569</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2312580</v>
      </c>
      <c r="D49" s="1742"/>
      <c r="E49" s="1736">
        <f t="shared" ref="E49:J49" si="2">SUM(E31:E48)</f>
        <v>1855000</v>
      </c>
      <c r="F49" s="1736">
        <f t="shared" si="2"/>
        <v>172580</v>
      </c>
      <c r="G49" s="1736">
        <f t="shared" si="2"/>
        <v>0</v>
      </c>
      <c r="H49" s="1736">
        <f t="shared" si="2"/>
        <v>129021</v>
      </c>
      <c r="I49" s="1736">
        <f t="shared" si="2"/>
        <v>1898559</v>
      </c>
      <c r="J49" s="1736">
        <f t="shared" si="2"/>
        <v>1821569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88" t="s">
        <v>580</v>
      </c>
      <c r="C52" s="2289"/>
      <c r="D52" s="2289"/>
      <c r="E52" s="603" t="s">
        <v>840</v>
      </c>
      <c r="F52" s="2290" t="s">
        <v>2065</v>
      </c>
      <c r="G52" s="2291"/>
      <c r="H52" s="596"/>
      <c r="I52" s="596"/>
      <c r="J52" s="600"/>
    </row>
    <row r="53" spans="1:11" ht="11.25" customHeight="1" x14ac:dyDescent="0.2">
      <c r="A53" s="604" t="s">
        <v>907</v>
      </c>
      <c r="B53" s="605" t="s">
        <v>945</v>
      </c>
      <c r="C53" s="600"/>
      <c r="D53" s="597"/>
      <c r="E53" s="603" t="s">
        <v>494</v>
      </c>
      <c r="F53" s="2292" t="s">
        <v>2067</v>
      </c>
      <c r="G53" s="2293"/>
      <c r="H53" s="596"/>
      <c r="I53" s="596"/>
      <c r="J53" s="600"/>
    </row>
    <row r="54" spans="1:11" ht="11.25" customHeight="1" x14ac:dyDescent="0.2">
      <c r="A54" s="606" t="s">
        <v>908</v>
      </c>
      <c r="B54" s="601" t="s">
        <v>946</v>
      </c>
      <c r="C54" s="600"/>
      <c r="D54" s="597"/>
      <c r="E54" s="603" t="s">
        <v>495</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4" footer="0.2"/>
  <pageSetup scale="73" firstPageNumber="48" fitToHeight="0" orientation="landscape" useFirstPageNumber="1" r:id="rId1"/>
  <headerFooter alignWithMargins="0">
    <oddHeader xml:space="preserve">&amp;CSalem Elementary School District 111 </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O26" sqref="O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298"/>
      <c r="I1" s="614"/>
      <c r="J1" s="400"/>
    </row>
    <row r="2" spans="1:11" ht="26.25" x14ac:dyDescent="0.2">
      <c r="A2" s="2336" t="s">
        <v>1658</v>
      </c>
      <c r="B2" s="2337"/>
      <c r="C2" s="2337"/>
      <c r="D2" s="2337"/>
      <c r="E2" s="2338"/>
      <c r="F2" s="615" t="s">
        <v>898</v>
      </c>
      <c r="G2" s="616" t="s">
        <v>1655</v>
      </c>
      <c r="H2" s="616" t="s">
        <v>407</v>
      </c>
      <c r="I2" s="616" t="s">
        <v>1148</v>
      </c>
      <c r="J2" s="616" t="s">
        <v>1786</v>
      </c>
      <c r="K2" s="616" t="s">
        <v>137</v>
      </c>
    </row>
    <row r="3" spans="1:11" x14ac:dyDescent="0.2">
      <c r="A3" s="2339" t="str">
        <f>"Cash Basis Fund Balance as of July 1, "&amp;'AFR20'!E2-1</f>
        <v>Cash Basis Fund Balance as of July 1, 2019</v>
      </c>
      <c r="B3" s="2340"/>
      <c r="C3" s="2340"/>
      <c r="D3" s="2340"/>
      <c r="E3" s="2341"/>
      <c r="F3" s="617"/>
      <c r="G3" s="1744"/>
      <c r="H3" s="1744"/>
      <c r="I3" s="1744"/>
      <c r="J3" s="1745"/>
      <c r="K3" s="1745"/>
    </row>
    <row r="4" spans="1:11" x14ac:dyDescent="0.2">
      <c r="A4" s="2342" t="s">
        <v>366</v>
      </c>
      <c r="B4" s="2343"/>
      <c r="C4" s="2343"/>
      <c r="D4" s="2343"/>
      <c r="E4" s="2289"/>
      <c r="F4" s="620"/>
      <c r="G4" s="1746"/>
      <c r="H4" s="1747"/>
      <c r="I4" s="1746"/>
      <c r="J4" s="1748"/>
      <c r="K4" s="1748"/>
    </row>
    <row r="5" spans="1:11" x14ac:dyDescent="0.2">
      <c r="A5" s="2320" t="s">
        <v>1060</v>
      </c>
      <c r="B5" s="2321"/>
      <c r="C5" s="2321"/>
      <c r="D5" s="2321"/>
      <c r="E5" s="2322"/>
      <c r="F5" s="622" t="s">
        <v>843</v>
      </c>
      <c r="G5" s="1749"/>
      <c r="H5" s="1744">
        <v>34701</v>
      </c>
      <c r="I5" s="1750"/>
      <c r="J5" s="1751"/>
      <c r="K5" s="1751"/>
    </row>
    <row r="6" spans="1:11" x14ac:dyDescent="0.2">
      <c r="A6" s="625" t="s">
        <v>715</v>
      </c>
      <c r="B6" s="626"/>
      <c r="C6" s="626"/>
      <c r="D6" s="626"/>
      <c r="E6" s="627"/>
      <c r="F6" s="628" t="s">
        <v>844</v>
      </c>
      <c r="G6" s="1744"/>
      <c r="H6" s="1744">
        <v>2692</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0" t="s">
        <v>1787</v>
      </c>
      <c r="B10" s="2321"/>
      <c r="C10" s="2321"/>
      <c r="D10" s="2321"/>
      <c r="E10" s="2323"/>
      <c r="F10" s="633" t="s">
        <v>857</v>
      </c>
      <c r="G10" s="1753"/>
      <c r="H10" s="1754">
        <v>357572</v>
      </c>
      <c r="I10" s="1744"/>
      <c r="J10" s="1745"/>
      <c r="K10" s="1745"/>
    </row>
    <row r="11" spans="1:11" x14ac:dyDescent="0.2">
      <c r="A11" s="2320" t="s">
        <v>159</v>
      </c>
      <c r="B11" s="2321"/>
      <c r="C11" s="2321"/>
      <c r="D11" s="2321"/>
      <c r="E11" s="2322"/>
      <c r="F11" s="622" t="s">
        <v>847</v>
      </c>
      <c r="G11" s="1749"/>
      <c r="H11" s="1744"/>
      <c r="I11" s="1744"/>
      <c r="J11" s="1745"/>
      <c r="K11" s="1751"/>
    </row>
    <row r="12" spans="1:11" ht="13.5" thickBot="1" x14ac:dyDescent="0.25">
      <c r="A12" s="2347" t="s">
        <v>899</v>
      </c>
      <c r="B12" s="2348"/>
      <c r="C12" s="2348"/>
      <c r="D12" s="2348"/>
      <c r="E12" s="2349"/>
      <c r="F12" s="1433"/>
      <c r="G12" s="1755">
        <f>SUM(G5:G11)</f>
        <v>0</v>
      </c>
      <c r="H12" s="1755">
        <f>SUM(H5:H11)</f>
        <v>394965</v>
      </c>
      <c r="I12" s="1755">
        <f>SUM(I5:I11)</f>
        <v>0</v>
      </c>
      <c r="J12" s="1755">
        <f>SUM(J5:J11)</f>
        <v>0</v>
      </c>
      <c r="K12" s="1755">
        <f>SUM(K5:K11)</f>
        <v>0</v>
      </c>
    </row>
    <row r="13" spans="1:11" ht="13.5" thickTop="1" x14ac:dyDescent="0.2">
      <c r="A13" s="2344" t="s">
        <v>367</v>
      </c>
      <c r="B13" s="2345"/>
      <c r="C13" s="2345"/>
      <c r="D13" s="2345"/>
      <c r="E13" s="2346"/>
      <c r="F13" s="634"/>
      <c r="G13" s="1756"/>
      <c r="H13" s="1757"/>
      <c r="I13" s="1758"/>
      <c r="J13" s="1758"/>
      <c r="K13" s="1758"/>
    </row>
    <row r="14" spans="1:11" x14ac:dyDescent="0.2">
      <c r="A14" s="2327" t="s">
        <v>453</v>
      </c>
      <c r="B14" s="2327"/>
      <c r="C14" s="2327"/>
      <c r="D14" s="2327"/>
      <c r="E14" s="2328"/>
      <c r="F14" s="635" t="s">
        <v>849</v>
      </c>
      <c r="G14" s="1753"/>
      <c r="H14" s="1744">
        <v>394965</v>
      </c>
      <c r="I14" s="1749"/>
      <c r="J14" s="1751"/>
      <c r="K14" s="1745"/>
    </row>
    <row r="15" spans="1:11" x14ac:dyDescent="0.2">
      <c r="A15" s="2321" t="s">
        <v>4</v>
      </c>
      <c r="B15" s="2321"/>
      <c r="C15" s="2321"/>
      <c r="D15" s="2321"/>
      <c r="E15" s="2322"/>
      <c r="F15" s="635" t="s">
        <v>850</v>
      </c>
      <c r="G15" s="1749"/>
      <c r="H15" s="1744"/>
      <c r="I15" s="1744"/>
      <c r="J15" s="1745"/>
      <c r="K15" s="1745"/>
    </row>
    <row r="16" spans="1:11" x14ac:dyDescent="0.2">
      <c r="A16" s="2321" t="s">
        <v>295</v>
      </c>
      <c r="B16" s="2321"/>
      <c r="C16" s="2321"/>
      <c r="D16" s="2321"/>
      <c r="E16" s="2322"/>
      <c r="F16" s="635" t="s">
        <v>917</v>
      </c>
      <c r="G16" s="1750"/>
      <c r="H16" s="1746"/>
      <c r="I16" s="1746"/>
      <c r="J16" s="1748"/>
      <c r="K16" s="1748"/>
    </row>
    <row r="17" spans="1:15" x14ac:dyDescent="0.2">
      <c r="A17" s="2354" t="s">
        <v>929</v>
      </c>
      <c r="B17" s="2354"/>
      <c r="C17" s="2354"/>
      <c r="D17" s="2354"/>
      <c r="E17" s="2355"/>
      <c r="F17" s="636"/>
      <c r="G17" s="1759"/>
      <c r="H17" s="1760"/>
      <c r="I17" s="1760"/>
      <c r="J17" s="1761"/>
      <c r="K17" s="1762"/>
    </row>
    <row r="18" spans="1:15" x14ac:dyDescent="0.2">
      <c r="A18" s="2331" t="s">
        <v>365</v>
      </c>
      <c r="B18" s="2332"/>
      <c r="C18" s="2332"/>
      <c r="D18" s="2332"/>
      <c r="E18" s="2333"/>
      <c r="F18" s="635" t="s">
        <v>926</v>
      </c>
      <c r="G18" s="1753"/>
      <c r="H18" s="1753"/>
      <c r="I18" s="1753"/>
      <c r="J18" s="1745"/>
      <c r="K18" s="1763"/>
    </row>
    <row r="19" spans="1:15" ht="21.75" customHeight="1" x14ac:dyDescent="0.2">
      <c r="A19" s="2329" t="s">
        <v>1783</v>
      </c>
      <c r="B19" s="2329"/>
      <c r="C19" s="2329"/>
      <c r="D19" s="2329"/>
      <c r="E19" s="2330"/>
      <c r="F19" s="635" t="s">
        <v>927</v>
      </c>
      <c r="G19" s="1753"/>
      <c r="H19" s="1753"/>
      <c r="I19" s="1753"/>
      <c r="J19" s="1745"/>
      <c r="K19" s="1763"/>
    </row>
    <row r="20" spans="1:15" x14ac:dyDescent="0.2">
      <c r="A20" s="2331" t="s">
        <v>1788</v>
      </c>
      <c r="B20" s="2332"/>
      <c r="C20" s="2332"/>
      <c r="D20" s="2332"/>
      <c r="E20" s="2333"/>
      <c r="F20" s="635" t="s">
        <v>928</v>
      </c>
      <c r="G20" s="1753"/>
      <c r="H20" s="1753"/>
      <c r="I20" s="1753"/>
      <c r="J20" s="1745"/>
      <c r="K20" s="1763"/>
    </row>
    <row r="21" spans="1:15" ht="13.5" thickBot="1" x14ac:dyDescent="0.25">
      <c r="A21" s="2350" t="s">
        <v>633</v>
      </c>
      <c r="B21" s="2350"/>
      <c r="C21" s="2350"/>
      <c r="D21" s="2350"/>
      <c r="E21" s="2350"/>
      <c r="F21" s="1434"/>
      <c r="G21" s="1760"/>
      <c r="H21" s="1764"/>
      <c r="I21" s="1764"/>
      <c r="J21" s="1765">
        <f>SUM(J18:J20)</f>
        <v>0</v>
      </c>
      <c r="K21" s="1761"/>
    </row>
    <row r="22" spans="1:15" ht="13.5" thickTop="1" x14ac:dyDescent="0.2">
      <c r="A22" s="2321" t="s">
        <v>1789</v>
      </c>
      <c r="B22" s="2321"/>
      <c r="C22" s="2321"/>
      <c r="D22" s="2321"/>
      <c r="E22" s="2322"/>
      <c r="F22" s="635" t="s">
        <v>857</v>
      </c>
      <c r="G22" s="1753"/>
      <c r="H22" s="1744"/>
      <c r="I22" s="1744"/>
      <c r="J22" s="1766"/>
      <c r="K22" s="1745"/>
    </row>
    <row r="23" spans="1:15" ht="13.5" thickBot="1" x14ac:dyDescent="0.25">
      <c r="A23" s="2351" t="s">
        <v>900</v>
      </c>
      <c r="B23" s="2350"/>
      <c r="C23" s="2350"/>
      <c r="D23" s="2350"/>
      <c r="E23" s="2350"/>
      <c r="F23" s="1436"/>
      <c r="G23" s="1755">
        <f>SUM(G14:G16,G21,G22)</f>
        <v>0</v>
      </c>
      <c r="H23" s="1755">
        <f>SUM(H14:H16,H21,H22)</f>
        <v>394965</v>
      </c>
      <c r="I23" s="1755">
        <f>SUM(I14:I16,I21,I22)</f>
        <v>0</v>
      </c>
      <c r="J23" s="1755">
        <f>SUM(J14:J16,J21,J22)</f>
        <v>0</v>
      </c>
      <c r="K23" s="1755">
        <f>SUM(K14:K16,K21,K22)</f>
        <v>0</v>
      </c>
      <c r="M23" s="1846"/>
      <c r="N23" s="1846"/>
      <c r="O23" s="1846"/>
    </row>
    <row r="24" spans="1:15" ht="14.25" thickTop="1" thickBot="1" x14ac:dyDescent="0.25">
      <c r="A24" s="2352" t="str">
        <f>"Ending Cash Basis Fund Balance as of June 30, "&amp;'AFR20'!E2</f>
        <v>Ending Cash Basis Fund Balance as of June 30, 2020</v>
      </c>
      <c r="B24" s="2353"/>
      <c r="C24" s="2353"/>
      <c r="D24" s="2353"/>
      <c r="E24" s="235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4"/>
      <c r="I31" s="2325"/>
      <c r="J31" s="2325"/>
      <c r="K31" s="2325"/>
    </row>
    <row r="32" spans="1:15" x14ac:dyDescent="0.2">
      <c r="A32" s="649"/>
      <c r="B32" s="232"/>
      <c r="C32" s="232"/>
      <c r="D32" s="232"/>
      <c r="E32" s="645"/>
      <c r="F32" s="651" t="s">
        <v>537</v>
      </c>
      <c r="G32" s="618"/>
      <c r="H32" s="2326"/>
      <c r="I32" s="2325"/>
      <c r="J32" s="2325"/>
      <c r="K32" s="2325"/>
    </row>
    <row r="33" spans="1:11" ht="1.5" customHeight="1" x14ac:dyDescent="0.2">
      <c r="A33" s="652" t="s">
        <v>1159</v>
      </c>
      <c r="B33" s="341"/>
      <c r="C33" s="341"/>
      <c r="D33" s="341"/>
      <c r="E33" s="341"/>
      <c r="F33" s="341"/>
      <c r="G33" s="653"/>
      <c r="H33" s="2326"/>
      <c r="I33" s="2325"/>
      <c r="J33" s="2325"/>
      <c r="K33" s="232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34"/>
      <c r="C41" s="2334"/>
      <c r="D41" s="2334"/>
      <c r="E41" s="2334"/>
      <c r="F41" s="23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48" right="0.17" top="0.73" bottom="0.4" header="0.27" footer="0.2"/>
  <pageSetup scale="82" firstPageNumber="49" orientation="landscape" useFirstPageNumber="1" r:id="rId1"/>
  <headerFooter>
    <oddHeader xml:space="preserve">&amp;C&amp;"Arial,Bold"Salem Elementary School District 111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1872</v>
      </c>
      <c r="B1" s="2359"/>
      <c r="C1" s="2360"/>
      <c r="D1" s="666"/>
      <c r="E1" s="667"/>
      <c r="F1" s="667"/>
      <c r="G1" s="668"/>
      <c r="H1" s="669"/>
      <c r="I1" s="670"/>
      <c r="J1" s="2356"/>
      <c r="K1" s="2357"/>
      <c r="L1" s="235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111559</v>
      </c>
      <c r="D5" s="1770"/>
      <c r="E5" s="1770"/>
      <c r="F5" s="1765">
        <f>(C5+D5)-E5</f>
        <v>111559</v>
      </c>
      <c r="G5" s="676"/>
      <c r="H5" s="680"/>
      <c r="I5" s="680"/>
      <c r="J5" s="680"/>
      <c r="K5" s="637"/>
      <c r="L5" s="1442">
        <f>F5-K5</f>
        <v>111559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9134928</v>
      </c>
      <c r="D8" s="1771"/>
      <c r="E8" s="1771"/>
      <c r="F8" s="1765">
        <f>(C8+D8)-E8</f>
        <v>9134928</v>
      </c>
      <c r="G8" s="681">
        <v>50</v>
      </c>
      <c r="H8" s="619">
        <v>4951015</v>
      </c>
      <c r="I8" s="619">
        <v>161639</v>
      </c>
      <c r="J8" s="619"/>
      <c r="K8" s="1442">
        <f>(H8+I8)-J8</f>
        <v>5112654</v>
      </c>
      <c r="L8" s="1442">
        <f>F8-K8</f>
        <v>4022274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499549</v>
      </c>
      <c r="D10" s="1772"/>
      <c r="E10" s="1772"/>
      <c r="F10" s="1773">
        <f>(C10+D10)-E10</f>
        <v>499549</v>
      </c>
      <c r="G10" s="681">
        <v>20</v>
      </c>
      <c r="H10" s="683">
        <v>485850</v>
      </c>
      <c r="I10" s="683">
        <v>1786</v>
      </c>
      <c r="J10" s="683"/>
      <c r="K10" s="1442">
        <f>(H10+I10)-J10</f>
        <v>487636</v>
      </c>
      <c r="L10" s="1442">
        <f>F10-K10</f>
        <v>11913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1035314</v>
      </c>
      <c r="D12" s="1771">
        <v>184310</v>
      </c>
      <c r="E12" s="1771">
        <v>2000</v>
      </c>
      <c r="F12" s="1765">
        <f>(C12+D12)-E12</f>
        <v>1217624</v>
      </c>
      <c r="G12" s="681">
        <v>10</v>
      </c>
      <c r="H12" s="619">
        <v>582793</v>
      </c>
      <c r="I12" s="619">
        <v>114607</v>
      </c>
      <c r="J12" s="619">
        <v>2000</v>
      </c>
      <c r="K12" s="1442">
        <f>(H12+I12)-J12</f>
        <v>695400</v>
      </c>
      <c r="L12" s="1442">
        <f>F12-K12</f>
        <v>522224</v>
      </c>
    </row>
    <row r="13" spans="1:14" ht="14.25" thickTop="1" thickBot="1" x14ac:dyDescent="0.25">
      <c r="A13" s="684" t="s">
        <v>1112</v>
      </c>
      <c r="B13" s="679">
        <v>252</v>
      </c>
      <c r="C13" s="1771">
        <v>5826</v>
      </c>
      <c r="D13" s="1771"/>
      <c r="E13" s="1771"/>
      <c r="F13" s="1765">
        <f>(C13+D13)-E13</f>
        <v>5826</v>
      </c>
      <c r="G13" s="681">
        <v>5</v>
      </c>
      <c r="H13" s="619">
        <v>5826</v>
      </c>
      <c r="I13" s="619">
        <v>0</v>
      </c>
      <c r="J13" s="619"/>
      <c r="K13" s="1442">
        <f>(H13+I13)-J13</f>
        <v>5826</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10787176</v>
      </c>
      <c r="D16" s="1765">
        <f>SUM(D3,D5:D6,D8:D10,D12:D15)</f>
        <v>184310</v>
      </c>
      <c r="E16" s="1765">
        <f>SUM(E3,E5:E6,E8:E10,E12:E15)</f>
        <v>2000</v>
      </c>
      <c r="F16" s="1765">
        <f>SUM(F3,F5:F6,F8:F10,F12:F15)</f>
        <v>10969486</v>
      </c>
      <c r="G16" s="681"/>
      <c r="H16" s="1435">
        <f>SUM(H3,H6,H8:H10,H12:H14,)</f>
        <v>6025484</v>
      </c>
      <c r="I16" s="1435">
        <f>SUM(I3,I6,I8:I10,I12:I14,)</f>
        <v>278032</v>
      </c>
      <c r="J16" s="1435">
        <f>SUM(J3,J6,J8:J10,J12:J14,)</f>
        <v>2000</v>
      </c>
      <c r="K16" s="1435">
        <f>(H16+I16)-J16</f>
        <v>6301516</v>
      </c>
      <c r="L16" s="1435">
        <f>F16-K16</f>
        <v>4667970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278032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 footer="0.33"/>
  <pageSetup scale="80" firstPageNumber="50" orientation="landscape" useFirstPageNumber="1" r:id="rId1"/>
  <headerFooter alignWithMargins="0">
    <oddHeader xml:space="preserve">&amp;C Salem Elementary School District 111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1095</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8036386</v>
      </c>
      <c r="G8" s="701"/>
    </row>
    <row r="9" spans="1:9" x14ac:dyDescent="0.2">
      <c r="A9" s="705" t="s">
        <v>457</v>
      </c>
      <c r="B9" s="706" t="s">
        <v>1845</v>
      </c>
      <c r="C9" s="707"/>
      <c r="D9" s="705" t="s">
        <v>498</v>
      </c>
      <c r="E9" s="704"/>
      <c r="F9" s="1775">
        <f>'Expenditures 15-22'!K151</f>
        <v>409926</v>
      </c>
      <c r="G9" s="708"/>
    </row>
    <row r="10" spans="1:9" x14ac:dyDescent="0.2">
      <c r="A10" s="705" t="s">
        <v>496</v>
      </c>
      <c r="B10" s="706" t="s">
        <v>1846</v>
      </c>
      <c r="C10" s="707"/>
      <c r="D10" s="705" t="s">
        <v>498</v>
      </c>
      <c r="E10" s="704"/>
      <c r="F10" s="1775">
        <f>'Expenditures 15-22'!K174</f>
        <v>202896</v>
      </c>
      <c r="G10" s="708"/>
    </row>
    <row r="11" spans="1:9" x14ac:dyDescent="0.2">
      <c r="A11" s="705" t="s">
        <v>458</v>
      </c>
      <c r="B11" s="706" t="s">
        <v>1847</v>
      </c>
      <c r="C11" s="707"/>
      <c r="D11" s="705" t="s">
        <v>498</v>
      </c>
      <c r="E11" s="704"/>
      <c r="F11" s="1775">
        <f>'Expenditures 15-22'!K210</f>
        <v>424613</v>
      </c>
      <c r="G11" s="708"/>
    </row>
    <row r="12" spans="1:9" x14ac:dyDescent="0.2">
      <c r="A12" s="705" t="s">
        <v>459</v>
      </c>
      <c r="B12" s="706" t="s">
        <v>1848</v>
      </c>
      <c r="C12" s="707"/>
      <c r="D12" s="705" t="s">
        <v>498</v>
      </c>
      <c r="E12" s="704"/>
      <c r="F12" s="1775">
        <f>'Expenditures 15-22'!K295</f>
        <v>297463</v>
      </c>
      <c r="G12" s="708"/>
    </row>
    <row r="13" spans="1:9" x14ac:dyDescent="0.2">
      <c r="A13" s="705" t="s">
        <v>106</v>
      </c>
      <c r="B13" s="706" t="s">
        <v>1849</v>
      </c>
      <c r="C13" s="707"/>
      <c r="D13" s="705" t="s">
        <v>498</v>
      </c>
      <c r="E13" s="704"/>
      <c r="F13" s="1775">
        <f>'Expenditures 15-22'!K342</f>
        <v>63708</v>
      </c>
      <c r="G13" s="709"/>
    </row>
    <row r="14" spans="1:9" ht="12" customHeight="1" thickBot="1" x14ac:dyDescent="0.25">
      <c r="A14" s="1443"/>
      <c r="B14" s="1444"/>
      <c r="C14" s="1445"/>
      <c r="D14" s="1446" t="s">
        <v>498</v>
      </c>
      <c r="E14" s="1447" t="s">
        <v>952</v>
      </c>
      <c r="F14" s="1776">
        <f>SUM(F8:F13)</f>
        <v>9434992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608729</v>
      </c>
      <c r="G53" s="701"/>
    </row>
    <row r="54" spans="1:7" x14ac:dyDescent="0.2">
      <c r="A54" s="705" t="s">
        <v>456</v>
      </c>
      <c r="B54" s="705" t="s">
        <v>1459</v>
      </c>
      <c r="C54" s="724" t="s">
        <v>975</v>
      </c>
      <c r="D54" s="720" t="s">
        <v>1086</v>
      </c>
      <c r="E54" s="704"/>
      <c r="F54" s="1782">
        <f>'Expenditures 15-22'!G114</f>
        <v>178130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6180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129021</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922060</v>
      </c>
      <c r="G77" s="701"/>
    </row>
    <row r="78" spans="1:9" s="728" customFormat="1" ht="12" customHeight="1" thickTop="1" thickBot="1" x14ac:dyDescent="0.25">
      <c r="A78" s="1450"/>
      <c r="B78" s="1448"/>
      <c r="C78" s="1445"/>
      <c r="D78" s="1449" t="s">
        <v>2009</v>
      </c>
      <c r="E78" s="1447"/>
      <c r="F78" s="1788">
        <f>(F14-F77)</f>
        <v>8512932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988.5</v>
      </c>
      <c r="G79" s="733"/>
      <c r="H79" s="705"/>
      <c r="I79" s="705"/>
    </row>
    <row r="80" spans="1:9" s="728" customFormat="1" ht="12" customHeight="1" thickBot="1" x14ac:dyDescent="0.25">
      <c r="A80" s="1452"/>
      <c r="B80" s="1448"/>
      <c r="C80" s="1445"/>
      <c r="D80" s="1449" t="s">
        <v>2010</v>
      </c>
      <c r="E80" s="1447" t="s">
        <v>952</v>
      </c>
      <c r="F80" s="1790">
        <f>IF(F79&gt;0,F78/F79," Complete Line 79")</f>
        <v>8611.9696509863425</v>
      </c>
      <c r="G80" s="705"/>
    </row>
    <row r="81" spans="1:7" s="728" customFormat="1" ht="8.25" customHeight="1" thickTop="1" x14ac:dyDescent="0.2">
      <c r="A81" s="734"/>
      <c r="B81" s="705"/>
      <c r="C81" s="707"/>
      <c r="D81" s="735"/>
      <c r="E81" s="704"/>
      <c r="F81" s="1791"/>
      <c r="G81" s="705"/>
    </row>
    <row r="82" spans="1:7" s="728" customFormat="1" ht="12" thickBot="1" x14ac:dyDescent="0.25">
      <c r="A82" s="2361" t="s">
        <v>1096</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73307</v>
      </c>
      <c r="G95" s="745"/>
    </row>
    <row r="96" spans="1:7" x14ac:dyDescent="0.2">
      <c r="A96" s="741" t="s">
        <v>139</v>
      </c>
      <c r="B96" s="741" t="s">
        <v>174</v>
      </c>
      <c r="C96" s="743">
        <v>1700</v>
      </c>
      <c r="D96" s="751" t="str">
        <f>'Revenues 9-14'!A82</f>
        <v>Total District/School Activity Income</v>
      </c>
      <c r="E96" s="739"/>
      <c r="F96" s="1793">
        <f>SUM('Revenues 9-14'!C82,'Revenues 9-14'!D82)</f>
        <v>13975</v>
      </c>
      <c r="G96" s="745"/>
    </row>
    <row r="97" spans="1:7" x14ac:dyDescent="0.2">
      <c r="A97" s="741" t="s">
        <v>456</v>
      </c>
      <c r="B97" s="741" t="s">
        <v>175</v>
      </c>
      <c r="C97" s="743">
        <f>'Revenues 9-14'!B84</f>
        <v>1811</v>
      </c>
      <c r="D97" s="744" t="str">
        <f>'Revenues 9-14'!A84</f>
        <v>Rentals - Regular Textbooks</v>
      </c>
      <c r="E97" s="739"/>
      <c r="F97" s="1793">
        <f>'Revenues 9-14'!C84</f>
        <v>29928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1695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8680</v>
      </c>
      <c r="G105" s="745"/>
    </row>
    <row r="106" spans="1:7" x14ac:dyDescent="0.2">
      <c r="A106" s="741" t="s">
        <v>500</v>
      </c>
      <c r="B106" s="741" t="s">
        <v>1907</v>
      </c>
      <c r="C106" s="746">
        <v>3100</v>
      </c>
      <c r="D106" s="752" t="str">
        <f>'Revenues 9-14'!A132</f>
        <v>Total Special Education</v>
      </c>
      <c r="E106" s="739"/>
      <c r="F106" s="1793">
        <f>SUM('Revenues 9-14'!C132:D132,'Revenues 9-14'!F132)</f>
        <v>357572</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3904</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346014</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13763</v>
      </c>
      <c r="G125" s="763"/>
    </row>
    <row r="126" spans="1:7" x14ac:dyDescent="0.2">
      <c r="A126" s="760" t="s">
        <v>659</v>
      </c>
      <c r="B126" s="760" t="s">
        <v>1927</v>
      </c>
      <c r="C126" s="765">
        <v>4200</v>
      </c>
      <c r="D126" s="762" t="str">
        <f>'Revenues 9-14'!A198</f>
        <v>Total Food Service</v>
      </c>
      <c r="E126" s="739"/>
      <c r="F126" s="1793">
        <f>SUM('Revenues 9-14'!C198,'Revenues 9-14'!G198)</f>
        <v>320510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395106</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44874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13599</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38275</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11291</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65594</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346336</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2135173</v>
      </c>
    </row>
    <row r="176" spans="1:7" ht="12" customHeight="1" x14ac:dyDescent="0.2">
      <c r="A176" s="1443"/>
      <c r="B176" s="1453"/>
      <c r="C176" s="1454"/>
      <c r="D176" s="1455" t="s">
        <v>2011</v>
      </c>
      <c r="E176" s="1456"/>
      <c r="F176" s="1793">
        <f>'PCTC-OEPP 27-28'!F78-F175</f>
        <v>6377759</v>
      </c>
    </row>
    <row r="177" spans="1:9" ht="12" customHeight="1" x14ac:dyDescent="0.2">
      <c r="A177" s="1443"/>
      <c r="B177" s="1453"/>
      <c r="C177" s="1454"/>
      <c r="D177" s="1455" t="s">
        <v>1791</v>
      </c>
      <c r="E177" s="1456"/>
      <c r="F177" s="1793">
        <f>'Cap Outlay Deprec 26'!I18</f>
        <v>278032</v>
      </c>
    </row>
    <row r="178" spans="1:9" ht="12" customHeight="1" x14ac:dyDescent="0.2">
      <c r="A178" s="1443"/>
      <c r="B178" s="1453"/>
      <c r="C178" s="1454"/>
      <c r="D178" s="1455" t="s">
        <v>2012</v>
      </c>
      <c r="E178" s="1456"/>
      <c r="F178" s="1793">
        <f>F176+F177</f>
        <v>6655791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988.5</v>
      </c>
      <c r="G179" s="763"/>
      <c r="I179" s="701"/>
    </row>
    <row r="180" spans="1:9" ht="12" customHeight="1" thickBot="1" x14ac:dyDescent="0.25">
      <c r="A180" s="1443"/>
      <c r="B180" s="1457"/>
      <c r="C180" s="1454"/>
      <c r="D180" s="1455" t="s">
        <v>2014</v>
      </c>
      <c r="E180" s="1456" t="s">
        <v>1528</v>
      </c>
      <c r="F180" s="1798">
        <f>F178/F179</f>
        <v>6733.2230652503795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55000000000000004" footer="0.31"/>
  <pageSetup scale="72" firstPageNumber="69" orientation="portrait" useFirstPageNumber="1" r:id="rId2"/>
  <headerFooter differentOddEven="1" alignWithMargins="0">
    <oddHeader>&amp;C Salem Elementary School District 111</oddHeader>
    <oddFooter>&amp;C&amp;14- &amp;P -</oddFooter>
    <evenHeader>&amp;C Salem Elementary School District 111</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K16" sqref="K16"/>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1804</v>
      </c>
      <c r="B1" s="1860"/>
      <c r="C1" s="1861"/>
      <c r="D1" s="1861"/>
      <c r="E1" s="1861"/>
      <c r="F1" s="1861"/>
    </row>
    <row r="2" spans="1:6" x14ac:dyDescent="0.25">
      <c r="A2" s="1863"/>
      <c r="B2" s="1864"/>
      <c r="C2" s="1911" t="s">
        <v>2000</v>
      </c>
      <c r="D2" s="1863"/>
      <c r="E2" s="1863"/>
      <c r="F2" s="1863"/>
    </row>
    <row r="3" spans="1:6" ht="5.25" customHeight="1" x14ac:dyDescent="0.25">
      <c r="A3" s="1865"/>
      <c r="B3" s="1866"/>
      <c r="C3" s="1865"/>
      <c r="D3" s="1865"/>
      <c r="E3" s="1865"/>
      <c r="F3" s="1865"/>
    </row>
    <row r="4" spans="1:6" ht="18.75" customHeight="1" x14ac:dyDescent="0.25">
      <c r="A4" s="2375" t="s">
        <v>1792</v>
      </c>
      <c r="B4" s="2376"/>
      <c r="C4" s="2376"/>
      <c r="D4" s="2376"/>
      <c r="E4" s="2376"/>
      <c r="F4" s="2377"/>
    </row>
    <row r="5" spans="1:6" x14ac:dyDescent="0.25">
      <c r="A5" s="2378"/>
      <c r="B5" s="2379"/>
      <c r="C5" s="2379"/>
      <c r="D5" s="2379"/>
      <c r="E5" s="2379"/>
      <c r="F5" s="2380"/>
    </row>
    <row r="6" spans="1:6" ht="18.75" x14ac:dyDescent="0.25">
      <c r="A6" s="1867" t="s">
        <v>1793</v>
      </c>
      <c r="B6" s="1868"/>
      <c r="C6" s="1869"/>
      <c r="D6" s="1869"/>
      <c r="E6" s="1869"/>
      <c r="F6" s="1870"/>
    </row>
    <row r="7" spans="1:6" ht="47.25" customHeight="1" x14ac:dyDescent="0.25">
      <c r="A7" s="2381" t="s">
        <v>1982</v>
      </c>
      <c r="B7" s="2382"/>
      <c r="C7" s="2382"/>
      <c r="D7" s="2382"/>
      <c r="E7" s="2382"/>
      <c r="F7" s="2383"/>
    </row>
    <row r="8" spans="1:6" ht="20.25" customHeight="1" x14ac:dyDescent="0.25">
      <c r="A8" s="1901" t="s">
        <v>1984</v>
      </c>
      <c r="B8" s="1902"/>
      <c r="C8" s="1902"/>
      <c r="D8" s="1902"/>
      <c r="E8" s="1871"/>
      <c r="F8" s="1872"/>
    </row>
    <row r="9" spans="1:6" ht="18" customHeight="1" x14ac:dyDescent="0.25">
      <c r="A9" s="1873" t="s">
        <v>1981</v>
      </c>
      <c r="B9" s="1875"/>
      <c r="C9" s="1875"/>
      <c r="D9" s="1875"/>
      <c r="E9" s="1871"/>
      <c r="F9" s="1872"/>
    </row>
    <row r="10" spans="1:6" ht="15.75" customHeight="1" x14ac:dyDescent="0.25">
      <c r="A10" s="2384" t="s">
        <v>1978</v>
      </c>
      <c r="B10" s="2385"/>
      <c r="C10" s="2385"/>
      <c r="D10" s="2385"/>
      <c r="E10" s="2385"/>
      <c r="F10" s="2386"/>
    </row>
    <row r="11" spans="1:6" ht="33" customHeight="1" x14ac:dyDescent="0.25">
      <c r="A11" s="2381" t="s">
        <v>1983</v>
      </c>
      <c r="B11" s="2382"/>
      <c r="C11" s="2382"/>
      <c r="D11" s="2382"/>
      <c r="E11" s="2382"/>
      <c r="F11" s="2383"/>
    </row>
    <row r="12" spans="1:6" ht="15" customHeight="1" x14ac:dyDescent="0.25">
      <c r="A12" s="1873" t="s">
        <v>1979</v>
      </c>
      <c r="B12" s="1874"/>
      <c r="C12" s="1875"/>
      <c r="D12" s="1875"/>
      <c r="E12" s="1875"/>
      <c r="F12" s="1876"/>
    </row>
    <row r="13" spans="1:6" ht="17.25" customHeight="1" x14ac:dyDescent="0.25">
      <c r="A13" s="2381" t="s">
        <v>1980</v>
      </c>
      <c r="B13" s="2382"/>
      <c r="C13" s="2382"/>
      <c r="D13" s="2382"/>
      <c r="E13" s="2382"/>
      <c r="F13" s="2383"/>
    </row>
    <row r="14" spans="1:6" ht="15" customHeight="1" x14ac:dyDescent="0.25">
      <c r="A14" s="1873" t="s">
        <v>1797</v>
      </c>
      <c r="B14" s="1874"/>
      <c r="C14" s="1875"/>
      <c r="D14" s="1875"/>
      <c r="E14" s="1875"/>
      <c r="F14" s="1876"/>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6" t="s">
        <v>1796</v>
      </c>
      <c r="C17" s="1881" t="s">
        <v>1794</v>
      </c>
      <c r="D17" s="1882">
        <v>500000</v>
      </c>
      <c r="E17" s="1882" t="str">
        <f>IF(D17&lt;25000,D17,"25,000")</f>
        <v>25,000</v>
      </c>
      <c r="F17" s="1883">
        <f>IF(D17&gt;=25000,(D17-E17),"0")</f>
        <v>475000</v>
      </c>
    </row>
    <row r="18" spans="1:7" x14ac:dyDescent="0.25">
      <c r="A18" s="2033" t="s">
        <v>2161</v>
      </c>
      <c r="B18" s="1907">
        <v>102300300</v>
      </c>
      <c r="C18" s="2034" t="s">
        <v>2049</v>
      </c>
      <c r="D18" s="1885">
        <v>12200</v>
      </c>
      <c r="E18" s="1905">
        <f t="shared" ref="E18:E33" si="0">IF(D18&lt;25000,D18,"25,000")</f>
        <v>12200</v>
      </c>
      <c r="F18" s="1905" t="str">
        <f t="shared" ref="F18:F33" si="1">IF(D18&gt;=25000,(D18-E18),"0")</f>
        <v>0</v>
      </c>
      <c r="G18" s="1886"/>
    </row>
    <row r="19" spans="1:7" x14ac:dyDescent="0.25">
      <c r="A19" s="2033" t="s">
        <v>2162</v>
      </c>
      <c r="B19" s="1907">
        <v>101000300</v>
      </c>
      <c r="C19" s="2034" t="s">
        <v>2163</v>
      </c>
      <c r="D19" s="1885">
        <v>19988</v>
      </c>
      <c r="E19" s="1905">
        <f t="shared" si="0"/>
        <v>19988</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32188</v>
      </c>
      <c r="E35" s="1892">
        <f>SUM(E18:E34)</f>
        <v>32188</v>
      </c>
      <c r="F35" s="1893">
        <f>SUM(F18:F34)</f>
        <v>0</v>
      </c>
    </row>
  </sheetData>
  <sheetProtection selectLockedCells="1"/>
  <mergeCells count="6">
    <mergeCell ref="A15:F15"/>
    <mergeCell ref="A4:F5"/>
    <mergeCell ref="A7:F7"/>
    <mergeCell ref="A10:F10"/>
    <mergeCell ref="A11:F11"/>
    <mergeCell ref="A13:F13"/>
  </mergeCells>
  <pageMargins left="0.4" right="0.2" top="0.61" bottom="0.25" header="0.34" footer="0.3"/>
  <pageSetup scale="80" firstPageNumber="71" fitToHeight="0" orientation="landscape" useFirstPageNumber="1" r:id="rId1"/>
  <headerFooter>
    <oddHeader>&amp;C Salem Elementary School District 111</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1660</v>
      </c>
      <c r="B5" s="2388"/>
      <c r="C5" s="2388"/>
      <c r="D5" s="2388"/>
      <c r="E5" s="2388"/>
      <c r="F5" s="2388"/>
      <c r="G5" s="238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159790</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1">
        <v>44003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5657289</v>
      </c>
      <c r="F19" s="1802"/>
      <c r="G19" s="1804">
        <f>'Expenditures 15-22'!K33-SUM('Expenditures 15-22'!G33,'Expenditures 15-22'!I33)+'Expenditures 15-22'!D229</f>
        <v>5657289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309412</v>
      </c>
      <c r="F21" s="1805"/>
      <c r="G21" s="1808">
        <f>'Expenditures 15-22'!K42-SUM('Expenditures 15-22'!G42,'Expenditures 15-22'!I42)+'Expenditures 15-22'!K120-SUM('Expenditures 15-22'!G120,'Expenditures 15-22'!I120)+'Expenditures 15-22'!K180-SUM('Expenditures 15-22'!G180,'Expenditures 15-22'!I180)+'Expenditures 15-22'!D238</f>
        <v>309412</v>
      </c>
      <c r="H21" s="817"/>
      <c r="I21" s="157"/>
    </row>
    <row r="22" spans="1:9" s="542" customFormat="1" ht="12" customHeight="1" x14ac:dyDescent="0.2">
      <c r="A22" s="824" t="s">
        <v>560</v>
      </c>
      <c r="B22" s="825"/>
      <c r="C22" s="823">
        <v>2200</v>
      </c>
      <c r="D22" s="1805"/>
      <c r="E22" s="1807">
        <f>'Expenditures 15-22'!K47-SUM('Expenditures 15-22'!G47,'Expenditures 15-22'!I47)+'Expenditures 15-22'!D243</f>
        <v>73785</v>
      </c>
      <c r="F22" s="1805"/>
      <c r="G22" s="1808">
        <f>'Expenditures 15-22'!K47-SUM('Expenditures 15-22'!G47,'Expenditures 15-22'!I47)+'Expenditures 15-22'!D243</f>
        <v>73785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258538</v>
      </c>
      <c r="F23" s="1805"/>
      <c r="G23" s="1807">
        <f>'Expenditures 15-22'!K53-SUM('Expenditures 15-22'!G53,'Expenditures 15-22'!I53)+'Expenditures 15-22'!D257+'Expenditures 15-22'!K330-SUM('Expenditures 15-22'!G330,'Expenditures 15-22'!I330)</f>
        <v>258538</v>
      </c>
      <c r="H23" s="817"/>
      <c r="I23" s="157"/>
    </row>
    <row r="24" spans="1:9" s="542" customFormat="1" ht="12" customHeight="1" x14ac:dyDescent="0.2">
      <c r="A24" s="824" t="s">
        <v>562</v>
      </c>
      <c r="B24" s="825"/>
      <c r="C24" s="823">
        <v>2400</v>
      </c>
      <c r="D24" s="1805"/>
      <c r="E24" s="1807">
        <f>'Expenditures 15-22'!K57-SUM('Expenditures 15-22'!G57,'Expenditures 15-22'!I57)+'Expenditures 15-22'!D261</f>
        <v>505159</v>
      </c>
      <c r="F24" s="1805"/>
      <c r="G24" s="1808">
        <f>'Expenditures 15-22'!K57-SUM('Expenditures 15-22'!G57,'Expenditures 15-22'!I57)+'Expenditures 15-22'!D261</f>
        <v>505159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93928</v>
      </c>
      <c r="E27" s="1807">
        <f>E8</f>
        <v>0</v>
      </c>
      <c r="F27" s="1807">
        <f>'Expenditures 15-22'!K60-SUM('Expenditures 15-22'!G60,'Expenditures 15-22'!I60)+'Expenditures 15-22'!D264-E8</f>
        <v>93928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655780</v>
      </c>
      <c r="F28" s="1809">
        <f>'Expenditures 15-22'!K61-SUM('Expenditures 15-22'!G61,'Expenditures 15-22'!I61)+'Expenditures 15-22'!K124-SUM('Expenditures 15-22'!G124,'Expenditures 15-22'!I124)+'Expenditures 15-22'!D266-E9</f>
        <v>655780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424720</v>
      </c>
      <c r="F29" s="1805"/>
      <c r="G29" s="1808">
        <f>'Expenditures 15-22'!K62-SUM('Expenditures 15-22'!G62,'Expenditures 15-22'!I62)+'Expenditures 15-22'!K125-SUM('Expenditures 15-22'!G125,'Expenditures 15-22'!I125)+'Expenditures 15-22'!K182-SUM('Expenditures 15-22'!G182,'Expenditures 15-22'!I182)+'Expenditures 15-22'!D267</f>
        <v>424720</v>
      </c>
      <c r="H29" s="815"/>
    </row>
    <row r="30" spans="1:9" ht="12" customHeight="1" x14ac:dyDescent="0.2">
      <c r="A30" s="824" t="s">
        <v>100</v>
      </c>
      <c r="B30" s="827"/>
      <c r="C30" s="823">
        <v>2560</v>
      </c>
      <c r="D30" s="1805"/>
      <c r="E30" s="1807">
        <f>'Expenditures 15-22'!K63-SUM('Expenditures 15-22'!G63,'Expenditures 15-22'!I63)+'Expenditures 15-22'!D268-E10</f>
        <v>300098</v>
      </c>
      <c r="F30" s="1805"/>
      <c r="G30" s="1807">
        <f>'Expenditures 15-22'!K63-SUM('Expenditures 15-22'!G63,'Expenditures 15-22'!I63)+'Expenditures 15-22'!D268-E10</f>
        <v>300098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29'!F35</f>
        <v>0</v>
      </c>
      <c r="F40" s="1805"/>
      <c r="G40" s="1809">
        <f>-'Contracts Paid in CY 29'!F35</f>
        <v>0</v>
      </c>
    </row>
    <row r="41" spans="1:7" ht="12" customHeight="1" x14ac:dyDescent="0.2">
      <c r="A41" s="828" t="s">
        <v>155</v>
      </c>
      <c r="B41" s="829"/>
      <c r="C41" s="830"/>
      <c r="D41" s="1809">
        <f>SUM(D19:D39)</f>
        <v>93928</v>
      </c>
      <c r="E41" s="1809">
        <f>SUM(E19:E40)</f>
        <v>8184781</v>
      </c>
      <c r="F41" s="1809">
        <f>SUM(F19:F39)</f>
        <v>749708</v>
      </c>
      <c r="G41" s="1809">
        <f>SUM(G19:G40)</f>
        <v>7529001</v>
      </c>
    </row>
    <row r="42" spans="1:7" x14ac:dyDescent="0.2">
      <c r="A42" s="817"/>
      <c r="B42" s="157"/>
      <c r="C42" s="831"/>
      <c r="D42" s="2390" t="s">
        <v>519</v>
      </c>
      <c r="E42" s="2391"/>
      <c r="F42" s="832" t="s">
        <v>520</v>
      </c>
      <c r="G42" s="833"/>
    </row>
    <row r="43" spans="1:7" ht="12" customHeight="1" x14ac:dyDescent="0.2">
      <c r="A43" s="817"/>
      <c r="B43" s="157"/>
      <c r="C43" s="831"/>
      <c r="D43" s="1458" t="s">
        <v>470</v>
      </c>
      <c r="E43" s="1810">
        <f>D41</f>
        <v>93928</v>
      </c>
      <c r="F43" s="1458" t="s">
        <v>470</v>
      </c>
      <c r="G43" s="1810">
        <f>F41</f>
        <v>749708</v>
      </c>
    </row>
    <row r="44" spans="1:7" ht="12" customHeight="1" x14ac:dyDescent="0.2">
      <c r="A44" s="817"/>
      <c r="B44" s="157"/>
      <c r="C44" s="831"/>
      <c r="D44" s="1458" t="s">
        <v>471</v>
      </c>
      <c r="E44" s="1810">
        <f>E41</f>
        <v>8184781</v>
      </c>
      <c r="F44" s="1458" t="s">
        <v>471</v>
      </c>
      <c r="G44" s="1810">
        <f>G41</f>
        <v>7529001</v>
      </c>
    </row>
    <row r="45" spans="1:7" ht="12" customHeight="1" x14ac:dyDescent="0.2">
      <c r="A45" s="817"/>
      <c r="B45" s="157"/>
      <c r="C45" s="157"/>
      <c r="D45" s="1459" t="s">
        <v>999</v>
      </c>
      <c r="E45" s="1811">
        <f>(E43/E44)</f>
        <v>1.1475933198456989E-2</v>
      </c>
      <c r="F45" s="1459" t="s">
        <v>999</v>
      </c>
      <c r="G45" s="1811">
        <f>(G43/G44)</f>
        <v>9.9576026088985775E-2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72" orientation="landscape" useFirstPageNumber="1" r:id="rId1"/>
  <headerFooter alignWithMargins="0">
    <oddHeader>&amp;C Salem Elementary School District 111</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1363</v>
      </c>
      <c r="B1" s="2409"/>
      <c r="C1" s="2409"/>
      <c r="D1" s="2409"/>
      <c r="E1" s="2409"/>
      <c r="F1" s="2409"/>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1529</v>
      </c>
      <c r="B5" s="2411"/>
      <c r="C5" s="2412"/>
      <c r="D5" s="2412"/>
      <c r="E5" s="2412"/>
      <c r="F5" s="2412"/>
      <c r="G5" s="1507"/>
      <c r="L5" s="1507"/>
      <c r="M5" s="1855"/>
      <c r="N5" s="1855"/>
      <c r="O5" s="1855"/>
    </row>
    <row r="6" spans="1:15" ht="12" customHeight="1" x14ac:dyDescent="0.25">
      <c r="A6" s="1480"/>
      <c r="B6" s="1481"/>
      <c r="C6" s="2413" t="str">
        <f>COVER!A17</f>
        <v xml:space="preserve"> Salem SD 111</v>
      </c>
      <c r="D6" s="2413"/>
      <c r="E6" s="2413"/>
      <c r="F6" s="1482"/>
      <c r="G6" s="1507"/>
      <c r="L6" s="1507"/>
      <c r="M6" s="1855"/>
      <c r="N6" s="1855"/>
      <c r="O6" s="1855"/>
    </row>
    <row r="7" spans="1:15" ht="11.25" customHeight="1" thickBot="1" x14ac:dyDescent="0.3">
      <c r="A7" s="1480"/>
      <c r="B7" s="1481"/>
      <c r="C7" s="2414">
        <f>COVER!A13</f>
        <v>13058111002</v>
      </c>
      <c r="D7" s="2414"/>
      <c r="E7" s="2414"/>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502"/>
      <c r="B39" s="1502"/>
      <c r="C39" s="1502"/>
      <c r="D39" s="1502"/>
      <c r="E39" s="1502"/>
      <c r="F39" s="1502"/>
    </row>
    <row r="40" spans="1:15" s="1499" customFormat="1" ht="12" customHeight="1" x14ac:dyDescent="0.25">
      <c r="A40" s="1503" t="s">
        <v>1375</v>
      </c>
      <c r="B40" s="1504"/>
      <c r="C40" s="2404"/>
      <c r="D40" s="2404"/>
      <c r="E40" s="2404"/>
      <c r="F40" s="2405"/>
      <c r="H40" s="1508"/>
      <c r="I40" s="1508"/>
      <c r="J40" s="1508"/>
      <c r="K40" s="1508"/>
    </row>
    <row r="41" spans="1:15" s="1499" customFormat="1" ht="12" customHeight="1" x14ac:dyDescent="0.25">
      <c r="A41" s="2406"/>
      <c r="B41" s="2407"/>
      <c r="C41" s="2407"/>
      <c r="D41" s="2407"/>
      <c r="E41" s="2407"/>
      <c r="F41" s="2408"/>
      <c r="H41" s="1508"/>
      <c r="I41" s="1508"/>
      <c r="J41" s="1508"/>
      <c r="K41" s="1508"/>
    </row>
    <row r="42" spans="1:15" s="1499" customFormat="1" ht="12" customHeight="1" x14ac:dyDescent="0.25">
      <c r="A42" s="2406"/>
      <c r="B42" s="2407"/>
      <c r="C42" s="2407"/>
      <c r="D42" s="2407"/>
      <c r="E42" s="2407"/>
      <c r="F42" s="2408"/>
      <c r="H42" s="1508"/>
      <c r="I42" s="1508"/>
      <c r="J42" s="1508"/>
      <c r="K42" s="1508"/>
    </row>
    <row r="43" spans="1:15" s="1499" customFormat="1" ht="15" x14ac:dyDescent="0.25">
      <c r="A43" s="2395"/>
      <c r="B43" s="2396"/>
      <c r="C43" s="2396"/>
      <c r="D43" s="2396"/>
      <c r="E43" s="2396"/>
      <c r="F43" s="2397"/>
      <c r="H43" s="1508"/>
      <c r="I43" s="1508"/>
      <c r="J43" s="1508"/>
      <c r="K43" s="1508"/>
    </row>
    <row r="44" spans="1:15" s="1499" customFormat="1" ht="12" hidden="1" customHeight="1" x14ac:dyDescent="0.25">
      <c r="A44" s="2395"/>
      <c r="B44" s="2396"/>
      <c r="C44" s="2396"/>
      <c r="D44" s="2396"/>
      <c r="E44" s="2396"/>
      <c r="F44" s="239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9" right="0.2" top="0.68" bottom="0.61" header="0.4" footer="0.31"/>
  <pageSetup scale="83" firstPageNumber="73" orientation="landscape" useFirstPageNumber="1" r:id="rId1"/>
  <headerFooter>
    <oddHeader>&amp;C Salem Elementary School District 111</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8" sqref="K18"/>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1999</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5" t="str">
        <f>COVER!A17</f>
        <v xml:space="preserve"> Salem SD 111</v>
      </c>
      <c r="K6" s="2435"/>
      <c r="L6" s="2449"/>
      <c r="M6" s="838"/>
      <c r="N6" s="1996"/>
    </row>
    <row r="7" spans="1:14" x14ac:dyDescent="0.2">
      <c r="A7" s="2450" t="s">
        <v>864</v>
      </c>
      <c r="B7" s="2451"/>
      <c r="C7" s="2451"/>
      <c r="D7" s="2451"/>
      <c r="E7" s="2452"/>
      <c r="F7" s="839"/>
      <c r="G7" s="838"/>
      <c r="H7" s="838"/>
      <c r="I7" s="1922" t="s">
        <v>369</v>
      </c>
      <c r="J7" s="2437">
        <f>COVER!A13</f>
        <v>13058111002</v>
      </c>
      <c r="K7" s="2437"/>
      <c r="L7" s="243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2015</v>
      </c>
      <c r="F9" s="1857"/>
      <c r="G9" s="1857"/>
      <c r="H9" s="1857"/>
      <c r="I9" s="1927" t="s">
        <v>2016</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3" t="s">
        <v>478</v>
      </c>
      <c r="B11" s="2454"/>
      <c r="C11" s="2455"/>
      <c r="D11" s="1935" t="s">
        <v>866</v>
      </c>
      <c r="E11" s="1935" t="s">
        <v>64</v>
      </c>
      <c r="F11" s="1935" t="s">
        <v>6</v>
      </c>
      <c r="G11" s="1936" t="s">
        <v>2017</v>
      </c>
      <c r="H11" s="1937" t="s">
        <v>155</v>
      </c>
      <c r="I11" s="1935" t="s">
        <v>64</v>
      </c>
      <c r="J11" s="1935" t="s">
        <v>6</v>
      </c>
      <c r="K11" s="1936" t="s">
        <v>1998</v>
      </c>
      <c r="L11" s="1937" t="s">
        <v>155</v>
      </c>
      <c r="M11" s="838"/>
      <c r="N11" s="1996"/>
    </row>
    <row r="12" spans="1:14" x14ac:dyDescent="0.2">
      <c r="A12" s="2001">
        <v>1</v>
      </c>
      <c r="B12" s="1938" t="s">
        <v>813</v>
      </c>
      <c r="C12" s="842"/>
      <c r="D12" s="1939">
        <v>2320</v>
      </c>
      <c r="E12" s="1942">
        <f>'Expenditures 15-22'!K50</f>
        <v>146166</v>
      </c>
      <c r="F12" s="1940"/>
      <c r="G12" s="1966">
        <f>G68</f>
        <v>0</v>
      </c>
      <c r="H12" s="1942">
        <f t="shared" ref="H12:H18" si="0">SUM(E12:G12)</f>
        <v>146166</v>
      </c>
      <c r="I12" s="1941">
        <v>157081</v>
      </c>
      <c r="J12" s="1940"/>
      <c r="K12" s="1941">
        <v>0</v>
      </c>
      <c r="L12" s="1942">
        <f t="shared" ref="L12:L18" si="1">SUM(I12:K12)</f>
        <v>157081</v>
      </c>
      <c r="M12" s="838"/>
      <c r="N12" s="1996"/>
    </row>
    <row r="13" spans="1:14" x14ac:dyDescent="0.2">
      <c r="A13" s="2001">
        <v>2</v>
      </c>
      <c r="B13" s="1938" t="s">
        <v>42</v>
      </c>
      <c r="C13" s="842"/>
      <c r="D13" s="1939">
        <v>2330</v>
      </c>
      <c r="E13" s="1942">
        <f>'Expenditures 15-22'!K51</f>
        <v>0</v>
      </c>
      <c r="F13" s="1940"/>
      <c r="G13" s="1966">
        <f>H68</f>
        <v>0</v>
      </c>
      <c r="H13" s="1942">
        <f t="shared" si="0"/>
        <v>0</v>
      </c>
      <c r="I13" s="1941">
        <v>0</v>
      </c>
      <c r="J13" s="1940"/>
      <c r="K13" s="1941">
        <v>0</v>
      </c>
      <c r="L13" s="1942">
        <f t="shared" si="1"/>
        <v>0</v>
      </c>
      <c r="M13" s="838"/>
      <c r="N13" s="1996"/>
    </row>
    <row r="14" spans="1:14" x14ac:dyDescent="0.2">
      <c r="A14" s="2001">
        <v>3</v>
      </c>
      <c r="B14" s="1938" t="s">
        <v>43</v>
      </c>
      <c r="C14" s="842"/>
      <c r="D14" s="1943">
        <v>2490</v>
      </c>
      <c r="E14" s="1942">
        <f>'Expenditures 15-22'!K56</f>
        <v>49937</v>
      </c>
      <c r="F14" s="1940"/>
      <c r="G14" s="1966">
        <f>I68</f>
        <v>0</v>
      </c>
      <c r="H14" s="1942">
        <f t="shared" si="0"/>
        <v>49937</v>
      </c>
      <c r="I14" s="1941">
        <v>26012</v>
      </c>
      <c r="J14" s="1940"/>
      <c r="K14" s="1941">
        <v>0</v>
      </c>
      <c r="L14" s="1942">
        <f t="shared" si="1"/>
        <v>26012</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v>0</v>
      </c>
      <c r="J15" s="1941">
        <v>0</v>
      </c>
      <c r="K15" s="1941">
        <v>0</v>
      </c>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v>0</v>
      </c>
      <c r="J16" s="1940"/>
      <c r="K16" s="1941">
        <v>0</v>
      </c>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v>0</v>
      </c>
      <c r="J17" s="1940"/>
      <c r="K17" s="1941">
        <v>0</v>
      </c>
      <c r="L17" s="1942">
        <f t="shared" si="1"/>
        <v>0</v>
      </c>
      <c r="M17" s="838"/>
      <c r="N17" s="1996"/>
    </row>
    <row r="18" spans="1:14" ht="26.25" customHeight="1" x14ac:dyDescent="0.2">
      <c r="A18" s="2002">
        <v>7</v>
      </c>
      <c r="B18" s="2456" t="s">
        <v>7</v>
      </c>
      <c r="C18" s="2457"/>
      <c r="D18" s="2458"/>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196103</v>
      </c>
      <c r="F19" s="1948">
        <f t="shared" si="2"/>
        <v>0</v>
      </c>
      <c r="G19" s="1948">
        <f t="shared" ref="G19" si="3">SUM(G12:G17)-G18</f>
        <v>0</v>
      </c>
      <c r="H19" s="1948">
        <f t="shared" si="2"/>
        <v>196103</v>
      </c>
      <c r="I19" s="1948">
        <f t="shared" si="2"/>
        <v>183093</v>
      </c>
      <c r="J19" s="1948">
        <f t="shared" si="2"/>
        <v>0</v>
      </c>
      <c r="K19" s="1948">
        <f t="shared" si="2"/>
        <v>0</v>
      </c>
      <c r="L19" s="1948">
        <f t="shared" si="2"/>
        <v>183093</v>
      </c>
      <c r="M19" s="838"/>
      <c r="N19" s="1996"/>
    </row>
    <row r="20" spans="1:14" ht="13.5" thickTop="1" x14ac:dyDescent="0.2">
      <c r="A20" s="2001">
        <v>9</v>
      </c>
      <c r="B20" s="2459" t="s">
        <v>2018</v>
      </c>
      <c r="C20" s="2459"/>
      <c r="D20" s="2460"/>
      <c r="E20" s="1949"/>
      <c r="F20" s="1949"/>
      <c r="G20" s="1949"/>
      <c r="H20" s="1949"/>
      <c r="I20" s="1949"/>
      <c r="J20" s="1949"/>
      <c r="K20" s="1949"/>
      <c r="L20" s="1950">
        <f>IF(AND(H19&gt;0,L19&gt;0),(((L19-H19)/H19)),"Enter Budget Data")</f>
        <v>-6.6342687261286157E-2</v>
      </c>
      <c r="M20" s="838"/>
      <c r="N20" s="1996"/>
    </row>
    <row r="21" spans="1:14" x14ac:dyDescent="0.2">
      <c r="A21" s="2003" t="s">
        <v>194</v>
      </c>
      <c r="B21" s="2004" t="s">
        <v>2043</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2019</v>
      </c>
      <c r="B24" s="2008"/>
      <c r="C24" s="2009"/>
      <c r="D24" s="2009"/>
      <c r="E24" s="2009"/>
      <c r="F24" s="2009"/>
      <c r="G24" s="2009"/>
      <c r="H24" s="2009"/>
      <c r="I24" s="2009"/>
      <c r="J24" s="2009"/>
      <c r="K24" s="2009"/>
      <c r="L24" s="838"/>
      <c r="M24" s="838"/>
      <c r="N24" s="1996"/>
    </row>
    <row r="25" spans="1:14" x14ac:dyDescent="0.2">
      <c r="A25" s="2007" t="s">
        <v>2020</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1"/>
      <c r="D27" s="2461"/>
      <c r="E27" s="843"/>
      <c r="F27" s="2462"/>
      <c r="G27" s="2462"/>
      <c r="H27" s="2462"/>
      <c r="I27" s="838"/>
      <c r="J27" s="838"/>
      <c r="K27" s="838"/>
      <c r="L27" s="838"/>
      <c r="M27" s="838"/>
      <c r="N27" s="1996"/>
    </row>
    <row r="28" spans="1:14" x14ac:dyDescent="0.2">
      <c r="A28" s="1995"/>
      <c r="B28" s="2005"/>
      <c r="C28" s="1955" t="s">
        <v>1026</v>
      </c>
      <c r="D28" s="844"/>
      <c r="E28" s="1956"/>
      <c r="F28" s="2463" t="s">
        <v>1492</v>
      </c>
      <c r="G28" s="2463"/>
      <c r="H28" s="2463"/>
      <c r="I28" s="838"/>
      <c r="J28" s="838"/>
      <c r="K28" s="838"/>
      <c r="L28" s="838"/>
      <c r="M28" s="838"/>
      <c r="N28" s="1996"/>
    </row>
    <row r="29" spans="1:14" x14ac:dyDescent="0.2">
      <c r="A29" s="1995"/>
      <c r="B29" s="2005"/>
      <c r="C29" s="2464"/>
      <c r="D29" s="2464"/>
      <c r="E29" s="845"/>
      <c r="F29" s="2464"/>
      <c r="G29" s="2464"/>
      <c r="H29" s="2464"/>
      <c r="I29" s="838"/>
      <c r="J29" s="838"/>
      <c r="K29" s="838"/>
      <c r="L29" s="838"/>
      <c r="M29" s="838"/>
      <c r="N29" s="1996"/>
    </row>
    <row r="30" spans="1:14" x14ac:dyDescent="0.2">
      <c r="A30" s="1995"/>
      <c r="B30" s="2005"/>
      <c r="C30" s="1958" t="s">
        <v>1544</v>
      </c>
      <c r="D30" s="838"/>
      <c r="E30" s="1957"/>
      <c r="F30" s="2448" t="s">
        <v>1493</v>
      </c>
      <c r="G30" s="2448"/>
      <c r="H30" s="244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5" t="s">
        <v>2021</v>
      </c>
      <c r="D34" s="2426"/>
      <c r="E34" s="2426"/>
      <c r="F34" s="2426"/>
      <c r="G34" s="2426"/>
      <c r="H34" s="2426"/>
      <c r="I34" s="2426"/>
      <c r="J34" s="2426"/>
      <c r="K34" s="2014"/>
      <c r="L34" s="838"/>
      <c r="M34" s="838"/>
      <c r="N34" s="1996"/>
    </row>
    <row r="35" spans="1:14" x14ac:dyDescent="0.2">
      <c r="A35" s="1995"/>
      <c r="B35" s="838"/>
      <c r="C35" s="2426"/>
      <c r="D35" s="2426"/>
      <c r="E35" s="2426"/>
      <c r="F35" s="2426"/>
      <c r="G35" s="2426"/>
      <c r="H35" s="2426"/>
      <c r="I35" s="2426"/>
      <c r="J35" s="2426"/>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5" t="s">
        <v>2022</v>
      </c>
      <c r="D37" s="2426"/>
      <c r="E37" s="2426"/>
      <c r="F37" s="2426"/>
      <c r="G37" s="2426"/>
      <c r="H37" s="2426"/>
      <c r="I37" s="2426"/>
      <c r="J37" s="2426"/>
      <c r="K37" s="2014"/>
      <c r="L37" s="2016"/>
      <c r="M37" s="838"/>
      <c r="N37" s="1996"/>
    </row>
    <row r="38" spans="1:14" x14ac:dyDescent="0.2">
      <c r="A38" s="1995"/>
      <c r="B38" s="838"/>
      <c r="C38" s="2426"/>
      <c r="D38" s="2426"/>
      <c r="E38" s="2426"/>
      <c r="F38" s="2426"/>
      <c r="G38" s="2426"/>
      <c r="H38" s="2426"/>
      <c r="I38" s="2426"/>
      <c r="J38" s="2426"/>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7" t="s">
        <v>2023</v>
      </c>
      <c r="D40" s="2428"/>
      <c r="E40" s="2428"/>
      <c r="F40" s="2428"/>
      <c r="G40" s="2428"/>
      <c r="H40" s="2428"/>
      <c r="I40" s="2428"/>
      <c r="J40" s="2428"/>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29" t="s">
        <v>2024</v>
      </c>
      <c r="B43" s="2430"/>
      <c r="C43" s="2430"/>
      <c r="D43" s="2430"/>
      <c r="E43" s="2430"/>
      <c r="F43" s="2430"/>
      <c r="G43" s="2430"/>
      <c r="H43" s="2430"/>
      <c r="I43" s="2430"/>
      <c r="J43" s="2430"/>
      <c r="K43" s="2430"/>
      <c r="L43" s="2430"/>
      <c r="M43" s="2430"/>
      <c r="N43" s="2431"/>
    </row>
    <row r="44" spans="1:14" x14ac:dyDescent="0.2">
      <c r="A44" s="1980"/>
      <c r="B44" s="1981"/>
      <c r="C44" s="1981"/>
      <c r="D44" s="1981"/>
      <c r="E44" s="1981"/>
      <c r="F44" s="1981"/>
      <c r="G44" s="1981"/>
      <c r="H44" s="1981"/>
      <c r="I44" s="1981"/>
      <c r="J44" s="1981"/>
      <c r="K44" s="1981"/>
      <c r="L44" s="1981"/>
      <c r="M44" s="1981"/>
      <c r="N44" s="1982"/>
    </row>
    <row r="45" spans="1:14" x14ac:dyDescent="0.2">
      <c r="A45" s="1980" t="s">
        <v>2025</v>
      </c>
      <c r="B45" s="1981"/>
      <c r="C45" s="1981"/>
      <c r="D45" s="1981"/>
      <c r="E45" s="1981"/>
      <c r="F45" s="1981"/>
      <c r="G45" s="1981"/>
      <c r="H45" s="1981"/>
      <c r="I45" s="1981"/>
      <c r="J45" s="1981"/>
      <c r="K45" s="1981"/>
      <c r="L45" s="1981"/>
      <c r="M45" s="1981"/>
      <c r="N45" s="1982"/>
    </row>
    <row r="46" spans="1:14" x14ac:dyDescent="0.2">
      <c r="A46" s="2432" t="s">
        <v>2026</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2042</v>
      </c>
      <c r="B49" s="2022"/>
      <c r="C49" s="2022"/>
      <c r="D49" s="2023"/>
      <c r="E49" s="2023"/>
      <c r="F49" s="2023"/>
      <c r="G49" s="2023"/>
      <c r="H49" s="2023"/>
      <c r="I49" s="2023"/>
      <c r="J49" s="2023"/>
      <c r="K49" s="2023"/>
      <c r="L49" s="2023"/>
      <c r="M49" s="2023"/>
      <c r="N49" s="2024"/>
    </row>
    <row r="50" spans="1:14" ht="15" x14ac:dyDescent="0.25">
      <c r="A50" s="2026" t="s">
        <v>2041</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5" t="str">
        <f>J6</f>
        <v xml:space="preserve"> Salem SD 111</v>
      </c>
      <c r="M52" s="2435"/>
      <c r="N52" s="2436"/>
    </row>
    <row r="53" spans="1:14" x14ac:dyDescent="0.2">
      <c r="A53" s="1980"/>
      <c r="B53" s="1981"/>
      <c r="C53" s="1981"/>
      <c r="D53" s="1981"/>
      <c r="E53" s="1981"/>
      <c r="F53" s="1981"/>
      <c r="G53" s="1981"/>
      <c r="H53" s="1981"/>
      <c r="I53" s="1981"/>
      <c r="J53" s="1981"/>
      <c r="K53" s="1922" t="s">
        <v>369</v>
      </c>
      <c r="L53" s="2437">
        <f>J7</f>
        <v>13058111002</v>
      </c>
      <c r="M53" s="2437"/>
      <c r="N53" s="2438"/>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39"/>
      <c r="B55" s="2440"/>
      <c r="C55" s="2440"/>
      <c r="D55" s="1968"/>
      <c r="E55" s="1968"/>
      <c r="F55" s="1968"/>
      <c r="G55" s="2441" t="s">
        <v>2027</v>
      </c>
      <c r="H55" s="2441"/>
      <c r="I55" s="2441"/>
      <c r="J55" s="2441"/>
      <c r="K55" s="2441"/>
      <c r="L55" s="2441"/>
      <c r="M55" s="2441"/>
      <c r="N55" s="2442"/>
    </row>
    <row r="56" spans="1:14" ht="63.75" x14ac:dyDescent="0.2">
      <c r="A56" s="2443" t="s">
        <v>2028</v>
      </c>
      <c r="B56" s="2444"/>
      <c r="C56" s="2445"/>
      <c r="D56" s="1962" t="s">
        <v>2029</v>
      </c>
      <c r="E56" s="1962" t="s">
        <v>2030</v>
      </c>
      <c r="F56" s="1969"/>
      <c r="G56" s="1962" t="s">
        <v>2031</v>
      </c>
      <c r="H56" s="1962" t="s">
        <v>2032</v>
      </c>
      <c r="I56" s="1962" t="s">
        <v>2033</v>
      </c>
      <c r="J56" s="1962" t="s">
        <v>2034</v>
      </c>
      <c r="K56" s="1962" t="s">
        <v>2035</v>
      </c>
      <c r="L56" s="1962" t="s">
        <v>2036</v>
      </c>
      <c r="M56" s="1962" t="s">
        <v>2037</v>
      </c>
      <c r="N56" s="1963" t="s">
        <v>2044</v>
      </c>
    </row>
    <row r="57" spans="1:14" ht="24.75" customHeight="1" x14ac:dyDescent="0.2">
      <c r="A57" s="2446" t="s">
        <v>296</v>
      </c>
      <c r="B57" s="2447"/>
      <c r="C57" s="2447"/>
      <c r="D57" s="1964">
        <v>2361</v>
      </c>
      <c r="E57" s="1974">
        <f>'Expenditures 15-22'!K319</f>
        <v>63708</v>
      </c>
      <c r="F57" s="1970"/>
      <c r="G57" s="2027"/>
      <c r="H57" s="2028"/>
      <c r="I57" s="2028"/>
      <c r="J57" s="2028"/>
      <c r="K57" s="2028"/>
      <c r="L57" s="2028"/>
      <c r="M57" s="2028">
        <v>63708</v>
      </c>
      <c r="N57" s="1973">
        <f>IF((SUM(G57:M57))=E57,SUM(G57:M57),"Column N does not agree with Column E")</f>
        <v>63708</v>
      </c>
    </row>
    <row r="58" spans="1:14" ht="24" customHeight="1" x14ac:dyDescent="0.2">
      <c r="A58" s="2423" t="s">
        <v>2038</v>
      </c>
      <c r="B58" s="2424"/>
      <c r="C58" s="2424"/>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17" t="s">
        <v>297</v>
      </c>
      <c r="B59" s="2418"/>
      <c r="C59" s="2418"/>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7" t="s">
        <v>236</v>
      </c>
      <c r="B60" s="2418"/>
      <c r="C60" s="2418"/>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17" t="s">
        <v>697</v>
      </c>
      <c r="B61" s="2418"/>
      <c r="C61" s="2418"/>
      <c r="D61" s="1965">
        <v>2365</v>
      </c>
      <c r="E61" s="1975">
        <f>'Expenditures 15-22'!K323</f>
        <v>0</v>
      </c>
      <c r="F61" s="1970"/>
      <c r="G61" s="2029"/>
      <c r="H61" s="2030"/>
      <c r="I61" s="2030"/>
      <c r="J61" s="2030"/>
      <c r="K61" s="2030"/>
      <c r="L61" s="2030"/>
      <c r="M61" s="2030"/>
      <c r="N61" s="1973">
        <f t="shared" si="4"/>
        <v>0</v>
      </c>
    </row>
    <row r="62" spans="1:14" ht="24" customHeight="1" x14ac:dyDescent="0.2">
      <c r="A62" s="2417" t="s">
        <v>237</v>
      </c>
      <c r="B62" s="2418"/>
      <c r="C62" s="2418"/>
      <c r="D62" s="1965">
        <v>2366</v>
      </c>
      <c r="E62" s="1975">
        <f>'Expenditures 15-22'!K324</f>
        <v>0</v>
      </c>
      <c r="F62" s="1970"/>
      <c r="G62" s="2029"/>
      <c r="H62" s="2030"/>
      <c r="I62" s="2030"/>
      <c r="J62" s="2030"/>
      <c r="K62" s="2030"/>
      <c r="L62" s="2030"/>
      <c r="M62" s="2030"/>
      <c r="N62" s="1973">
        <f t="shared" si="4"/>
        <v>0</v>
      </c>
    </row>
    <row r="63" spans="1:14" ht="24" customHeight="1" x14ac:dyDescent="0.2">
      <c r="A63" s="2423" t="s">
        <v>1022</v>
      </c>
      <c r="B63" s="2424"/>
      <c r="C63" s="2424"/>
      <c r="D63" s="1965">
        <v>2367</v>
      </c>
      <c r="E63" s="1975">
        <f>'Expenditures 15-22'!K325</f>
        <v>0</v>
      </c>
      <c r="F63" s="1970"/>
      <c r="G63" s="2029"/>
      <c r="H63" s="2030"/>
      <c r="I63" s="2030"/>
      <c r="J63" s="2030"/>
      <c r="K63" s="2030"/>
      <c r="L63" s="2030"/>
      <c r="M63" s="2030"/>
      <c r="N63" s="1973">
        <f t="shared" si="4"/>
        <v>0</v>
      </c>
    </row>
    <row r="64" spans="1:14" ht="24" customHeight="1" x14ac:dyDescent="0.2">
      <c r="A64" s="2417" t="s">
        <v>1023</v>
      </c>
      <c r="B64" s="2418"/>
      <c r="C64" s="2418"/>
      <c r="D64" s="1965">
        <v>2368</v>
      </c>
      <c r="E64" s="1975">
        <f>'Expenditures 15-22'!K326</f>
        <v>0</v>
      </c>
      <c r="F64" s="1970"/>
      <c r="G64" s="2029"/>
      <c r="H64" s="2030"/>
      <c r="I64" s="2030"/>
      <c r="J64" s="2030"/>
      <c r="K64" s="2030"/>
      <c r="L64" s="2030"/>
      <c r="M64" s="2030"/>
      <c r="N64" s="1973">
        <f t="shared" si="4"/>
        <v>0</v>
      </c>
    </row>
    <row r="65" spans="1:14" ht="24" customHeight="1" x14ac:dyDescent="0.2">
      <c r="A65" s="2417" t="s">
        <v>965</v>
      </c>
      <c r="B65" s="2418"/>
      <c r="C65" s="2418"/>
      <c r="D65" s="1965">
        <v>2369</v>
      </c>
      <c r="E65" s="1975">
        <f>'Expenditures 15-22'!K327</f>
        <v>0</v>
      </c>
      <c r="F65" s="1970"/>
      <c r="G65" s="2029"/>
      <c r="H65" s="2030"/>
      <c r="I65" s="2030"/>
      <c r="J65" s="2030"/>
      <c r="K65" s="2030"/>
      <c r="L65" s="2030"/>
      <c r="M65" s="2030"/>
      <c r="N65" s="1973">
        <f t="shared" si="4"/>
        <v>0</v>
      </c>
    </row>
    <row r="66" spans="1:14" ht="24" customHeight="1" x14ac:dyDescent="0.2">
      <c r="A66" s="2417" t="s">
        <v>469</v>
      </c>
      <c r="B66" s="2418"/>
      <c r="C66" s="2418"/>
      <c r="D66" s="1965">
        <v>2371</v>
      </c>
      <c r="E66" s="1975">
        <f>'Expenditures 15-22'!K328</f>
        <v>0</v>
      </c>
      <c r="F66" s="1970"/>
      <c r="G66" s="2029"/>
      <c r="H66" s="2030"/>
      <c r="I66" s="2030"/>
      <c r="J66" s="2030"/>
      <c r="K66" s="2030"/>
      <c r="L66" s="2030"/>
      <c r="M66" s="2030"/>
      <c r="N66" s="1973">
        <f t="shared" si="4"/>
        <v>0</v>
      </c>
    </row>
    <row r="67" spans="1:14" ht="24.75" customHeight="1" x14ac:dyDescent="0.2">
      <c r="A67" s="2419" t="s">
        <v>2039</v>
      </c>
      <c r="B67" s="2420"/>
      <c r="C67" s="2420"/>
      <c r="D67" s="1967">
        <v>2372</v>
      </c>
      <c r="E67" s="1976">
        <f>'Expenditures 15-22'!K329</f>
        <v>0</v>
      </c>
      <c r="F67" s="1970"/>
      <c r="G67" s="2031"/>
      <c r="H67" s="2032"/>
      <c r="I67" s="2032"/>
      <c r="J67" s="2032"/>
      <c r="K67" s="2032"/>
      <c r="L67" s="2032"/>
      <c r="M67" s="2032"/>
      <c r="N67" s="1973">
        <f t="shared" si="4"/>
        <v>0</v>
      </c>
    </row>
    <row r="68" spans="1:14" x14ac:dyDescent="0.2">
      <c r="A68" s="2421" t="s">
        <v>1151</v>
      </c>
      <c r="B68" s="2422"/>
      <c r="C68" s="2422"/>
      <c r="D68" s="1968"/>
      <c r="E68" s="1972">
        <f>SUM(E57:E67)</f>
        <v>63708</v>
      </c>
      <c r="F68" s="1971"/>
      <c r="G68" s="1972">
        <f t="shared" ref="G68:N68" si="5">SUM(G57:G67)</f>
        <v>0</v>
      </c>
      <c r="H68" s="1972">
        <f t="shared" si="5"/>
        <v>0</v>
      </c>
      <c r="I68" s="1972">
        <f t="shared" si="5"/>
        <v>0</v>
      </c>
      <c r="J68" s="1972">
        <f t="shared" si="5"/>
        <v>0</v>
      </c>
      <c r="K68" s="1972">
        <f t="shared" si="5"/>
        <v>0</v>
      </c>
      <c r="L68" s="1972">
        <f t="shared" si="5"/>
        <v>0</v>
      </c>
      <c r="M68" s="1972">
        <f t="shared" si="5"/>
        <v>63708</v>
      </c>
      <c r="N68" s="1986">
        <f t="shared" si="5"/>
        <v>63708</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2040</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2068</v>
      </c>
    </row>
    <row r="7" spans="1:2" x14ac:dyDescent="0.2">
      <c r="A7" s="847">
        <v>3</v>
      </c>
      <c r="B7" s="307" t="s">
        <v>2069</v>
      </c>
    </row>
    <row r="8" spans="1:2" x14ac:dyDescent="0.2">
      <c r="A8" s="847">
        <v>4</v>
      </c>
      <c r="B8" s="307" t="s">
        <v>2070</v>
      </c>
    </row>
    <row r="9" spans="1:2" x14ac:dyDescent="0.2">
      <c r="A9" s="848">
        <v>5</v>
      </c>
      <c r="B9" s="307" t="s">
        <v>2071</v>
      </c>
    </row>
    <row r="10" spans="1:2" x14ac:dyDescent="0.2">
      <c r="A10" s="848">
        <v>6</v>
      </c>
      <c r="B10" s="307" t="s">
        <v>2077</v>
      </c>
    </row>
    <row r="11" spans="1:2" x14ac:dyDescent="0.2">
      <c r="A11" s="848">
        <v>7</v>
      </c>
      <c r="B11" s="307" t="s">
        <v>2078</v>
      </c>
    </row>
    <row r="12" spans="1:2" x14ac:dyDescent="0.2">
      <c r="A12" s="848">
        <v>8</v>
      </c>
      <c r="B12" s="307" t="s">
        <v>2075</v>
      </c>
    </row>
    <row r="13" spans="1:2" x14ac:dyDescent="0.2">
      <c r="A13" s="848">
        <v>9</v>
      </c>
      <c r="B13" s="307" t="s">
        <v>2079</v>
      </c>
    </row>
    <row r="14" spans="1:2" x14ac:dyDescent="0.2">
      <c r="A14" s="848">
        <v>10</v>
      </c>
      <c r="B14" s="307" t="s">
        <v>2072</v>
      </c>
    </row>
    <row r="15" spans="1:2" x14ac:dyDescent="0.2">
      <c r="A15" s="848"/>
      <c r="B15" s="307" t="s">
        <v>2074</v>
      </c>
    </row>
    <row r="16" spans="1:2" x14ac:dyDescent="0.2">
      <c r="A16" s="848">
        <v>11</v>
      </c>
      <c r="B16" s="307" t="s">
        <v>2080</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4" footer="0.43"/>
  <pageSetup scale="80" firstPageNumber="51" orientation="portrait" useFirstPageNumber="1" r:id="rId1"/>
  <headerFooter alignWithMargins="0">
    <oddHeader>&amp;CSalem Elementary School District 111</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1" t="s">
        <v>1056</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1591</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2" sqref="H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5" t="s">
        <v>1665</v>
      </c>
      <c r="B18" s="246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1</xdr:row>
                <xdr:rowOff>0</xdr:rowOff>
              </from>
              <to>
                <xdr:col>4</xdr:col>
                <xdr:colOff>323850</xdr:colOff>
                <xdr:row>5</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0</xdr:colOff>
                <xdr:row>1</xdr:row>
                <xdr:rowOff>0</xdr:rowOff>
              </from>
              <to>
                <xdr:col>6</xdr:col>
                <xdr:colOff>323850</xdr:colOff>
                <xdr:row>5</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7</xdr:col>
                <xdr:colOff>0</xdr:colOff>
                <xdr:row>1</xdr:row>
                <xdr:rowOff>0</xdr:rowOff>
              </from>
              <to>
                <xdr:col>8</xdr:col>
                <xdr:colOff>323850</xdr:colOff>
                <xdr:row>5</xdr:row>
                <xdr:rowOff>142875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1969</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8291664</v>
      </c>
      <c r="C8" s="1813">
        <f>'Acct Summary 7-8'!D8</f>
        <v>421037</v>
      </c>
      <c r="D8" s="1813">
        <f>'Acct Summary 7-8'!F8</f>
        <v>582889</v>
      </c>
      <c r="E8" s="1813">
        <f>'Acct Summary 7-8'!I8</f>
        <v>52353</v>
      </c>
      <c r="F8" s="1813">
        <f>SUM(B8:E8)</f>
        <v>9347943</v>
      </c>
    </row>
    <row r="9" spans="1:8" s="858" customFormat="1" ht="14.25" customHeight="1" thickBot="1" x14ac:dyDescent="0.25">
      <c r="A9" s="857" t="s">
        <v>1353</v>
      </c>
      <c r="B9" s="1814">
        <f>'Acct Summary 7-8'!C17</f>
        <v>8036386</v>
      </c>
      <c r="C9" s="1814">
        <f>'Acct Summary 7-8'!D17</f>
        <v>409926</v>
      </c>
      <c r="D9" s="1814">
        <f>'Acct Summary 7-8'!F17</f>
        <v>424613</v>
      </c>
      <c r="E9" s="1813"/>
      <c r="F9" s="1813">
        <f>SUM(B9:E9)</f>
        <v>8870925</v>
      </c>
    </row>
    <row r="10" spans="1:8" s="858" customFormat="1" ht="14.25" thickTop="1" thickBot="1" x14ac:dyDescent="0.25">
      <c r="A10" s="859" t="s">
        <v>1354</v>
      </c>
      <c r="B10" s="1815">
        <f>(B8-B9)</f>
        <v>255278</v>
      </c>
      <c r="C10" s="1815">
        <f>(C8-C9)</f>
        <v>11111</v>
      </c>
      <c r="D10" s="1815">
        <f>(D8-D9)</f>
        <v>158276</v>
      </c>
      <c r="E10" s="1814">
        <f>(E8-E9)</f>
        <v>52353</v>
      </c>
      <c r="F10" s="1816">
        <f>SUM(F8-F9)</f>
        <v>477018</v>
      </c>
    </row>
    <row r="11" spans="1:8" s="858" customFormat="1" ht="14.25" thickTop="1" thickBot="1" x14ac:dyDescent="0.25">
      <c r="A11" s="860" t="s">
        <v>1900</v>
      </c>
      <c r="B11" s="1817">
        <f>'Acct Summary 7-8'!C81</f>
        <v>4037864</v>
      </c>
      <c r="C11" s="1817">
        <f>'Acct Summary 7-8'!D81</f>
        <v>742285</v>
      </c>
      <c r="D11" s="1817">
        <f>'Acct Summary 7-8'!F81</f>
        <v>825605</v>
      </c>
      <c r="E11" s="1817">
        <f>'Acct Summary 7-8'!I81</f>
        <v>549958</v>
      </c>
      <c r="F11" s="1818">
        <f>SUM(B11:E11)</f>
        <v>6155712</v>
      </c>
    </row>
    <row r="12" spans="1:8" ht="16.5" customHeight="1" thickTop="1" x14ac:dyDescent="0.2">
      <c r="A12" s="861"/>
      <c r="B12" s="862"/>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ERROR!</v>
      </c>
    </row>
    <row r="69" spans="1:4" x14ac:dyDescent="0.2">
      <c r="A69" s="879"/>
      <c r="B69" s="889"/>
      <c r="C69" s="881" t="s">
        <v>1879</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0" t="str">
        <f>IF('Contracts Paid in CY 29'!$D$35&gt;0,"OK","PLEASE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9" t="s">
        <v>1975</v>
      </c>
    </row>
    <row r="2" spans="1:7" ht="15.75" x14ac:dyDescent="0.25">
      <c r="A2" t="s">
        <v>260</v>
      </c>
      <c r="B2" s="135">
        <f>COVER!A13</f>
        <v>13058111002</v>
      </c>
      <c r="E2" s="1542">
        <v>2020</v>
      </c>
      <c r="F2" s="1542">
        <v>1</v>
      </c>
      <c r="G2" s="1898">
        <v>101000300</v>
      </c>
    </row>
    <row r="3" spans="1:7" ht="15" x14ac:dyDescent="0.25">
      <c r="A3" t="s">
        <v>950</v>
      </c>
      <c r="B3" s="135" t="str">
        <f>COVER!A15</f>
        <v>Marion</v>
      </c>
      <c r="E3" s="1830" t="s">
        <v>1968</v>
      </c>
      <c r="F3" s="1830" t="s">
        <v>1967</v>
      </c>
      <c r="G3" s="1898">
        <v>101000400</v>
      </c>
    </row>
    <row r="4" spans="1:7" ht="15" x14ac:dyDescent="0.25">
      <c r="A4" t="s">
        <v>1000</v>
      </c>
      <c r="B4" s="135" t="str">
        <f>COVER!A17</f>
        <v xml:space="preserve"> Salem SD 111</v>
      </c>
      <c r="E4" s="1828">
        <v>44119</v>
      </c>
      <c r="F4" s="1829">
        <v>44151</v>
      </c>
      <c r="G4" s="1898">
        <v>101000600</v>
      </c>
    </row>
    <row r="5" spans="1:7" ht="15" x14ac:dyDescent="0.25">
      <c r="A5" t="s">
        <v>699</v>
      </c>
      <c r="B5" s="135" t="str">
        <f>COVER!A38</f>
        <v>Dr. Leslie Foppe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36161</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4037864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4037864</v>
      </c>
      <c r="D92" s="2" t="str">
        <f t="shared" si="0"/>
        <v>Error?</v>
      </c>
      <c r="G92" s="1898">
        <v>102640600</v>
      </c>
    </row>
    <row r="93" spans="1:7" ht="15" x14ac:dyDescent="0.25">
      <c r="A93" s="5">
        <v>32</v>
      </c>
      <c r="B93" s="1832">
        <f>'Assets-Liab 5-6'!C41</f>
        <v>4037864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742285</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742285</v>
      </c>
      <c r="D123" s="2" t="str">
        <f t="shared" si="0"/>
        <v>Error?</v>
      </c>
      <c r="G123" s="1898">
        <v>203000400</v>
      </c>
    </row>
    <row r="124" spans="1:7" ht="15" x14ac:dyDescent="0.25">
      <c r="A124" s="5">
        <v>63</v>
      </c>
      <c r="B124" s="1832">
        <f>'Assets-Liab 5-6'!D41</f>
        <v>742285</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76990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76990</v>
      </c>
      <c r="D140" s="2" t="str">
        <f t="shared" si="1"/>
        <v>Error?</v>
      </c>
    </row>
    <row r="141" spans="1:7" x14ac:dyDescent="0.2">
      <c r="A141" s="5">
        <v>80</v>
      </c>
      <c r="B141" s="1832">
        <f>'Assets-Liab 5-6'!E41</f>
        <v>76990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825605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825605</v>
      </c>
      <c r="D170" s="2" t="str">
        <f t="shared" si="1"/>
        <v>Error?</v>
      </c>
    </row>
    <row r="171" spans="1:4" x14ac:dyDescent="0.2">
      <c r="A171" s="5">
        <v>110</v>
      </c>
      <c r="B171" s="1832">
        <f>'Assets-Liab 5-6'!F41</f>
        <v>825605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33176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21274</v>
      </c>
      <c r="D189" s="2" t="str">
        <f t="shared" si="1"/>
        <v>Error?</v>
      </c>
    </row>
    <row r="190" spans="1:4" x14ac:dyDescent="0.2">
      <c r="A190" s="5">
        <v>129</v>
      </c>
      <c r="B190" s="1832">
        <f>'Assets-Liab 5-6'!G41</f>
        <v>33176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111559</v>
      </c>
      <c r="D273" s="2" t="str">
        <f t="shared" si="3"/>
        <v>Error?</v>
      </c>
    </row>
    <row r="274" spans="1:4" x14ac:dyDescent="0.2">
      <c r="A274" s="5">
        <v>213</v>
      </c>
      <c r="B274" s="1832">
        <f>'Assets-Liab 5-6'!M17</f>
        <v>9134928</v>
      </c>
      <c r="D274" s="2" t="str">
        <f t="shared" si="3"/>
        <v>Error?</v>
      </c>
    </row>
    <row r="275" spans="1:4" x14ac:dyDescent="0.2">
      <c r="A275" s="5">
        <v>214</v>
      </c>
      <c r="B275" s="1832">
        <f>'Assets-Liab 5-6'!M18</f>
        <v>499549</v>
      </c>
      <c r="D275" s="2" t="str">
        <f t="shared" si="3"/>
        <v>Error?</v>
      </c>
    </row>
    <row r="276" spans="1:4" x14ac:dyDescent="0.2">
      <c r="A276" s="5">
        <v>215</v>
      </c>
      <c r="B276" s="1832">
        <f>'Assets-Liab 5-6'!M19</f>
        <v>1223450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10969486</v>
      </c>
      <c r="C279" s="2" t="s">
        <v>569</v>
      </c>
      <c r="D279" s="2" t="str">
        <f t="shared" si="3"/>
        <v>Error?</v>
      </c>
    </row>
    <row r="280" spans="1:4" x14ac:dyDescent="0.2">
      <c r="A280" s="5">
        <v>219</v>
      </c>
      <c r="B280" s="1832">
        <f>'Assets-Liab 5-6'!M40</f>
        <v>10969486</v>
      </c>
      <c r="D280" s="2" t="str">
        <f t="shared" si="3"/>
        <v>Error?</v>
      </c>
    </row>
    <row r="281" spans="1:4" x14ac:dyDescent="0.2">
      <c r="A281" s="5">
        <v>220</v>
      </c>
      <c r="B281" s="1832">
        <f>'Assets-Liab 5-6'!M41</f>
        <v>10969486</v>
      </c>
      <c r="C281" s="2" t="s">
        <v>569</v>
      </c>
      <c r="D281" s="2" t="str">
        <f t="shared" si="3"/>
        <v>Error?</v>
      </c>
    </row>
    <row r="282" spans="1:4" x14ac:dyDescent="0.2">
      <c r="A282" s="5">
        <v>221</v>
      </c>
      <c r="B282" s="1832">
        <f>'Assets-Liab 5-6'!N21</f>
        <v>76990</v>
      </c>
      <c r="D282" s="2" t="str">
        <f t="shared" si="3"/>
        <v>Error?</v>
      </c>
    </row>
    <row r="283" spans="1:4" x14ac:dyDescent="0.2">
      <c r="A283" s="5">
        <v>222</v>
      </c>
      <c r="B283" s="1832">
        <f>'Assets-Liab 5-6'!N22</f>
        <v>1821569</v>
      </c>
      <c r="D283" s="2" t="str">
        <f t="shared" si="3"/>
        <v>Error?</v>
      </c>
    </row>
    <row r="284" spans="1:4" x14ac:dyDescent="0.2">
      <c r="A284" s="5">
        <v>223</v>
      </c>
      <c r="B284" s="1832">
        <f>'Assets-Liab 5-6'!N23</f>
        <v>1898559</v>
      </c>
      <c r="C284" s="2" t="s">
        <v>569</v>
      </c>
      <c r="D284" s="2" t="str">
        <f t="shared" si="3"/>
        <v>Error?</v>
      </c>
    </row>
    <row r="285" spans="1:4" x14ac:dyDescent="0.2">
      <c r="A285" s="5">
        <v>224</v>
      </c>
      <c r="B285" s="1832">
        <f>'Assets-Liab 5-6'!N36</f>
        <v>1898559</v>
      </c>
      <c r="D285" s="2" t="str">
        <f t="shared" si="3"/>
        <v>Error?</v>
      </c>
    </row>
    <row r="286" spans="1:4" x14ac:dyDescent="0.2">
      <c r="A286" s="10">
        <v>225</v>
      </c>
      <c r="B286" s="1832"/>
      <c r="D286" s="2" t="str">
        <f t="shared" si="3"/>
        <v>OK</v>
      </c>
    </row>
    <row r="287" spans="1:4" x14ac:dyDescent="0.2">
      <c r="A287" s="5">
        <v>226</v>
      </c>
      <c r="B287" s="1832">
        <f>'Assets-Liab 5-6'!N37</f>
        <v>1898559</v>
      </c>
      <c r="C287" s="2" t="s">
        <v>569</v>
      </c>
      <c r="D287" s="2" t="str">
        <f t="shared" si="3"/>
        <v>Error?</v>
      </c>
    </row>
    <row r="288" spans="1:4" x14ac:dyDescent="0.2">
      <c r="A288" s="5">
        <v>227</v>
      </c>
      <c r="B288" s="1832">
        <f>'Assets-Liab 5-6'!N41</f>
        <v>1898559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3259642</v>
      </c>
      <c r="D705" s="2" t="str">
        <f t="shared" si="10"/>
        <v>Error?</v>
      </c>
    </row>
    <row r="706" spans="1:4" x14ac:dyDescent="0.2">
      <c r="A706" s="5">
        <v>645</v>
      </c>
      <c r="B706" s="1832">
        <f>'Expenditures 15-22'!C16</f>
        <v>236</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48189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4495357</v>
      </c>
      <c r="C720" s="2" t="s">
        <v>569</v>
      </c>
      <c r="D720" s="2" t="str">
        <f t="shared" si="10"/>
        <v>Error?</v>
      </c>
    </row>
    <row r="721" spans="1:4" x14ac:dyDescent="0.2">
      <c r="A721" s="5">
        <v>660</v>
      </c>
      <c r="B721" s="1832">
        <f>'Expenditures 15-22'!C36</f>
        <v>62454</v>
      </c>
      <c r="D721" s="2" t="str">
        <f t="shared" si="10"/>
        <v>Error?</v>
      </c>
    </row>
    <row r="722" spans="1:4" x14ac:dyDescent="0.2">
      <c r="A722" s="5">
        <v>661</v>
      </c>
      <c r="B722" s="1832">
        <f>'Expenditures 15-22'!C37</f>
        <v>136967</v>
      </c>
      <c r="D722" s="2" t="str">
        <f t="shared" si="10"/>
        <v>Error?</v>
      </c>
    </row>
    <row r="723" spans="1:4" x14ac:dyDescent="0.2">
      <c r="A723" s="5">
        <v>662</v>
      </c>
      <c r="B723" s="1832">
        <f>'Expenditures 15-22'!C38</f>
        <v>64100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263521</v>
      </c>
      <c r="C727" s="2" t="s">
        <v>569</v>
      </c>
      <c r="D727" s="2" t="str">
        <f t="shared" si="10"/>
        <v>Error?</v>
      </c>
    </row>
    <row r="728" spans="1:4" x14ac:dyDescent="0.2">
      <c r="A728" s="5">
        <v>667</v>
      </c>
      <c r="B728" s="1832">
        <f>'Expenditures 15-22'!C44</f>
        <v>36118</v>
      </c>
      <c r="D728" s="2" t="str">
        <f t="shared" si="10"/>
        <v>Error?</v>
      </c>
    </row>
    <row r="729" spans="1:4" x14ac:dyDescent="0.2">
      <c r="A729" s="5">
        <v>668</v>
      </c>
      <c r="B729" s="1832">
        <f>'Expenditures 15-22'!C45</f>
        <v>12870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48988</v>
      </c>
      <c r="C731" s="2" t="s">
        <v>569</v>
      </c>
      <c r="D731" s="2" t="str">
        <f t="shared" si="10"/>
        <v>Error?</v>
      </c>
    </row>
    <row r="732" spans="1:4" x14ac:dyDescent="0.2">
      <c r="A732" s="5">
        <v>671</v>
      </c>
      <c r="B732" s="1832">
        <f>'Expenditures 15-22'!C49</f>
        <v>6873</v>
      </c>
      <c r="D732" s="2" t="str">
        <f t="shared" si="10"/>
        <v>Error?</v>
      </c>
    </row>
    <row r="733" spans="1:4" x14ac:dyDescent="0.2">
      <c r="A733" s="5">
        <v>672</v>
      </c>
      <c r="B733" s="1832">
        <f>'Expenditures 15-22'!C50</f>
        <v>125040</v>
      </c>
      <c r="D733" s="2" t="str">
        <f t="shared" si="10"/>
        <v>Error?</v>
      </c>
    </row>
    <row r="734" spans="1:4" x14ac:dyDescent="0.2">
      <c r="A734" s="5">
        <v>673</v>
      </c>
      <c r="B734" s="1832">
        <f>'Expenditures 15-22'!C53</f>
        <v>131913</v>
      </c>
      <c r="C734" s="2" t="s">
        <v>569</v>
      </c>
      <c r="D734" s="2" t="str">
        <f t="shared" si="10"/>
        <v>Error?</v>
      </c>
    </row>
    <row r="735" spans="1:4" x14ac:dyDescent="0.2">
      <c r="A735" s="5">
        <v>674</v>
      </c>
      <c r="B735" s="1832">
        <f>'Expenditures 15-22'!C55</f>
        <v>373074</v>
      </c>
      <c r="D735" s="2" t="str">
        <f t="shared" si="10"/>
        <v>Error?</v>
      </c>
    </row>
    <row r="736" spans="1:4" x14ac:dyDescent="0.2">
      <c r="A736" s="5">
        <v>675</v>
      </c>
      <c r="B736" s="1832">
        <f>'Expenditures 15-22'!C56</f>
        <v>49926</v>
      </c>
      <c r="D736" s="2" t="str">
        <f t="shared" si="10"/>
        <v>Error?</v>
      </c>
    </row>
    <row r="737" spans="1:4" x14ac:dyDescent="0.2">
      <c r="A737" s="5">
        <v>676</v>
      </c>
      <c r="B737" s="1832">
        <f>'Expenditures 15-22'!C57</f>
        <v>423000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66433</v>
      </c>
      <c r="D739" s="2" t="str">
        <f t="shared" si="10"/>
        <v>Error?</v>
      </c>
    </row>
    <row r="740" spans="1:4" x14ac:dyDescent="0.2">
      <c r="A740" s="5">
        <v>679</v>
      </c>
      <c r="B740" s="1832">
        <f>'Expenditures 15-22'!C61</f>
        <v>50257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208358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325048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1192470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5687827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442933</v>
      </c>
      <c r="D763" s="2" t="str">
        <f t="shared" si="10"/>
        <v>Error?</v>
      </c>
    </row>
    <row r="764" spans="1:4" x14ac:dyDescent="0.2">
      <c r="A764" s="5">
        <v>703</v>
      </c>
      <c r="B764" s="1832">
        <f>'Expenditures 15-22'!D16</f>
        <v>4</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579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629960</v>
      </c>
      <c r="C778" s="2" t="s">
        <v>569</v>
      </c>
      <c r="D778" s="2" t="str">
        <f t="shared" si="11"/>
        <v>Error?</v>
      </c>
    </row>
    <row r="779" spans="1:4" x14ac:dyDescent="0.2">
      <c r="A779" s="5">
        <v>718</v>
      </c>
      <c r="B779" s="1832">
        <f>'Expenditures 15-22'!D36</f>
        <v>4018</v>
      </c>
      <c r="D779" s="2" t="str">
        <f t="shared" si="11"/>
        <v>Error?</v>
      </c>
    </row>
    <row r="780" spans="1:4" x14ac:dyDescent="0.2">
      <c r="A780" s="5">
        <v>719</v>
      </c>
      <c r="B780" s="1832">
        <f>'Expenditures 15-22'!D37</f>
        <v>19946</v>
      </c>
      <c r="D780" s="2" t="str">
        <f t="shared" si="11"/>
        <v>Error?</v>
      </c>
    </row>
    <row r="781" spans="1:4" x14ac:dyDescent="0.2">
      <c r="A781" s="5">
        <v>720</v>
      </c>
      <c r="B781" s="1832">
        <f>'Expenditures 15-22'!D38</f>
        <v>6012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29976</v>
      </c>
      <c r="C785" s="2" t="s">
        <v>569</v>
      </c>
      <c r="D785" s="2" t="str">
        <f t="shared" si="11"/>
        <v>Error?</v>
      </c>
    </row>
    <row r="786" spans="1:4" x14ac:dyDescent="0.2">
      <c r="A786" s="5">
        <v>725</v>
      </c>
      <c r="B786" s="1832">
        <f>'Expenditures 15-22'!D44</f>
        <v>8085</v>
      </c>
      <c r="D786" s="2" t="str">
        <f t="shared" si="11"/>
        <v>Error?</v>
      </c>
    </row>
    <row r="787" spans="1:4" x14ac:dyDescent="0.2">
      <c r="A787" s="5">
        <v>726</v>
      </c>
      <c r="B787" s="1832">
        <f>'Expenditures 15-22'!D45</f>
        <v>6404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14489</v>
      </c>
      <c r="C789" s="2" t="s">
        <v>569</v>
      </c>
      <c r="D789" s="2" t="str">
        <f t="shared" si="11"/>
        <v>Error?</v>
      </c>
    </row>
    <row r="790" spans="1:4" x14ac:dyDescent="0.2">
      <c r="A790" s="5">
        <v>729</v>
      </c>
      <c r="B790" s="1832">
        <f>'Expenditures 15-22'!D49</f>
        <v>373</v>
      </c>
      <c r="D790" s="2" t="str">
        <f t="shared" si="11"/>
        <v>Error?</v>
      </c>
    </row>
    <row r="791" spans="1:4" x14ac:dyDescent="0.2">
      <c r="A791" s="5">
        <v>730</v>
      </c>
      <c r="B791" s="1832">
        <f>'Expenditures 15-22'!D50</f>
        <v>15918</v>
      </c>
      <c r="D791" s="2" t="str">
        <f t="shared" si="11"/>
        <v>Error?</v>
      </c>
    </row>
    <row r="792" spans="1:4" x14ac:dyDescent="0.2">
      <c r="A792" s="5">
        <v>731</v>
      </c>
      <c r="B792" s="1832">
        <f>'Expenditures 15-22'!D53</f>
        <v>16291</v>
      </c>
      <c r="C792" s="2" t="s">
        <v>569</v>
      </c>
      <c r="D792" s="2" t="str">
        <f t="shared" si="11"/>
        <v>Error?</v>
      </c>
    </row>
    <row r="793" spans="1:4" x14ac:dyDescent="0.2">
      <c r="A793" s="5">
        <v>732</v>
      </c>
      <c r="B793" s="1832">
        <f>'Expenditures 15-22'!D55</f>
        <v>49253</v>
      </c>
      <c r="D793" s="2" t="str">
        <f t="shared" si="11"/>
        <v>Error?</v>
      </c>
    </row>
    <row r="794" spans="1:4" x14ac:dyDescent="0.2">
      <c r="A794" s="5">
        <v>733</v>
      </c>
      <c r="B794" s="1832">
        <f>'Expenditures 15-22'!D56</f>
        <v>11</v>
      </c>
      <c r="D794" s="2" t="str">
        <f t="shared" si="11"/>
        <v>Error?</v>
      </c>
    </row>
    <row r="795" spans="1:4" x14ac:dyDescent="0.2">
      <c r="A795" s="5">
        <v>734</v>
      </c>
      <c r="B795" s="1832">
        <f>'Expenditures 15-22'!D57</f>
        <v>49264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v>
      </c>
      <c r="D797" s="2" t="str">
        <f t="shared" si="11"/>
        <v>Error?</v>
      </c>
    </row>
    <row r="798" spans="1:4" x14ac:dyDescent="0.2">
      <c r="A798" s="5">
        <v>737</v>
      </c>
      <c r="B798" s="1832">
        <f>'Expenditures 15-22'!D61</f>
        <v>12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32368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32392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142412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772372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103835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8566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127893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4019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4019</v>
      </c>
      <c r="C847" s="2" t="s">
        <v>569</v>
      </c>
      <c r="D847" s="2" t="str">
        <f t="shared" si="12"/>
        <v>Error?</v>
      </c>
    </row>
    <row r="848" spans="1:4" x14ac:dyDescent="0.2">
      <c r="A848" s="5">
        <v>787</v>
      </c>
      <c r="B848" s="1832">
        <f>'Expenditures 15-22'!E49</f>
        <v>35491</v>
      </c>
      <c r="D848" s="2" t="str">
        <f t="shared" si="12"/>
        <v>Error?</v>
      </c>
    </row>
    <row r="849" spans="1:4" x14ac:dyDescent="0.2">
      <c r="A849" s="5">
        <v>788</v>
      </c>
      <c r="B849" s="1832">
        <f>'Expenditures 15-22'!E50</f>
        <v>3084</v>
      </c>
      <c r="D849" s="2" t="str">
        <f t="shared" si="12"/>
        <v>Error?</v>
      </c>
    </row>
    <row r="850" spans="1:4" x14ac:dyDescent="0.2">
      <c r="A850" s="5">
        <v>789</v>
      </c>
      <c r="B850" s="1832">
        <f>'Expenditures 15-22'!E53</f>
        <v>38575</v>
      </c>
      <c r="C850" s="2" t="s">
        <v>569</v>
      </c>
      <c r="D850" s="2" t="str">
        <f t="shared" si="12"/>
        <v>Error?</v>
      </c>
    </row>
    <row r="851" spans="1:4" x14ac:dyDescent="0.2">
      <c r="A851" s="5">
        <v>790</v>
      </c>
      <c r="B851" s="1832">
        <f>'Expenditures 15-22'!E55</f>
        <v>884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884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144707</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698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145405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188883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328058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162587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3951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240966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1250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1250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3961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3961</v>
      </c>
      <c r="C905" s="2" t="s">
        <v>569</v>
      </c>
      <c r="D905" s="2" t="str">
        <f t="shared" si="13"/>
        <v>Error?</v>
      </c>
    </row>
    <row r="906" spans="1:4" x14ac:dyDescent="0.2">
      <c r="A906" s="5">
        <v>845</v>
      </c>
      <c r="B906" s="1832">
        <f>'Expenditures 15-22'!F49</f>
        <v>437</v>
      </c>
      <c r="D906" s="2" t="str">
        <f t="shared" si="13"/>
        <v>Error?</v>
      </c>
    </row>
    <row r="907" spans="1:4" x14ac:dyDescent="0.2">
      <c r="A907" s="5">
        <v>846</v>
      </c>
      <c r="B907" s="1832">
        <f>'Expenditures 15-22'!F50</f>
        <v>383</v>
      </c>
      <c r="D907" s="2" t="str">
        <f t="shared" si="13"/>
        <v>Error?</v>
      </c>
    </row>
    <row r="908" spans="1:4" x14ac:dyDescent="0.2">
      <c r="A908" s="5">
        <v>847</v>
      </c>
      <c r="B908" s="1832">
        <f>'Expenditures 15-22'!F53</f>
        <v>820</v>
      </c>
      <c r="C908" s="2" t="s">
        <v>569</v>
      </c>
      <c r="D908" s="2" t="str">
        <f t="shared" si="13"/>
        <v>Error?</v>
      </c>
    </row>
    <row r="909" spans="1:4" x14ac:dyDescent="0.2">
      <c r="A909" s="5">
        <v>848</v>
      </c>
      <c r="B909" s="1832">
        <f>'Expenditures 15-22'!F55</f>
        <v>89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13904</v>
      </c>
      <c r="D913" s="2" t="str">
        <f t="shared" si="13"/>
        <v>Error?</v>
      </c>
    </row>
    <row r="914" spans="1:4" x14ac:dyDescent="0.2">
      <c r="A914" s="5">
        <v>853</v>
      </c>
      <c r="B914" s="1832">
        <f>'Expenditures 15-22'!F61</f>
        <v>17957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178572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210433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216553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457519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178130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178130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178130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3155</v>
      </c>
      <c r="D1022" s="2" t="str">
        <f t="shared" si="14"/>
        <v>Error?</v>
      </c>
    </row>
    <row r="1023" spans="1:4" x14ac:dyDescent="0.2">
      <c r="A1023" s="5">
        <v>962</v>
      </c>
      <c r="B1023" s="1832">
        <f>'Expenditures 15-22'!H50</f>
        <v>1741</v>
      </c>
      <c r="D1023" s="2" t="str">
        <f t="shared" ref="D1023:D1086" si="15">IF(ISBLANK(B1023),"OK",IF(A1023-B1023=0,"OK","Error?"))</f>
        <v>Error?</v>
      </c>
    </row>
    <row r="1024" spans="1:4" x14ac:dyDescent="0.2">
      <c r="A1024" s="5">
        <v>963</v>
      </c>
      <c r="B1024" s="1832">
        <f>'Expenditures 15-22'!H53</f>
        <v>4896</v>
      </c>
      <c r="C1024" s="2" t="s">
        <v>569</v>
      </c>
      <c r="D1024" s="2" t="str">
        <f t="shared" si="15"/>
        <v>Error?</v>
      </c>
    </row>
    <row r="1025" spans="1:4" x14ac:dyDescent="0.2">
      <c r="A1025" s="5">
        <v>964</v>
      </c>
      <c r="B1025" s="1832">
        <f>'Expenditures 15-22'!H55</f>
        <v>1923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1923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7656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7656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14475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597447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612480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4147127</v>
      </c>
      <c r="C1093" s="2" t="s">
        <v>569</v>
      </c>
      <c r="D1093" s="2" t="str">
        <f t="shared" si="16"/>
        <v>Error?</v>
      </c>
    </row>
    <row r="1094" spans="1:4" x14ac:dyDescent="0.2">
      <c r="A1094" s="5">
        <v>1033</v>
      </c>
      <c r="B1094" s="1832">
        <f>'Expenditures 15-22'!K16</f>
        <v>240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61285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5672306</v>
      </c>
      <c r="C1108" s="2" t="s">
        <v>569</v>
      </c>
      <c r="D1108" s="2" t="str">
        <f t="shared" si="16"/>
        <v>Error?</v>
      </c>
    </row>
    <row r="1109" spans="1:4" x14ac:dyDescent="0.2">
      <c r="A1109" s="5">
        <v>1048</v>
      </c>
      <c r="B1109" s="1832">
        <f>'Expenditures 15-22'!K36</f>
        <v>66472</v>
      </c>
      <c r="C1109" s="2" t="s">
        <v>569</v>
      </c>
      <c r="D1109" s="2" t="str">
        <f t="shared" si="16"/>
        <v>Error?</v>
      </c>
    </row>
    <row r="1110" spans="1:4" x14ac:dyDescent="0.2">
      <c r="A1110" s="5">
        <v>1049</v>
      </c>
      <c r="B1110" s="1832">
        <f>'Expenditures 15-22'!K37</f>
        <v>156913</v>
      </c>
      <c r="C1110" s="2" t="s">
        <v>569</v>
      </c>
      <c r="D1110" s="2" t="str">
        <f t="shared" si="16"/>
        <v>Error?</v>
      </c>
    </row>
    <row r="1111" spans="1:4" x14ac:dyDescent="0.2">
      <c r="A1111" s="5">
        <v>1050</v>
      </c>
      <c r="B1111" s="1832">
        <f>'Expenditures 15-22'!K38</f>
        <v>71362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294747</v>
      </c>
      <c r="C1115" s="2" t="s">
        <v>569</v>
      </c>
      <c r="D1115" s="2" t="str">
        <f t="shared" si="16"/>
        <v>Error?</v>
      </c>
    </row>
    <row r="1116" spans="1:4" x14ac:dyDescent="0.2">
      <c r="A1116" s="5">
        <v>1055</v>
      </c>
      <c r="B1116" s="1832">
        <f>'Expenditures 15-22'!K44</f>
        <v>48222</v>
      </c>
      <c r="C1116" s="2" t="s">
        <v>569</v>
      </c>
      <c r="D1116" s="2" t="str">
        <f t="shared" si="16"/>
        <v>Error?</v>
      </c>
    </row>
    <row r="1117" spans="1:4" x14ac:dyDescent="0.2">
      <c r="A1117" s="5">
        <v>1056</v>
      </c>
      <c r="B1117" s="1832">
        <f>'Expenditures 15-22'!K45</f>
        <v>23235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71457</v>
      </c>
      <c r="C1119" s="2" t="s">
        <v>569</v>
      </c>
      <c r="D1119" s="2" t="str">
        <f t="shared" si="16"/>
        <v>Error?</v>
      </c>
    </row>
    <row r="1120" spans="1:4" x14ac:dyDescent="0.2">
      <c r="A1120" s="5">
        <v>1059</v>
      </c>
      <c r="B1120" s="1832">
        <f>'Expenditures 15-22'!K49</f>
        <v>46329</v>
      </c>
      <c r="C1120" s="2" t="s">
        <v>569</v>
      </c>
      <c r="D1120" s="2" t="str">
        <f t="shared" si="16"/>
        <v>Error?</v>
      </c>
    </row>
    <row r="1121" spans="1:4" x14ac:dyDescent="0.2">
      <c r="A1121" s="5">
        <v>1060</v>
      </c>
      <c r="B1121" s="1832">
        <f>'Expenditures 15-22'!K50</f>
        <v>146166</v>
      </c>
      <c r="C1121" s="2" t="s">
        <v>569</v>
      </c>
      <c r="D1121" s="2" t="str">
        <f t="shared" si="16"/>
        <v>Error?</v>
      </c>
    </row>
    <row r="1122" spans="1:4" x14ac:dyDescent="0.2">
      <c r="A1122" s="5">
        <v>1061</v>
      </c>
      <c r="B1122" s="1832">
        <f>'Expenditures 15-22'!K53</f>
        <v>192495</v>
      </c>
      <c r="C1122" s="2" t="s">
        <v>569</v>
      </c>
      <c r="D1122" s="2" t="str">
        <f t="shared" si="16"/>
        <v>Error?</v>
      </c>
    </row>
    <row r="1123" spans="1:4" x14ac:dyDescent="0.2">
      <c r="A1123" s="5">
        <v>1062</v>
      </c>
      <c r="B1123" s="1832">
        <f>'Expenditures 15-22'!K55</f>
        <v>425223</v>
      </c>
      <c r="C1123" s="2" t="s">
        <v>569</v>
      </c>
      <c r="D1123" s="2" t="str">
        <f t="shared" si="16"/>
        <v>Error?</v>
      </c>
    </row>
    <row r="1124" spans="1:4" x14ac:dyDescent="0.2">
      <c r="A1124" s="5">
        <v>1063</v>
      </c>
      <c r="B1124" s="1832">
        <f>'Expenditures 15-22'!K56</f>
        <v>49937</v>
      </c>
      <c r="C1124" s="2" t="s">
        <v>569</v>
      </c>
      <c r="D1124" s="2" t="str">
        <f t="shared" si="16"/>
        <v>Error?</v>
      </c>
    </row>
    <row r="1125" spans="1:4" x14ac:dyDescent="0.2">
      <c r="A1125" s="5">
        <v>1064</v>
      </c>
      <c r="B1125" s="1832">
        <f>'Expenditures 15-22'!K57</f>
        <v>475160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80349</v>
      </c>
      <c r="C1127" s="2" t="s">
        <v>569</v>
      </c>
      <c r="D1127" s="2" t="str">
        <f t="shared" si="16"/>
        <v>Error?</v>
      </c>
    </row>
    <row r="1128" spans="1:4" x14ac:dyDescent="0.2">
      <c r="A1128" s="5">
        <v>1067</v>
      </c>
      <c r="B1128" s="1832">
        <f>'Expenditures 15-22'!K61</f>
        <v>212933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427652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720934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1754793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608729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8036386</v>
      </c>
      <c r="C1152" s="2" t="s">
        <v>569</v>
      </c>
      <c r="D1152" s="2" t="str">
        <f t="shared" si="17"/>
        <v>Error?</v>
      </c>
    </row>
    <row r="1153" spans="1:4" x14ac:dyDescent="0.2">
      <c r="A1153" s="5">
        <v>1092</v>
      </c>
      <c r="B1153" s="1832">
        <f>'Expenditures 15-22'!K115</f>
        <v>255278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148294</v>
      </c>
      <c r="D1221" s="2" t="str">
        <f t="shared" si="18"/>
        <v>Error?</v>
      </c>
    </row>
    <row r="1222" spans="1:4" x14ac:dyDescent="0.2">
      <c r="A1222" s="10">
        <v>1161</v>
      </c>
      <c r="B1222" s="1832"/>
      <c r="D1222" s="2" t="str">
        <f t="shared" si="18"/>
        <v>OK</v>
      </c>
    </row>
    <row r="1223" spans="1:4" x14ac:dyDescent="0.2">
      <c r="A1223" s="5">
        <v>1162</v>
      </c>
      <c r="B1223" s="1832">
        <f>'Expenditures 15-22'!C127</f>
        <v>148294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148294</v>
      </c>
      <c r="C1225" s="2" t="s">
        <v>569</v>
      </c>
      <c r="D1225" s="2" t="str">
        <f t="shared" si="18"/>
        <v>Error?</v>
      </c>
    </row>
    <row r="1226" spans="1:4" x14ac:dyDescent="0.2">
      <c r="A1226" s="5">
        <v>1165</v>
      </c>
      <c r="B1226" s="1832">
        <f>'Expenditures 15-22'!C151</f>
        <v>148294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21661</v>
      </c>
      <c r="D1229" s="2" t="str">
        <f t="shared" si="18"/>
        <v>Error?</v>
      </c>
    </row>
    <row r="1230" spans="1:4" x14ac:dyDescent="0.2">
      <c r="A1230" s="10">
        <v>1169</v>
      </c>
      <c r="B1230" s="1832"/>
      <c r="D1230" s="2" t="str">
        <f t="shared" si="18"/>
        <v>OK</v>
      </c>
    </row>
    <row r="1231" spans="1:4" x14ac:dyDescent="0.2">
      <c r="A1231" s="5">
        <v>1170</v>
      </c>
      <c r="B1231" s="1832">
        <f>'Expenditures 15-22'!D127</f>
        <v>21661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21661</v>
      </c>
      <c r="C1233" s="2" t="s">
        <v>569</v>
      </c>
      <c r="D1233" s="2" t="str">
        <f t="shared" si="18"/>
        <v>Error?</v>
      </c>
    </row>
    <row r="1234" spans="1:4" x14ac:dyDescent="0.2">
      <c r="A1234" s="5">
        <v>1173</v>
      </c>
      <c r="B1234" s="1832">
        <f>'Expenditures 15-22'!D151</f>
        <v>21661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139236</v>
      </c>
      <c r="D1237" s="2" t="str">
        <f t="shared" si="18"/>
        <v>Error?</v>
      </c>
    </row>
    <row r="1238" spans="1:4" x14ac:dyDescent="0.2">
      <c r="A1238" s="10">
        <v>1177</v>
      </c>
      <c r="B1238" s="1832"/>
      <c r="D1238" s="2" t="str">
        <f t="shared" si="18"/>
        <v>OK</v>
      </c>
    </row>
    <row r="1239" spans="1:4" x14ac:dyDescent="0.2">
      <c r="A1239" s="5">
        <v>1178</v>
      </c>
      <c r="B1239" s="1832">
        <f>'Expenditures 15-22'!E127</f>
        <v>139236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139236</v>
      </c>
      <c r="C1241" s="2" t="s">
        <v>569</v>
      </c>
      <c r="D1241" s="2" t="str">
        <f t="shared" si="18"/>
        <v>Error?</v>
      </c>
    </row>
    <row r="1242" spans="1:4" x14ac:dyDescent="0.2">
      <c r="A1242" s="5">
        <v>1181</v>
      </c>
      <c r="B1242" s="1832">
        <f>'Expenditures 15-22'!E151</f>
        <v>139236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94555</v>
      </c>
      <c r="D1245" s="2" t="str">
        <f t="shared" si="18"/>
        <v>Error?</v>
      </c>
    </row>
    <row r="1246" spans="1:4" x14ac:dyDescent="0.2">
      <c r="A1246" s="10">
        <v>1185</v>
      </c>
      <c r="B1246" s="1832"/>
      <c r="D1246" s="2" t="str">
        <f t="shared" si="18"/>
        <v>OK</v>
      </c>
    </row>
    <row r="1247" spans="1:4" x14ac:dyDescent="0.2">
      <c r="A1247" s="5">
        <v>1186</v>
      </c>
      <c r="B1247" s="1832">
        <f>'Expenditures 15-22'!F127</f>
        <v>94555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94555</v>
      </c>
      <c r="C1249" s="2" t="s">
        <v>569</v>
      </c>
      <c r="D1249" s="2" t="str">
        <f t="shared" si="18"/>
        <v>Error?</v>
      </c>
    </row>
    <row r="1250" spans="1:4" x14ac:dyDescent="0.2">
      <c r="A1250" s="5">
        <v>1189</v>
      </c>
      <c r="B1250" s="1832">
        <f>'Expenditures 15-22'!F151</f>
        <v>94555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6180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6180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6180</v>
      </c>
      <c r="C1258" s="2" t="s">
        <v>569</v>
      </c>
      <c r="D1258" s="2" t="str">
        <f t="shared" si="18"/>
        <v>Error?</v>
      </c>
    </row>
    <row r="1259" spans="1:4" x14ac:dyDescent="0.2">
      <c r="A1259" s="5">
        <v>1198</v>
      </c>
      <c r="B1259" s="1832">
        <f>'Expenditures 15-22'!G151</f>
        <v>6180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409926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409926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409926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409926</v>
      </c>
      <c r="C1288" s="2" t="s">
        <v>569</v>
      </c>
      <c r="D1288" s="2" t="str">
        <f t="shared" si="19"/>
        <v>Error?</v>
      </c>
    </row>
    <row r="1289" spans="1:4" x14ac:dyDescent="0.2">
      <c r="A1289" s="5">
        <v>1228</v>
      </c>
      <c r="B1289" s="1832">
        <f>'Expenditures 15-22'!K152</f>
        <v>11111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73750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129021</v>
      </c>
      <c r="D1315" s="2" t="str">
        <f t="shared" si="19"/>
        <v>Error?</v>
      </c>
    </row>
    <row r="1316" spans="1:4" x14ac:dyDescent="0.2">
      <c r="A1316" s="5">
        <v>1255</v>
      </c>
      <c r="B1316" s="1832">
        <f>'Expenditures 15-22'!H171</f>
        <v>125</v>
      </c>
      <c r="D1316" s="2" t="str">
        <f t="shared" si="19"/>
        <v>Error?</v>
      </c>
    </row>
    <row r="1317" spans="1:4" x14ac:dyDescent="0.2">
      <c r="A1317" s="5">
        <v>1256</v>
      </c>
      <c r="B1317" s="1832">
        <f>'Expenditures 15-22'!H172</f>
        <v>202896</v>
      </c>
      <c r="C1317" s="2" t="s">
        <v>569</v>
      </c>
      <c r="D1317" s="2" t="str">
        <f t="shared" si="19"/>
        <v>Error?</v>
      </c>
    </row>
    <row r="1318" spans="1:4" x14ac:dyDescent="0.2">
      <c r="A1318" s="5">
        <v>1257</v>
      </c>
      <c r="B1318" s="1832">
        <f>'Expenditures 15-22'!H174</f>
        <v>202896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73750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129021</v>
      </c>
      <c r="C1329" s="2" t="s">
        <v>569</v>
      </c>
      <c r="D1329" s="2" t="str">
        <f t="shared" si="19"/>
        <v>Error?</v>
      </c>
    </row>
    <row r="1330" spans="1:4" x14ac:dyDescent="0.2">
      <c r="A1330" s="5">
        <v>1269</v>
      </c>
      <c r="B1330" s="1832">
        <f>'Expenditures 15-22'!K171</f>
        <v>125</v>
      </c>
      <c r="C1330" s="2" t="s">
        <v>569</v>
      </c>
      <c r="D1330" s="2" t="str">
        <f t="shared" si="19"/>
        <v>Error?</v>
      </c>
    </row>
    <row r="1331" spans="1:4" x14ac:dyDescent="0.2">
      <c r="A1331" s="5">
        <v>1270</v>
      </c>
      <c r="B1331" s="1832">
        <f>'Expenditures 15-22'!K172</f>
        <v>202896</v>
      </c>
      <c r="C1331" s="2" t="s">
        <v>569</v>
      </c>
      <c r="D1331" s="2" t="str">
        <f t="shared" si="19"/>
        <v>Error?</v>
      </c>
    </row>
    <row r="1332" spans="1:4" x14ac:dyDescent="0.2">
      <c r="A1332" s="5">
        <v>1271</v>
      </c>
      <c r="B1332" s="1832">
        <f>'Expenditures 15-22'!K174</f>
        <v>202896</v>
      </c>
      <c r="C1332" s="2" t="s">
        <v>569</v>
      </c>
      <c r="D1332" s="2" t="str">
        <f t="shared" si="19"/>
        <v>Error?</v>
      </c>
    </row>
    <row r="1333" spans="1:4" x14ac:dyDescent="0.2">
      <c r="A1333" s="5">
        <v>1272</v>
      </c>
      <c r="B1333" s="1832">
        <f>'Expenditures 15-22'!K175</f>
        <v>-25957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7383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7383</v>
      </c>
      <c r="C1339" s="2" t="s">
        <v>569</v>
      </c>
      <c r="D1339" s="2" t="str">
        <f t="shared" si="19"/>
        <v>Error?</v>
      </c>
    </row>
    <row r="1340" spans="1:4" x14ac:dyDescent="0.2">
      <c r="A1340" s="5">
        <v>1279</v>
      </c>
      <c r="B1340" s="1832">
        <f>'Expenditures 15-22'!C210</f>
        <v>7383</v>
      </c>
      <c r="C1340" s="2" t="s">
        <v>569</v>
      </c>
      <c r="D1340" s="2" t="str">
        <f t="shared" si="19"/>
        <v>Error?</v>
      </c>
    </row>
    <row r="1341" spans="1:4" x14ac:dyDescent="0.2">
      <c r="A1341" s="5">
        <v>1280</v>
      </c>
      <c r="B1341" s="1832">
        <f>'Expenditures 15-22'!D182</f>
        <v>497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497</v>
      </c>
      <c r="C1345" s="2" t="s">
        <v>569</v>
      </c>
      <c r="D1345" s="2" t="str">
        <f t="shared" si="20"/>
        <v>Error?</v>
      </c>
    </row>
    <row r="1346" spans="1:4" x14ac:dyDescent="0.2">
      <c r="A1346" s="5">
        <v>1285</v>
      </c>
      <c r="B1346" s="1832">
        <f>'Expenditures 15-22'!D210</f>
        <v>497</v>
      </c>
      <c r="C1346" s="2" t="s">
        <v>569</v>
      </c>
      <c r="D1346" s="2" t="str">
        <f t="shared" si="20"/>
        <v>Error?</v>
      </c>
    </row>
    <row r="1347" spans="1:4" x14ac:dyDescent="0.2">
      <c r="A1347" s="5">
        <v>1286</v>
      </c>
      <c r="B1347" s="1832">
        <f>'Expenditures 15-22'!E182</f>
        <v>414895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414895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414895</v>
      </c>
      <c r="C1353" s="2" t="s">
        <v>569</v>
      </c>
      <c r="D1353" s="2" t="str">
        <f t="shared" si="20"/>
        <v>Error?</v>
      </c>
    </row>
    <row r="1354" spans="1:4" x14ac:dyDescent="0.2">
      <c r="A1354" s="5">
        <v>1293</v>
      </c>
      <c r="B1354" s="1832">
        <f>'Expenditures 15-22'!F182</f>
        <v>1411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1411</v>
      </c>
      <c r="C1358" s="2" t="s">
        <v>569</v>
      </c>
      <c r="D1358" s="2" t="str">
        <f t="shared" si="20"/>
        <v>Error?</v>
      </c>
    </row>
    <row r="1359" spans="1:4" x14ac:dyDescent="0.2">
      <c r="A1359" s="5">
        <v>1298</v>
      </c>
      <c r="B1359" s="1832">
        <f>'Expenditures 15-22'!F210</f>
        <v>1411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427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427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427</v>
      </c>
      <c r="C1376" s="2" t="s">
        <v>569</v>
      </c>
      <c r="D1376" s="2" t="str">
        <f t="shared" si="20"/>
        <v>Error?</v>
      </c>
    </row>
    <row r="1377" spans="1:4" x14ac:dyDescent="0.2">
      <c r="A1377" s="5">
        <v>1316</v>
      </c>
      <c r="B1377" s="1832">
        <f>'Expenditures 15-22'!K182</f>
        <v>424613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424613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424613</v>
      </c>
      <c r="C1388" s="2" t="s">
        <v>569</v>
      </c>
      <c r="D1388" s="2" t="str">
        <f t="shared" si="20"/>
        <v>Error?</v>
      </c>
    </row>
    <row r="1389" spans="1:4" x14ac:dyDescent="0.2">
      <c r="A1389" s="5">
        <v>1328</v>
      </c>
      <c r="B1389" s="1832">
        <f>'Expenditures 15-22'!K211</f>
        <v>158276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3</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1540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163113</v>
      </c>
      <c r="C1410" s="2" t="s">
        <v>569</v>
      </c>
      <c r="D1410" s="2" t="str">
        <f t="shared" si="21"/>
        <v>Error?</v>
      </c>
    </row>
    <row r="1411" spans="1:4" x14ac:dyDescent="0.2">
      <c r="A1411" s="5">
        <v>1350</v>
      </c>
      <c r="B1411" s="1832">
        <f>'Expenditures 15-22'!D232</f>
        <v>906</v>
      </c>
      <c r="D1411" s="2" t="str">
        <f t="shared" si="21"/>
        <v>Error?</v>
      </c>
    </row>
    <row r="1412" spans="1:4" x14ac:dyDescent="0.2">
      <c r="A1412" s="5">
        <v>1351</v>
      </c>
      <c r="B1412" s="1832">
        <f>'Expenditures 15-22'!D233</f>
        <v>1682</v>
      </c>
      <c r="D1412" s="2" t="str">
        <f t="shared" si="21"/>
        <v>Error?</v>
      </c>
    </row>
    <row r="1413" spans="1:4" x14ac:dyDescent="0.2">
      <c r="A1413" s="5">
        <v>1352</v>
      </c>
      <c r="B1413" s="1832">
        <f>'Expenditures 15-22'!D234</f>
        <v>12077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14665</v>
      </c>
      <c r="C1417" s="2" t="s">
        <v>569</v>
      </c>
      <c r="D1417" s="2" t="str">
        <f t="shared" si="21"/>
        <v>Error?</v>
      </c>
    </row>
    <row r="1418" spans="1:4" x14ac:dyDescent="0.2">
      <c r="A1418" s="5">
        <v>1357</v>
      </c>
      <c r="B1418" s="1832">
        <f>'Expenditures 15-22'!D240</f>
        <v>521</v>
      </c>
      <c r="D1418" s="2" t="str">
        <f t="shared" si="21"/>
        <v>Error?</v>
      </c>
    </row>
    <row r="1419" spans="1:4" x14ac:dyDescent="0.2">
      <c r="A1419" s="5">
        <v>1358</v>
      </c>
      <c r="B1419" s="1832">
        <f>'Expenditures 15-22'!D241</f>
        <v>1807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2328</v>
      </c>
      <c r="C1421" s="2" t="s">
        <v>569</v>
      </c>
      <c r="D1421" s="2" t="str">
        <f t="shared" si="21"/>
        <v>Error?</v>
      </c>
    </row>
    <row r="1422" spans="1:4" x14ac:dyDescent="0.2">
      <c r="A1422" s="5">
        <v>1361</v>
      </c>
      <c r="B1422" s="1832">
        <f>'Expenditures 15-22'!D245</f>
        <v>582</v>
      </c>
      <c r="D1422" s="2" t="str">
        <f t="shared" si="21"/>
        <v>Error?</v>
      </c>
    </row>
    <row r="1423" spans="1:4" x14ac:dyDescent="0.2">
      <c r="A1423" s="5">
        <v>1362</v>
      </c>
      <c r="B1423" s="1832">
        <f>'Expenditures 15-22'!D246</f>
        <v>1753</v>
      </c>
      <c r="D1423" s="2" t="str">
        <f t="shared" si="21"/>
        <v>Error?</v>
      </c>
    </row>
    <row r="1424" spans="1:4" x14ac:dyDescent="0.2">
      <c r="A1424" s="5">
        <v>1363</v>
      </c>
      <c r="B1424" s="1832">
        <f>'Expenditures 15-22'!D257</f>
        <v>2335</v>
      </c>
      <c r="C1424" s="2" t="s">
        <v>569</v>
      </c>
      <c r="D1424" s="2" t="str">
        <f t="shared" si="21"/>
        <v>Error?</v>
      </c>
    </row>
    <row r="1425" spans="1:4" x14ac:dyDescent="0.2">
      <c r="A1425" s="5">
        <v>1364</v>
      </c>
      <c r="B1425" s="1832">
        <f>'Expenditures 15-22'!D259</f>
        <v>19809</v>
      </c>
      <c r="D1425" s="2" t="str">
        <f t="shared" si="21"/>
        <v>Error?</v>
      </c>
    </row>
    <row r="1426" spans="1:4" x14ac:dyDescent="0.2">
      <c r="A1426" s="5">
        <v>1365</v>
      </c>
      <c r="B1426" s="1832">
        <f>'Expenditures 15-22'!D260</f>
        <v>10190</v>
      </c>
      <c r="D1426" s="2" t="str">
        <f t="shared" si="21"/>
        <v>Error?</v>
      </c>
    </row>
    <row r="1427" spans="1:4" x14ac:dyDescent="0.2">
      <c r="A1427" s="5">
        <v>1366</v>
      </c>
      <c r="B1427" s="1832">
        <f>'Expenditures 15-22'!D261</f>
        <v>29999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13579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39101</v>
      </c>
      <c r="D1431" s="2" t="str">
        <f t="shared" si="21"/>
        <v>Error?</v>
      </c>
    </row>
    <row r="1432" spans="1:4" x14ac:dyDescent="0.2">
      <c r="A1432" s="5">
        <v>1371</v>
      </c>
      <c r="B1432" s="1832">
        <f>'Expenditures 15-22'!D267</f>
        <v>107</v>
      </c>
      <c r="D1432" s="2" t="str">
        <f t="shared" si="21"/>
        <v>Error?</v>
      </c>
    </row>
    <row r="1433" spans="1:4" x14ac:dyDescent="0.2">
      <c r="A1433" s="5">
        <v>1372</v>
      </c>
      <c r="B1433" s="1832">
        <f>'Expenditures 15-22'!D268</f>
        <v>32236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85023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134350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297463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3</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1540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163113</v>
      </c>
      <c r="C1474" s="2" t="s">
        <v>569</v>
      </c>
      <c r="D1474" s="2" t="str">
        <f t="shared" si="22"/>
        <v>Error?</v>
      </c>
    </row>
    <row r="1475" spans="1:4" x14ac:dyDescent="0.2">
      <c r="A1475" s="5">
        <v>1414</v>
      </c>
      <c r="B1475" s="1832">
        <f>'Expenditures 15-22'!K232</f>
        <v>906</v>
      </c>
      <c r="C1475" s="2" t="s">
        <v>569</v>
      </c>
      <c r="D1475" s="2" t="str">
        <f t="shared" si="22"/>
        <v>Error?</v>
      </c>
    </row>
    <row r="1476" spans="1:4" x14ac:dyDescent="0.2">
      <c r="A1476" s="5">
        <v>1415</v>
      </c>
      <c r="B1476" s="1832">
        <f>'Expenditures 15-22'!K233</f>
        <v>1682</v>
      </c>
      <c r="C1476" s="2" t="s">
        <v>569</v>
      </c>
      <c r="D1476" s="2" t="str">
        <f t="shared" si="22"/>
        <v>Error?</v>
      </c>
    </row>
    <row r="1477" spans="1:4" x14ac:dyDescent="0.2">
      <c r="A1477" s="5">
        <v>1416</v>
      </c>
      <c r="B1477" s="1832">
        <f>'Expenditures 15-22'!K234</f>
        <v>12077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14665</v>
      </c>
      <c r="C1481" s="2" t="s">
        <v>569</v>
      </c>
      <c r="D1481" s="2" t="str">
        <f t="shared" si="22"/>
        <v>Error?</v>
      </c>
    </row>
    <row r="1482" spans="1:4" x14ac:dyDescent="0.2">
      <c r="A1482" s="5">
        <v>1421</v>
      </c>
      <c r="B1482" s="1832">
        <f>'Expenditures 15-22'!K240</f>
        <v>521</v>
      </c>
      <c r="C1482" s="2" t="s">
        <v>569</v>
      </c>
      <c r="D1482" s="2" t="str">
        <f t="shared" si="22"/>
        <v>Error?</v>
      </c>
    </row>
    <row r="1483" spans="1:4" x14ac:dyDescent="0.2">
      <c r="A1483" s="5">
        <v>1422</v>
      </c>
      <c r="B1483" s="1832">
        <f>'Expenditures 15-22'!K241</f>
        <v>1807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2328</v>
      </c>
      <c r="C1485" s="2" t="s">
        <v>569</v>
      </c>
      <c r="D1485" s="2" t="str">
        <f t="shared" si="22"/>
        <v>Error?</v>
      </c>
    </row>
    <row r="1486" spans="1:4" x14ac:dyDescent="0.2">
      <c r="A1486" s="5">
        <v>1425</v>
      </c>
      <c r="B1486" s="1832">
        <f>'Expenditures 15-22'!K245</f>
        <v>582</v>
      </c>
      <c r="C1486" s="2" t="s">
        <v>569</v>
      </c>
      <c r="D1486" s="2" t="str">
        <f t="shared" si="22"/>
        <v>Error?</v>
      </c>
    </row>
    <row r="1487" spans="1:4" x14ac:dyDescent="0.2">
      <c r="A1487" s="5">
        <v>1426</v>
      </c>
      <c r="B1487" s="1832">
        <f>'Expenditures 15-22'!K246</f>
        <v>1753</v>
      </c>
      <c r="C1487" s="2" t="s">
        <v>569</v>
      </c>
      <c r="D1487" s="2" t="str">
        <f t="shared" si="22"/>
        <v>Error?</v>
      </c>
    </row>
    <row r="1488" spans="1:4" x14ac:dyDescent="0.2">
      <c r="A1488" s="5">
        <v>1427</v>
      </c>
      <c r="B1488" s="1832">
        <f>'Expenditures 15-22'!K257</f>
        <v>2335</v>
      </c>
      <c r="C1488" s="2" t="s">
        <v>569</v>
      </c>
      <c r="D1488" s="2" t="str">
        <f t="shared" si="22"/>
        <v>Error?</v>
      </c>
    </row>
    <row r="1489" spans="1:4" x14ac:dyDescent="0.2">
      <c r="A1489" s="5">
        <v>1428</v>
      </c>
      <c r="B1489" s="1832">
        <f>'Expenditures 15-22'!K259</f>
        <v>19809</v>
      </c>
      <c r="C1489" s="2" t="s">
        <v>569</v>
      </c>
      <c r="D1489" s="2" t="str">
        <f t="shared" si="22"/>
        <v>Error?</v>
      </c>
    </row>
    <row r="1490" spans="1:4" x14ac:dyDescent="0.2">
      <c r="A1490" s="5">
        <v>1429</v>
      </c>
      <c r="B1490" s="1832">
        <f>'Expenditures 15-22'!K260</f>
        <v>10190</v>
      </c>
      <c r="C1490" s="2" t="s">
        <v>569</v>
      </c>
      <c r="D1490" s="2" t="str">
        <f t="shared" si="22"/>
        <v>Error?</v>
      </c>
    </row>
    <row r="1491" spans="1:4" x14ac:dyDescent="0.2">
      <c r="A1491" s="5">
        <v>1430</v>
      </c>
      <c r="B1491" s="1832">
        <f>'Expenditures 15-22'!K261</f>
        <v>29999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13579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39101</v>
      </c>
      <c r="C1495" s="2" t="s">
        <v>569</v>
      </c>
      <c r="D1495" s="2" t="str">
        <f t="shared" si="22"/>
        <v>Error?</v>
      </c>
    </row>
    <row r="1496" spans="1:4" x14ac:dyDescent="0.2">
      <c r="A1496" s="5">
        <v>1435</v>
      </c>
      <c r="B1496" s="1832">
        <f>'Expenditures 15-22'!K267</f>
        <v>107</v>
      </c>
      <c r="C1496" s="2" t="s">
        <v>569</v>
      </c>
      <c r="D1496" s="2" t="str">
        <f t="shared" si="22"/>
        <v>Error?</v>
      </c>
    </row>
    <row r="1497" spans="1:4" x14ac:dyDescent="0.2">
      <c r="A1497" s="5">
        <v>1436</v>
      </c>
      <c r="B1497" s="1832">
        <f>'Expenditures 15-22'!K268</f>
        <v>32236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85023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134350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297463</v>
      </c>
      <c r="C1517" s="2" t="s">
        <v>569</v>
      </c>
      <c r="D1517" s="2" t="str">
        <f t="shared" si="22"/>
        <v>Error?</v>
      </c>
    </row>
    <row r="1518" spans="1:4" x14ac:dyDescent="0.2">
      <c r="A1518" s="5">
        <v>1457</v>
      </c>
      <c r="B1518" s="1832">
        <f>'Expenditures 15-22'!K296</f>
        <v>-1539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3639027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4037864</v>
      </c>
      <c r="C1630" s="2" t="s">
        <v>569</v>
      </c>
      <c r="D1630" s="2" t="str">
        <f t="shared" si="24"/>
        <v>Error?</v>
      </c>
    </row>
    <row r="1631" spans="1:4" x14ac:dyDescent="0.2">
      <c r="A1631" s="5">
        <v>1570</v>
      </c>
      <c r="B1631" s="1832">
        <f>'Acct Summary 7-8'!D79</f>
        <v>646174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742285</v>
      </c>
      <c r="C1644" s="2" t="s">
        <v>569</v>
      </c>
      <c r="D1644" s="2" t="str">
        <f t="shared" si="24"/>
        <v>Error?</v>
      </c>
    </row>
    <row r="1645" spans="1:4" x14ac:dyDescent="0.2">
      <c r="A1645" s="5">
        <v>1584</v>
      </c>
      <c r="B1645" s="1832">
        <f>'Acct Summary 7-8'!E79</f>
        <v>73926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76990</v>
      </c>
      <c r="C1658" s="2" t="s">
        <v>569</v>
      </c>
      <c r="D1658" s="2" t="str">
        <f t="shared" si="24"/>
        <v>Error?</v>
      </c>
    </row>
    <row r="1659" spans="1:4" x14ac:dyDescent="0.2">
      <c r="A1659" s="5">
        <v>1598</v>
      </c>
      <c r="B1659" s="1832">
        <f>'Acct Summary 7-8'!F79</f>
        <v>667329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825605</v>
      </c>
      <c r="C1672" s="2" t="s">
        <v>569</v>
      </c>
      <c r="D1672" s="2" t="str">
        <f t="shared" si="25"/>
        <v>Error?</v>
      </c>
    </row>
    <row r="1673" spans="1:4" x14ac:dyDescent="0.2">
      <c r="A1673" s="5">
        <v>1612</v>
      </c>
      <c r="B1673" s="1832">
        <f>'Acct Summary 7-8'!G79</f>
        <v>34715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33176</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1348527</v>
      </c>
      <c r="C1744" s="2" t="s">
        <v>569</v>
      </c>
      <c r="D1744" s="2" t="str">
        <f t="shared" si="26"/>
        <v>Error?</v>
      </c>
    </row>
    <row r="1745" spans="1:5" x14ac:dyDescent="0.2">
      <c r="A1745" s="5">
        <v>1684</v>
      </c>
      <c r="B1745" s="1832">
        <f>'Tax Sched 23'!B5</f>
        <v>278517</v>
      </c>
      <c r="C1745" s="2" t="s">
        <v>569</v>
      </c>
      <c r="D1745" s="2" t="str">
        <f t="shared" si="26"/>
        <v>Error?</v>
      </c>
    </row>
    <row r="1746" spans="1:5" x14ac:dyDescent="0.2">
      <c r="A1746" s="5">
        <v>1685</v>
      </c>
      <c r="B1746" s="1832">
        <f>'Tax Sched 23'!B6</f>
        <v>175347</v>
      </c>
      <c r="C1746" s="2" t="s">
        <v>569</v>
      </c>
      <c r="D1746" s="2" t="str">
        <f t="shared" si="26"/>
        <v>Error?</v>
      </c>
    </row>
    <row r="1747" spans="1:5" x14ac:dyDescent="0.2">
      <c r="A1747" s="5">
        <v>1686</v>
      </c>
      <c r="B1747" s="1832">
        <f>'Tax Sched 23'!B7</f>
        <v>219882</v>
      </c>
      <c r="C1747" s="2" t="s">
        <v>569</v>
      </c>
      <c r="D1747" s="2" t="str">
        <f t="shared" si="26"/>
        <v>Error?</v>
      </c>
    </row>
    <row r="1748" spans="1:5" x14ac:dyDescent="0.2">
      <c r="A1748" s="5">
        <v>1687</v>
      </c>
      <c r="B1748" s="1832">
        <f>'Tax Sched 23'!B8</f>
        <v>122164</v>
      </c>
      <c r="C1748" s="2" t="s">
        <v>569</v>
      </c>
      <c r="D1748" s="2" t="str">
        <f t="shared" si="26"/>
        <v>Error?</v>
      </c>
    </row>
    <row r="1749" spans="1:5" x14ac:dyDescent="0.2">
      <c r="A1749" s="5">
        <v>1688</v>
      </c>
      <c r="B1749" s="1832">
        <f>'Tax Sched 23'!B10</f>
        <v>43981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64511</v>
      </c>
      <c r="C1752" s="2" t="s">
        <v>569</v>
      </c>
      <c r="D1752" s="2" t="str">
        <f t="shared" si="26"/>
        <v>Error?</v>
      </c>
    </row>
    <row r="1753" spans="1:5" x14ac:dyDescent="0.2">
      <c r="A1753" s="5">
        <v>1692</v>
      </c>
      <c r="B1753" s="1832">
        <f>'Tax Sched 23'!B12</f>
        <v>34209</v>
      </c>
      <c r="C1753" s="2" t="s">
        <v>569</v>
      </c>
      <c r="D1753" s="2" t="str">
        <f t="shared" si="26"/>
        <v>Error?</v>
      </c>
    </row>
    <row r="1754" spans="1:5" x14ac:dyDescent="0.2">
      <c r="A1754" s="5">
        <v>1693</v>
      </c>
      <c r="B1754" s="1832">
        <f>'Tax Sched 23'!B14</f>
        <v>34701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2461593</v>
      </c>
      <c r="C1759" s="2" t="s">
        <v>569</v>
      </c>
      <c r="D1759" s="2" t="str">
        <f t="shared" si="26"/>
        <v>Error?</v>
      </c>
    </row>
    <row r="1760" spans="1:5" x14ac:dyDescent="0.2">
      <c r="A1760" s="5">
        <v>1699</v>
      </c>
      <c r="B1760" s="1832">
        <f>'Tax Sched 23'!D4</f>
        <v>1348527</v>
      </c>
      <c r="C1760" s="2" t="s">
        <v>569</v>
      </c>
      <c r="D1760" s="2" t="str">
        <f t="shared" si="26"/>
        <v>Error?</v>
      </c>
    </row>
    <row r="1761" spans="1:7" x14ac:dyDescent="0.2">
      <c r="A1761" s="5">
        <v>1700</v>
      </c>
      <c r="B1761" s="1832">
        <f>'Tax Sched 23'!D5</f>
        <v>278517</v>
      </c>
      <c r="C1761" s="2" t="s">
        <v>569</v>
      </c>
      <c r="D1761" s="2" t="str">
        <f t="shared" si="26"/>
        <v>Error?</v>
      </c>
    </row>
    <row r="1762" spans="1:7" s="8" customFormat="1" x14ac:dyDescent="0.2">
      <c r="A1762" s="5">
        <v>1701</v>
      </c>
      <c r="B1762" s="1832">
        <f>'Tax Sched 23'!D6</f>
        <v>175347</v>
      </c>
      <c r="C1762" s="2" t="s">
        <v>569</v>
      </c>
      <c r="D1762" s="2" t="str">
        <f t="shared" si="26"/>
        <v>Error?</v>
      </c>
      <c r="E1762" s="9"/>
      <c r="G1762"/>
    </row>
    <row r="1763" spans="1:7" x14ac:dyDescent="0.2">
      <c r="A1763" s="5">
        <v>1702</v>
      </c>
      <c r="B1763" s="1832">
        <f>'Tax Sched 23'!D7</f>
        <v>219882</v>
      </c>
      <c r="C1763" s="2" t="s">
        <v>569</v>
      </c>
      <c r="D1763" s="2" t="str">
        <f t="shared" si="26"/>
        <v>Error?</v>
      </c>
    </row>
    <row r="1764" spans="1:7" x14ac:dyDescent="0.2">
      <c r="A1764" s="5">
        <v>1703</v>
      </c>
      <c r="B1764" s="1832">
        <f>'Tax Sched 23'!D8</f>
        <v>122164</v>
      </c>
      <c r="C1764" s="2" t="s">
        <v>569</v>
      </c>
      <c r="D1764" s="2" t="str">
        <f t="shared" si="26"/>
        <v>Error?</v>
      </c>
    </row>
    <row r="1765" spans="1:7" x14ac:dyDescent="0.2">
      <c r="A1765" s="5">
        <v>1704</v>
      </c>
      <c r="B1765" s="1832">
        <f>'Tax Sched 23'!D10</f>
        <v>43981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64511</v>
      </c>
      <c r="C1768" s="2" t="s">
        <v>569</v>
      </c>
      <c r="D1768" s="2" t="str">
        <f t="shared" si="26"/>
        <v>Error?</v>
      </c>
    </row>
    <row r="1769" spans="1:7" x14ac:dyDescent="0.2">
      <c r="A1769" s="5">
        <v>1708</v>
      </c>
      <c r="B1769" s="1832">
        <f>'Tax Sched 23'!D12</f>
        <v>34209</v>
      </c>
      <c r="C1769" s="2" t="s">
        <v>569</v>
      </c>
      <c r="D1769" s="2" t="str">
        <f t="shared" si="26"/>
        <v>Error?</v>
      </c>
    </row>
    <row r="1770" spans="1:7" x14ac:dyDescent="0.2">
      <c r="A1770" s="5">
        <v>1709</v>
      </c>
      <c r="B1770" s="1832">
        <f>'Tax Sched 23'!D14</f>
        <v>34701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2461593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1377619</v>
      </c>
      <c r="C1792" s="2" t="s">
        <v>569</v>
      </c>
      <c r="D1792" s="2" t="str">
        <f t="shared" si="27"/>
        <v>Error?</v>
      </c>
    </row>
    <row r="1793" spans="1:4" x14ac:dyDescent="0.2">
      <c r="A1793" s="5">
        <v>1732</v>
      </c>
      <c r="B1793" s="1832">
        <f>'Tax Sched 23'!F5</f>
        <v>286370</v>
      </c>
      <c r="C1793" s="2" t="s">
        <v>569</v>
      </c>
      <c r="D1793" s="2" t="str">
        <f t="shared" si="27"/>
        <v>Error?</v>
      </c>
    </row>
    <row r="1794" spans="1:4" x14ac:dyDescent="0.2">
      <c r="A1794" s="5">
        <v>1733</v>
      </c>
      <c r="B1794" s="1832">
        <f>'Tax Sched 23'!F6</f>
        <v>173479</v>
      </c>
      <c r="C1794" s="2" t="s">
        <v>569</v>
      </c>
      <c r="D1794" s="2" t="str">
        <f t="shared" si="27"/>
        <v>Error?</v>
      </c>
    </row>
    <row r="1795" spans="1:4" x14ac:dyDescent="0.2">
      <c r="A1795" s="5">
        <v>1734</v>
      </c>
      <c r="B1795" s="1832">
        <f>'Tax Sched 23'!F7</f>
        <v>226337</v>
      </c>
      <c r="C1795" s="2" t="s">
        <v>569</v>
      </c>
      <c r="D1795" s="2" t="str">
        <f t="shared" si="27"/>
        <v>Error?</v>
      </c>
    </row>
    <row r="1796" spans="1:4" x14ac:dyDescent="0.2">
      <c r="A1796" s="5">
        <v>1735</v>
      </c>
      <c r="B1796" s="1832">
        <f>'Tax Sched 23'!F8</f>
        <v>132858</v>
      </c>
      <c r="C1796" s="2" t="s">
        <v>569</v>
      </c>
      <c r="D1796" s="2" t="str">
        <f t="shared" si="27"/>
        <v>Error?</v>
      </c>
    </row>
    <row r="1797" spans="1:4" x14ac:dyDescent="0.2">
      <c r="A1797" s="5">
        <v>1736</v>
      </c>
      <c r="B1797" s="1832">
        <f>'Tax Sched 23'!F10</f>
        <v>44296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68893</v>
      </c>
      <c r="C1800" s="2" t="s">
        <v>569</v>
      </c>
      <c r="D1800" s="2" t="str">
        <f t="shared" si="27"/>
        <v>Error?</v>
      </c>
    </row>
    <row r="1801" spans="1:4" x14ac:dyDescent="0.2">
      <c r="A1801" s="5">
        <v>1740</v>
      </c>
      <c r="B1801" s="1832">
        <f>'Tax Sched 23'!F12</f>
        <v>39369</v>
      </c>
      <c r="C1801" s="2" t="s">
        <v>569</v>
      </c>
      <c r="D1801" s="2" t="str">
        <f t="shared" si="27"/>
        <v>Error?</v>
      </c>
    </row>
    <row r="1802" spans="1:4" x14ac:dyDescent="0.2">
      <c r="A1802" s="5">
        <v>1741</v>
      </c>
      <c r="B1802" s="1832">
        <f>'Tax Sched 23'!F14</f>
        <v>36422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2537206</v>
      </c>
      <c r="C1807" s="2" t="s">
        <v>569</v>
      </c>
      <c r="D1807" s="2" t="str">
        <f t="shared" si="27"/>
        <v>Error?</v>
      </c>
    </row>
    <row r="1808" spans="1:4" x14ac:dyDescent="0.2">
      <c r="A1808" s="5">
        <v>1747</v>
      </c>
      <c r="B1808" s="1832">
        <f>'Tax Sched 23'!E4</f>
        <v>1377619</v>
      </c>
      <c r="D1808" s="2" t="str">
        <f t="shared" si="27"/>
        <v>Error?</v>
      </c>
    </row>
    <row r="1809" spans="1:4" x14ac:dyDescent="0.2">
      <c r="A1809" s="5">
        <v>1748</v>
      </c>
      <c r="B1809" s="1832">
        <f>'Tax Sched 23'!E5</f>
        <v>286370</v>
      </c>
      <c r="D1809" s="2" t="str">
        <f t="shared" si="27"/>
        <v>Error?</v>
      </c>
    </row>
    <row r="1810" spans="1:4" x14ac:dyDescent="0.2">
      <c r="A1810" s="5">
        <v>1749</v>
      </c>
      <c r="B1810" s="1832">
        <f>'Tax Sched 23'!E6</f>
        <v>173479</v>
      </c>
      <c r="D1810" s="2" t="str">
        <f t="shared" si="27"/>
        <v>Error?</v>
      </c>
    </row>
    <row r="1811" spans="1:4" x14ac:dyDescent="0.2">
      <c r="A1811" s="5">
        <v>1750</v>
      </c>
      <c r="B1811" s="1832">
        <f>'Tax Sched 23'!E7</f>
        <v>226337</v>
      </c>
      <c r="D1811" s="2" t="str">
        <f t="shared" si="27"/>
        <v>Error?</v>
      </c>
    </row>
    <row r="1812" spans="1:4" x14ac:dyDescent="0.2">
      <c r="A1812" s="5">
        <v>1751</v>
      </c>
      <c r="B1812" s="1832">
        <f>'Tax Sched 23'!E8</f>
        <v>132858</v>
      </c>
      <c r="D1812" s="2" t="str">
        <f t="shared" si="27"/>
        <v>Error?</v>
      </c>
    </row>
    <row r="1813" spans="1:4" x14ac:dyDescent="0.2">
      <c r="A1813" s="5">
        <v>1752</v>
      </c>
      <c r="B1813" s="1832">
        <f>'Tax Sched 23'!E10</f>
        <v>44296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68893</v>
      </c>
      <c r="D1816" s="2" t="str">
        <f t="shared" si="27"/>
        <v>Error?</v>
      </c>
    </row>
    <row r="1817" spans="1:4" x14ac:dyDescent="0.2">
      <c r="A1817" s="5">
        <v>1756</v>
      </c>
      <c r="B1817" s="1832">
        <f>'Tax Sched 23'!E12</f>
        <v>39369</v>
      </c>
      <c r="D1817" s="2" t="str">
        <f t="shared" si="27"/>
        <v>Error?</v>
      </c>
    </row>
    <row r="1818" spans="1:4" x14ac:dyDescent="0.2">
      <c r="A1818" s="5">
        <v>1757</v>
      </c>
      <c r="B1818" s="1832">
        <f>'Tax Sched 23'!E14</f>
        <v>36422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2537206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1855000</v>
      </c>
      <c r="C1939" s="2" t="s">
        <v>569</v>
      </c>
      <c r="D1939" s="2" t="str">
        <f t="shared" si="29"/>
        <v>Error?</v>
      </c>
    </row>
    <row r="1940" spans="1:5" x14ac:dyDescent="0.2">
      <c r="A1940" s="5">
        <v>1879</v>
      </c>
      <c r="B1940" s="1832">
        <f>'Short-Term Long-Term Debt 24'!F49</f>
        <v>172580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34701</v>
      </c>
      <c r="D1972" s="2" t="str">
        <f t="shared" si="29"/>
        <v>Error?</v>
      </c>
    </row>
    <row r="1973" spans="1:5" x14ac:dyDescent="0.2">
      <c r="A1973" s="5">
        <v>1912</v>
      </c>
      <c r="B1973" s="1832">
        <f>'Rest Tax Levies-Tort Im 25'!H6</f>
        <v>2692</v>
      </c>
      <c r="D1973" s="2" t="str">
        <f t="shared" si="29"/>
        <v>Error?</v>
      </c>
    </row>
    <row r="1974" spans="1:5" x14ac:dyDescent="0.2">
      <c r="A1974" s="5">
        <v>1913</v>
      </c>
      <c r="B1974" s="1832">
        <f>'Rest Tax Levies-Tort Im 25'!H10</f>
        <v>357572</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394965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394965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111559</v>
      </c>
      <c r="D2008" s="2" t="str">
        <f t="shared" si="30"/>
        <v>Error?</v>
      </c>
    </row>
    <row r="2009" spans="1:4" x14ac:dyDescent="0.2">
      <c r="A2009" s="5">
        <v>1948</v>
      </c>
      <c r="B2009" s="1832">
        <f>'Cap Outlay Deprec 26'!C8</f>
        <v>9134928</v>
      </c>
      <c r="D2009" s="2" t="str">
        <f t="shared" si="30"/>
        <v>Error?</v>
      </c>
    </row>
    <row r="2010" spans="1:4" x14ac:dyDescent="0.2">
      <c r="A2010" s="5">
        <v>1949</v>
      </c>
      <c r="B2010" s="1832">
        <f>'Cap Outlay Deprec 26'!C10</f>
        <v>499549</v>
      </c>
      <c r="D2010" s="2" t="str">
        <f t="shared" si="30"/>
        <v>Error?</v>
      </c>
    </row>
    <row r="2011" spans="1:4" x14ac:dyDescent="0.2">
      <c r="A2011" s="5">
        <v>1950</v>
      </c>
      <c r="B2011" s="1832">
        <f>'Cap Outlay Deprec 26'!C12</f>
        <v>1035314</v>
      </c>
      <c r="D2011" s="2" t="str">
        <f t="shared" si="30"/>
        <v>Error?</v>
      </c>
    </row>
    <row r="2012" spans="1:4" x14ac:dyDescent="0.2">
      <c r="A2012" s="5">
        <v>1951</v>
      </c>
      <c r="B2012" s="1832">
        <f>'Cap Outlay Deprec 26'!C13</f>
        <v>5826</v>
      </c>
      <c r="D2012" s="2" t="str">
        <f t="shared" si="30"/>
        <v>Error?</v>
      </c>
    </row>
    <row r="2013" spans="1:4" x14ac:dyDescent="0.2">
      <c r="A2013" s="5">
        <v>1952</v>
      </c>
      <c r="B2013" s="1832">
        <f>'Cap Outlay Deprec 26'!C16</f>
        <v>10787176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184310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184310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2000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2000</v>
      </c>
      <c r="C2025" s="2" t="s">
        <v>569</v>
      </c>
      <c r="D2025" s="2" t="str">
        <f t="shared" si="30"/>
        <v>Error?</v>
      </c>
    </row>
    <row r="2026" spans="1:4" x14ac:dyDescent="0.2">
      <c r="A2026" s="5">
        <v>1965</v>
      </c>
      <c r="B2026" s="1832">
        <f>'Cap Outlay Deprec 26'!F5</f>
        <v>111559</v>
      </c>
      <c r="C2026" s="2" t="s">
        <v>569</v>
      </c>
      <c r="D2026" s="2" t="str">
        <f t="shared" si="30"/>
        <v>Error?</v>
      </c>
    </row>
    <row r="2027" spans="1:4" x14ac:dyDescent="0.2">
      <c r="A2027" s="5">
        <v>1966</v>
      </c>
      <c r="B2027" s="1832">
        <f>'Cap Outlay Deprec 26'!F8</f>
        <v>9134928</v>
      </c>
      <c r="C2027" s="2" t="s">
        <v>569</v>
      </c>
      <c r="D2027" s="2" t="str">
        <f t="shared" si="30"/>
        <v>Error?</v>
      </c>
    </row>
    <row r="2028" spans="1:4" x14ac:dyDescent="0.2">
      <c r="A2028" s="5">
        <v>1967</v>
      </c>
      <c r="B2028" s="1832">
        <f>'Cap Outlay Deprec 26'!F10</f>
        <v>499549</v>
      </c>
      <c r="C2028" s="2" t="s">
        <v>569</v>
      </c>
      <c r="D2028" s="2" t="str">
        <f t="shared" si="30"/>
        <v>Error?</v>
      </c>
    </row>
    <row r="2029" spans="1:4" x14ac:dyDescent="0.2">
      <c r="A2029" s="5">
        <v>1968</v>
      </c>
      <c r="B2029" s="1832">
        <f>'Cap Outlay Deprec 26'!F12</f>
        <v>1217624</v>
      </c>
      <c r="C2029" s="2" t="s">
        <v>569</v>
      </c>
      <c r="D2029" s="2" t="str">
        <f t="shared" si="30"/>
        <v>Error?</v>
      </c>
    </row>
    <row r="2030" spans="1:4" x14ac:dyDescent="0.2">
      <c r="A2030" s="5">
        <v>1969</v>
      </c>
      <c r="B2030" s="1832">
        <f>'Cap Outlay Deprec 26'!F13</f>
        <v>5826</v>
      </c>
      <c r="C2030" s="2" t="s">
        <v>569</v>
      </c>
      <c r="D2030" s="2" t="str">
        <f t="shared" si="30"/>
        <v>Error?</v>
      </c>
    </row>
    <row r="2031" spans="1:4" x14ac:dyDescent="0.2">
      <c r="A2031" s="5">
        <v>1970</v>
      </c>
      <c r="B2031" s="1832">
        <f>'Cap Outlay Deprec 26'!F16</f>
        <v>10969486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4951015</v>
      </c>
      <c r="D2033" s="2" t="str">
        <f t="shared" si="30"/>
        <v>Error?</v>
      </c>
    </row>
    <row r="2034" spans="1:4" x14ac:dyDescent="0.2">
      <c r="A2034" s="5">
        <v>1973</v>
      </c>
      <c r="B2034" s="1832">
        <f>'Cap Outlay Deprec 26'!H10</f>
        <v>485850</v>
      </c>
      <c r="D2034" s="2" t="str">
        <f t="shared" si="30"/>
        <v>Error?</v>
      </c>
    </row>
    <row r="2035" spans="1:4" x14ac:dyDescent="0.2">
      <c r="A2035" s="5">
        <v>1974</v>
      </c>
      <c r="B2035" s="1832">
        <f>'Cap Outlay Deprec 26'!H12</f>
        <v>582793</v>
      </c>
      <c r="D2035" s="2" t="str">
        <f t="shared" si="30"/>
        <v>Error?</v>
      </c>
    </row>
    <row r="2036" spans="1:4" x14ac:dyDescent="0.2">
      <c r="A2036" s="5">
        <v>1975</v>
      </c>
      <c r="B2036" s="1832">
        <f>'Cap Outlay Deprec 26'!H13</f>
        <v>5826</v>
      </c>
      <c r="D2036" s="2" t="str">
        <f t="shared" si="30"/>
        <v>Error?</v>
      </c>
    </row>
    <row r="2037" spans="1:4" x14ac:dyDescent="0.2">
      <c r="A2037" s="5">
        <v>1976</v>
      </c>
      <c r="B2037" s="1832">
        <f>'Cap Outlay Deprec 26'!H16</f>
        <v>6025484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161639</v>
      </c>
      <c r="D2039" s="2" t="str">
        <f t="shared" si="30"/>
        <v>Error?</v>
      </c>
    </row>
    <row r="2040" spans="1:4" x14ac:dyDescent="0.2">
      <c r="A2040" s="5">
        <v>1979</v>
      </c>
      <c r="B2040" s="1832">
        <f>'Cap Outlay Deprec 26'!I10</f>
        <v>1786</v>
      </c>
      <c r="D2040" s="2" t="str">
        <f t="shared" si="30"/>
        <v>Error?</v>
      </c>
    </row>
    <row r="2041" spans="1:4" x14ac:dyDescent="0.2">
      <c r="A2041" s="5">
        <v>1980</v>
      </c>
      <c r="B2041" s="1832">
        <f>'Cap Outlay Deprec 26'!I12</f>
        <v>114607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278032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2000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2000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5112654</v>
      </c>
      <c r="C2051" s="2" t="s">
        <v>569</v>
      </c>
      <c r="D2051" s="2" t="str">
        <f t="shared" si="31"/>
        <v>Error?</v>
      </c>
    </row>
    <row r="2052" spans="1:4" x14ac:dyDescent="0.2">
      <c r="A2052" s="5">
        <v>1991</v>
      </c>
      <c r="B2052" s="1832">
        <f>'Cap Outlay Deprec 26'!K10</f>
        <v>487636</v>
      </c>
      <c r="C2052" s="2" t="s">
        <v>569</v>
      </c>
      <c r="D2052" s="2" t="str">
        <f t="shared" si="31"/>
        <v>Error?</v>
      </c>
    </row>
    <row r="2053" spans="1:4" x14ac:dyDescent="0.2">
      <c r="A2053" s="5">
        <v>1992</v>
      </c>
      <c r="B2053" s="1832">
        <f>'Cap Outlay Deprec 26'!K12</f>
        <v>695400</v>
      </c>
      <c r="C2053" s="2" t="s">
        <v>569</v>
      </c>
      <c r="D2053" s="2" t="str">
        <f t="shared" si="31"/>
        <v>Error?</v>
      </c>
    </row>
    <row r="2054" spans="1:4" x14ac:dyDescent="0.2">
      <c r="A2054" s="5">
        <v>1993</v>
      </c>
      <c r="B2054" s="1832">
        <f>'Cap Outlay Deprec 26'!K13</f>
        <v>5826</v>
      </c>
      <c r="C2054" s="2" t="s">
        <v>569</v>
      </c>
      <c r="D2054" s="2" t="str">
        <f t="shared" si="31"/>
        <v>Error?</v>
      </c>
    </row>
    <row r="2055" spans="1:4" x14ac:dyDescent="0.2">
      <c r="A2055" s="5">
        <v>1994</v>
      </c>
      <c r="B2055" s="1832">
        <f>'Cap Outlay Deprec 26'!K16</f>
        <v>6301516</v>
      </c>
      <c r="C2055" s="2" t="s">
        <v>569</v>
      </c>
      <c r="D2055" s="2" t="str">
        <f t="shared" si="31"/>
        <v>Error?</v>
      </c>
    </row>
    <row r="2056" spans="1:4" x14ac:dyDescent="0.2">
      <c r="A2056" s="5">
        <v>1995</v>
      </c>
      <c r="B2056" s="1832">
        <f>'Cap Outlay Deprec 26'!L5</f>
        <v>111559</v>
      </c>
      <c r="C2056" s="2" t="s">
        <v>569</v>
      </c>
      <c r="D2056" s="2" t="str">
        <f t="shared" si="31"/>
        <v>Error?</v>
      </c>
    </row>
    <row r="2057" spans="1:4" x14ac:dyDescent="0.2">
      <c r="A2057" s="5">
        <v>1996</v>
      </c>
      <c r="B2057" s="1832">
        <f>'Cap Outlay Deprec 26'!L8</f>
        <v>4022274</v>
      </c>
      <c r="C2057" s="2" t="s">
        <v>569</v>
      </c>
      <c r="D2057" s="2" t="str">
        <f t="shared" si="31"/>
        <v>Error?</v>
      </c>
    </row>
    <row r="2058" spans="1:4" x14ac:dyDescent="0.2">
      <c r="A2058" s="5">
        <v>1997</v>
      </c>
      <c r="B2058" s="1832">
        <f>'Cap Outlay Deprec 26'!L10</f>
        <v>11913</v>
      </c>
      <c r="C2058" s="2" t="s">
        <v>569</v>
      </c>
      <c r="D2058" s="2" t="str">
        <f t="shared" si="31"/>
        <v>Error?</v>
      </c>
    </row>
    <row r="2059" spans="1:4" x14ac:dyDescent="0.2">
      <c r="A2059" s="5">
        <v>1998</v>
      </c>
      <c r="B2059" s="1832">
        <f>'Cap Outlay Deprec 26'!L12</f>
        <v>522224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4667970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597447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608729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11902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1845077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5531699</v>
      </c>
      <c r="C2553" s="2" t="s">
        <v>569</v>
      </c>
      <c r="D2553" s="2" t="str">
        <f t="shared" si="38"/>
        <v>Error?</v>
      </c>
    </row>
    <row r="2554" spans="1:4" x14ac:dyDescent="0.2">
      <c r="A2554" s="5">
        <v>2493</v>
      </c>
      <c r="B2554" s="1832">
        <f>'Acct Summary 7-8'!C7</f>
        <v>914888</v>
      </c>
      <c r="C2554" s="2" t="s">
        <v>569</v>
      </c>
      <c r="D2554" s="2" t="str">
        <f t="shared" si="38"/>
        <v>Error?</v>
      </c>
    </row>
    <row r="2555" spans="1:4" x14ac:dyDescent="0.2">
      <c r="A2555" s="5">
        <v>2494</v>
      </c>
      <c r="B2555" s="1832">
        <f>'Acct Summary 7-8'!C8</f>
        <v>8291664</v>
      </c>
      <c r="C2555" s="2" t="s">
        <v>569</v>
      </c>
      <c r="D2555" s="2" t="str">
        <f t="shared" si="38"/>
        <v>Error?</v>
      </c>
    </row>
    <row r="2556" spans="1:4" x14ac:dyDescent="0.2">
      <c r="A2556" s="5">
        <v>2495</v>
      </c>
      <c r="B2556" s="1832">
        <f>'Acct Summary 7-8'!C12</f>
        <v>5672306</v>
      </c>
      <c r="C2556" s="2" t="s">
        <v>569</v>
      </c>
      <c r="D2556" s="2" t="str">
        <f t="shared" si="38"/>
        <v>Error?</v>
      </c>
    </row>
    <row r="2557" spans="1:4" x14ac:dyDescent="0.2">
      <c r="A2557" s="5">
        <v>2496</v>
      </c>
      <c r="B2557" s="1832">
        <f>'Acct Summary 7-8'!C13</f>
        <v>1754793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608729</v>
      </c>
      <c r="C2559" s="2" t="s">
        <v>569</v>
      </c>
      <c r="D2559" s="2" t="str">
        <f t="shared" ref="D2559:D2622" si="39">IF(ISBLANK(B2559),"OK",IF(A2559-B2559=0,"OK","Error?"))</f>
        <v>Error?</v>
      </c>
    </row>
    <row r="2560" spans="1:4" x14ac:dyDescent="0.2">
      <c r="A2560" s="5">
        <v>2499</v>
      </c>
      <c r="B2560" s="1832">
        <f>'Acct Summary 7-8'!C16</f>
        <v>558</v>
      </c>
      <c r="C2560" s="2" t="s">
        <v>569</v>
      </c>
      <c r="D2560" s="2" t="str">
        <f t="shared" si="39"/>
        <v>Error?</v>
      </c>
    </row>
    <row r="2561" spans="1:4" x14ac:dyDescent="0.2">
      <c r="A2561" s="5">
        <v>2500</v>
      </c>
      <c r="B2561" s="1832">
        <f>'Acct Summary 7-8'!C17</f>
        <v>8036386</v>
      </c>
      <c r="C2561" s="2" t="s">
        <v>569</v>
      </c>
      <c r="D2561" s="2" t="str">
        <f t="shared" si="39"/>
        <v>Error?</v>
      </c>
    </row>
    <row r="2562" spans="1:4" x14ac:dyDescent="0.2">
      <c r="A2562" s="5">
        <v>2501</v>
      </c>
      <c r="B2562" s="1832">
        <f>'Acct Summary 7-8'!C20</f>
        <v>255278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311037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110000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421037</v>
      </c>
      <c r="C2568" s="2" t="s">
        <v>569</v>
      </c>
      <c r="D2568" s="2" t="str">
        <f t="shared" si="39"/>
        <v>Error?</v>
      </c>
    </row>
    <row r="2569" spans="1:4" x14ac:dyDescent="0.2">
      <c r="A2569" s="5">
        <v>2508</v>
      </c>
      <c r="B2569" s="1832">
        <f>'Acct Summary 7-8'!D13</f>
        <v>409926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409926</v>
      </c>
      <c r="C2573" s="2" t="s">
        <v>569</v>
      </c>
      <c r="D2573" s="2" t="str">
        <f t="shared" si="39"/>
        <v>Error?</v>
      </c>
    </row>
    <row r="2574" spans="1:4" x14ac:dyDescent="0.2">
      <c r="A2574" s="5">
        <v>2513</v>
      </c>
      <c r="B2574" s="1832">
        <f>'Acct Summary 7-8'!D20</f>
        <v>11111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236875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346014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582889</v>
      </c>
      <c r="C2595" s="2" t="s">
        <v>569</v>
      </c>
      <c r="D2595" s="2" t="str">
        <f t="shared" si="39"/>
        <v>Error?</v>
      </c>
    </row>
    <row r="2596" spans="1:4" x14ac:dyDescent="0.2">
      <c r="A2596" s="5">
        <v>2535</v>
      </c>
      <c r="B2596" s="1832">
        <f>'Acct Summary 7-8'!F13</f>
        <v>424613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424613</v>
      </c>
      <c r="C2600" s="2" t="s">
        <v>569</v>
      </c>
      <c r="D2600" s="2" t="str">
        <f t="shared" si="39"/>
        <v>Error?</v>
      </c>
    </row>
    <row r="2601" spans="1:4" x14ac:dyDescent="0.2">
      <c r="A2601" s="5">
        <v>2540</v>
      </c>
      <c r="B2601" s="1832">
        <f>'Acct Summary 7-8'!F20</f>
        <v>158276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295924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295924</v>
      </c>
      <c r="C2606" s="2" t="s">
        <v>569</v>
      </c>
      <c r="D2606" s="2" t="str">
        <f t="shared" si="39"/>
        <v>Error?</v>
      </c>
    </row>
    <row r="2607" spans="1:4" x14ac:dyDescent="0.2">
      <c r="A2607" s="5">
        <v>2546</v>
      </c>
      <c r="B2607" s="1832">
        <f>'Acct Summary 7-8'!G12</f>
        <v>163113</v>
      </c>
      <c r="C2607" s="2" t="s">
        <v>569</v>
      </c>
      <c r="D2607" s="2" t="str">
        <f t="shared" si="39"/>
        <v>Error?</v>
      </c>
    </row>
    <row r="2608" spans="1:4" x14ac:dyDescent="0.2">
      <c r="A2608" s="5">
        <v>2547</v>
      </c>
      <c r="B2608" s="1832">
        <f>'Acct Summary 7-8'!G13</f>
        <v>134350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297463</v>
      </c>
      <c r="C2612" s="2" t="s">
        <v>569</v>
      </c>
      <c r="D2612" s="2" t="str">
        <f t="shared" si="39"/>
        <v>Error?</v>
      </c>
    </row>
    <row r="2613" spans="1:4" x14ac:dyDescent="0.2">
      <c r="A2613" s="5">
        <v>2552</v>
      </c>
      <c r="B2613" s="1832">
        <f>'Acct Summary 7-8'!G20</f>
        <v>-1539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176939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176939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202896</v>
      </c>
      <c r="C2634" s="2" t="s">
        <v>569</v>
      </c>
      <c r="D2634" s="2" t="str">
        <f t="shared" si="40"/>
        <v>Error?</v>
      </c>
    </row>
    <row r="2635" spans="1:4" x14ac:dyDescent="0.2">
      <c r="A2635" s="5">
        <v>2574</v>
      </c>
      <c r="B2635" s="1832">
        <f>'Acct Summary 7-8'!E17</f>
        <v>202896</v>
      </c>
      <c r="C2635" s="2" t="s">
        <v>569</v>
      </c>
      <c r="D2635" s="2" t="str">
        <f t="shared" si="40"/>
        <v>Error?</v>
      </c>
    </row>
    <row r="2636" spans="1:4" x14ac:dyDescent="0.2">
      <c r="A2636" s="5">
        <v>2575</v>
      </c>
      <c r="B2636" s="1832">
        <f>'Acct Summary 7-8'!E20</f>
        <v>-25957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11282</v>
      </c>
      <c r="C2789" s="2" t="s">
        <v>569</v>
      </c>
      <c r="D2789" s="2" t="str">
        <f t="shared" si="42"/>
        <v>Error?</v>
      </c>
    </row>
    <row r="2790" spans="1:4" x14ac:dyDescent="0.2">
      <c r="A2790" s="5">
        <v>2729</v>
      </c>
      <c r="B2790" s="1832">
        <f>'Expenditures 15-22'!E102</f>
        <v>11282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549958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907</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108490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549958</v>
      </c>
      <c r="D2912" s="2" t="str">
        <f t="shared" si="44"/>
        <v>Error?</v>
      </c>
    </row>
    <row r="2913" spans="1:4" x14ac:dyDescent="0.2">
      <c r="A2913" s="5">
        <v>2852</v>
      </c>
      <c r="B2913" s="1832">
        <f>'Assets-Liab 5-6'!I41</f>
        <v>549958</v>
      </c>
      <c r="C2913" s="2" t="s">
        <v>569</v>
      </c>
      <c r="D2913" s="2" t="str">
        <f t="shared" si="44"/>
        <v>Error?</v>
      </c>
    </row>
    <row r="2914" spans="1:4" x14ac:dyDescent="0.2">
      <c r="A2914" s="5">
        <v>2853</v>
      </c>
      <c r="B2914" s="1832">
        <f>'Assets-Liab 5-6'!L33</f>
        <v>108490</v>
      </c>
      <c r="D2914" s="2" t="str">
        <f t="shared" si="44"/>
        <v>Error?</v>
      </c>
    </row>
    <row r="2915" spans="1:4" x14ac:dyDescent="0.2">
      <c r="A2915" s="10">
        <v>2854</v>
      </c>
      <c r="B2915" s="1832"/>
      <c r="D2915" s="2" t="str">
        <f t="shared" si="44"/>
        <v>OK</v>
      </c>
    </row>
    <row r="2916" spans="1:4" x14ac:dyDescent="0.2">
      <c r="A2916" s="5">
        <v>2855</v>
      </c>
      <c r="B2916" s="1832">
        <f>'Assets-Liab 5-6'!L34</f>
        <v>108490</v>
      </c>
      <c r="C2916" s="2" t="s">
        <v>569</v>
      </c>
      <c r="D2916" s="2" t="str">
        <f t="shared" si="44"/>
        <v>Error?</v>
      </c>
    </row>
    <row r="2917" spans="1:4" x14ac:dyDescent="0.2">
      <c r="A2917" s="5">
        <v>2856</v>
      </c>
      <c r="B2917" s="1832">
        <f>'Assets-Liab 5-6'!L41</f>
        <v>108490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11282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597447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608729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232494</v>
      </c>
      <c r="D3055" s="2" t="str">
        <f t="shared" si="46"/>
        <v>Error?</v>
      </c>
    </row>
    <row r="3056" spans="1:4" x14ac:dyDescent="0.2">
      <c r="A3056" s="5">
        <v>2995</v>
      </c>
      <c r="B3056" s="1832">
        <f>'Expenditures 15-22'!D10</f>
        <v>61595</v>
      </c>
      <c r="D3056" s="2" t="str">
        <f t="shared" si="46"/>
        <v>Error?</v>
      </c>
    </row>
    <row r="3057" spans="1:4" x14ac:dyDescent="0.2">
      <c r="A3057" s="5">
        <v>2996</v>
      </c>
      <c r="B3057" s="1832">
        <f>'Expenditures 15-22'!E10</f>
        <v>15492</v>
      </c>
      <c r="D3057" s="2" t="str">
        <f t="shared" si="46"/>
        <v>Error?</v>
      </c>
    </row>
    <row r="3058" spans="1:4" x14ac:dyDescent="0.2">
      <c r="A3058" s="5">
        <v>2997</v>
      </c>
      <c r="B3058" s="1832">
        <f>'Expenditures 15-22'!F10</f>
        <v>74428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384009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17113</v>
      </c>
      <c r="D3064" s="2" t="str">
        <f t="shared" si="46"/>
        <v>Error?</v>
      </c>
    </row>
    <row r="3065" spans="1:4" x14ac:dyDescent="0.2">
      <c r="A3065" s="5">
        <v>3004</v>
      </c>
      <c r="B3065" s="1832">
        <f>'Expenditures 15-22'!K219</f>
        <v>17113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52353</v>
      </c>
      <c r="C3225" s="2" t="s">
        <v>569</v>
      </c>
      <c r="D3225" s="2" t="str">
        <f t="shared" si="49"/>
        <v>Error?</v>
      </c>
    </row>
    <row r="3226" spans="1:4" x14ac:dyDescent="0.2">
      <c r="A3226" s="5">
        <v>3165</v>
      </c>
      <c r="B3226" s="1832">
        <f>'Acct Summary 7-8'!I8</f>
        <v>52353</v>
      </c>
      <c r="C3226" s="2" t="s">
        <v>569</v>
      </c>
      <c r="D3226" s="2" t="str">
        <f t="shared" si="49"/>
        <v>Error?</v>
      </c>
    </row>
    <row r="3227" spans="1:4" x14ac:dyDescent="0.2">
      <c r="A3227" s="5">
        <v>3166</v>
      </c>
      <c r="B3227" s="1832">
        <f>'Acct Summary 7-8'!I20</f>
        <v>52353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172580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29021</v>
      </c>
      <c r="C3231" s="2" t="s">
        <v>569</v>
      </c>
      <c r="D3231" s="2" t="str">
        <f t="shared" si="49"/>
        <v>Error?</v>
      </c>
    </row>
    <row r="3232" spans="1:4" x14ac:dyDescent="0.2">
      <c r="A3232" s="5">
        <v>3171</v>
      </c>
      <c r="B3232" s="1832">
        <f>'Acct Summary 7-8'!C77</f>
        <v>143559</v>
      </c>
      <c r="C3232" s="2" t="s">
        <v>569</v>
      </c>
      <c r="D3232" s="2" t="str">
        <f t="shared" si="49"/>
        <v>Error?</v>
      </c>
    </row>
    <row r="3233" spans="1:4" x14ac:dyDescent="0.2">
      <c r="A3233" s="5">
        <v>3172</v>
      </c>
      <c r="B3233" s="1832">
        <f>'Acct Summary 7-8'!C78</f>
        <v>398837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85000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85000</v>
      </c>
      <c r="C3238" s="2" t="s">
        <v>569</v>
      </c>
      <c r="D3238" s="2" t="str">
        <f t="shared" si="49"/>
        <v>Error?</v>
      </c>
    </row>
    <row r="3239" spans="1:4" x14ac:dyDescent="0.2">
      <c r="A3239" s="5">
        <v>3178</v>
      </c>
      <c r="B3239" s="1832">
        <f>'Acct Summary 7-8'!D78</f>
        <v>96111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158276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-1539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29021</v>
      </c>
      <c r="D3273" s="2" t="str">
        <f t="shared" si="50"/>
        <v>Error?</v>
      </c>
    </row>
    <row r="3274" spans="1:4" x14ac:dyDescent="0.2">
      <c r="A3274" s="5">
        <v>3213</v>
      </c>
      <c r="B3274" s="1832">
        <f>'Acct Summary 7-8'!E44</f>
        <v>29021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29021</v>
      </c>
      <c r="C3277" s="2" t="s">
        <v>569</v>
      </c>
      <c r="D3277" s="2" t="str">
        <f t="shared" si="50"/>
        <v>Error?</v>
      </c>
    </row>
    <row r="3278" spans="1:4" x14ac:dyDescent="0.2">
      <c r="A3278" s="5">
        <v>3217</v>
      </c>
      <c r="B3278" s="1832">
        <f>'Acct Summary 7-8'!E78</f>
        <v>3064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85000</v>
      </c>
      <c r="C3318" s="2" t="s">
        <v>569</v>
      </c>
      <c r="D3318" s="2" t="str">
        <f t="shared" si="50"/>
        <v>Error?</v>
      </c>
    </row>
    <row r="3319" spans="1:4" x14ac:dyDescent="0.2">
      <c r="A3319" s="5">
        <v>3258</v>
      </c>
      <c r="B3319" s="1832">
        <f>'Acct Summary 7-8'!I77</f>
        <v>-85000</v>
      </c>
      <c r="C3319" s="2" t="s">
        <v>569</v>
      </c>
      <c r="D3319" s="2" t="str">
        <f t="shared" si="50"/>
        <v>Error?</v>
      </c>
    </row>
    <row r="3320" spans="1:4" x14ac:dyDescent="0.2">
      <c r="A3320" s="5">
        <v>3259</v>
      </c>
      <c r="B3320" s="1832">
        <f>'Acct Summary 7-8'!I78</f>
        <v>-32647</v>
      </c>
      <c r="C3320" s="2" t="s">
        <v>569</v>
      </c>
      <c r="D3320" s="2" t="str">
        <f t="shared" si="50"/>
        <v>Error?</v>
      </c>
    </row>
    <row r="3321" spans="1:4" x14ac:dyDescent="0.2">
      <c r="A3321" s="5">
        <v>3260</v>
      </c>
      <c r="B3321" s="1832">
        <f>'Acct Summary 7-8'!I79</f>
        <v>582605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549958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954796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124849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1079645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67124</v>
      </c>
      <c r="D3387" s="2" t="str">
        <f t="shared" si="51"/>
        <v>Error?</v>
      </c>
    </row>
    <row r="3388" spans="1:4" x14ac:dyDescent="0.2">
      <c r="A3388" s="5">
        <v>3327</v>
      </c>
      <c r="B3388" s="1832">
        <f>'Expenditures 15-22'!D217</f>
        <v>77333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67124</v>
      </c>
      <c r="C3390" s="2" t="s">
        <v>569</v>
      </c>
      <c r="D3390" s="2" t="str">
        <f t="shared" si="51"/>
        <v>Error?</v>
      </c>
    </row>
    <row r="3391" spans="1:4" x14ac:dyDescent="0.2">
      <c r="A3391" s="5">
        <v>3330</v>
      </c>
      <c r="B3391" s="1832">
        <f>'Expenditures 15-22'!K217</f>
        <v>77333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4037864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742285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76990</v>
      </c>
      <c r="D3417" s="2" t="str">
        <f t="shared" si="52"/>
        <v>Error?</v>
      </c>
    </row>
    <row r="3418" spans="1:4" x14ac:dyDescent="0.2">
      <c r="A3418" s="10">
        <v>3357</v>
      </c>
      <c r="B3418" s="1832"/>
      <c r="D3418" s="2" t="str">
        <f t="shared" si="52"/>
        <v>OK</v>
      </c>
    </row>
    <row r="3419" spans="1:4" x14ac:dyDescent="0.2">
      <c r="A3419" s="5">
        <v>3358</v>
      </c>
      <c r="B3419" s="1832">
        <f>'Assets-Liab 5-6'!F4</f>
        <v>825605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33176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549958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107583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127045</v>
      </c>
      <c r="C3446" s="2" t="s">
        <v>569</v>
      </c>
      <c r="D3446" s="2" t="str">
        <f t="shared" si="52"/>
        <v>Error?</v>
      </c>
    </row>
    <row r="3447" spans="1:4" x14ac:dyDescent="0.2">
      <c r="A3447" s="5">
        <v>3386</v>
      </c>
      <c r="B3447" s="1832">
        <f>'Tax Sched 23'!D16</f>
        <v>127045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137775</v>
      </c>
      <c r="C3449" s="2" t="s">
        <v>569</v>
      </c>
      <c r="D3449" s="2" t="str">
        <f t="shared" si="52"/>
        <v>Error?</v>
      </c>
    </row>
    <row r="3450" spans="1:4" x14ac:dyDescent="0.2">
      <c r="A3450" s="5">
        <v>3389</v>
      </c>
      <c r="B3450" s="1832">
        <f>'Tax Sched 23'!E16</f>
        <v>137775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132506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132506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132506</v>
      </c>
      <c r="D3567" s="2" t="str">
        <f t="shared" si="54"/>
        <v>Error?</v>
      </c>
    </row>
    <row r="3568" spans="1:4" x14ac:dyDescent="0.2">
      <c r="A3568" s="5">
        <v>3507</v>
      </c>
      <c r="B3568" s="1832">
        <f>'Assets-Liab 5-6'!K41</f>
        <v>132506</v>
      </c>
      <c r="C3568" s="2" t="s">
        <v>569</v>
      </c>
      <c r="D3568" s="2" t="str">
        <f t="shared" si="54"/>
        <v>Error?</v>
      </c>
    </row>
    <row r="3569" spans="1:4" x14ac:dyDescent="0.2">
      <c r="A3569" s="5">
        <v>3508</v>
      </c>
      <c r="B3569" s="1832">
        <f>'Acct Summary 7-8'!K4</f>
        <v>36231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36231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36231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36231</v>
      </c>
      <c r="C3588" s="2" t="s">
        <v>569</v>
      </c>
      <c r="D3588" s="2" t="str">
        <f t="shared" si="55"/>
        <v>Error?</v>
      </c>
    </row>
    <row r="3589" spans="1:4" x14ac:dyDescent="0.2">
      <c r="A3589" s="5">
        <v>3528</v>
      </c>
      <c r="B3589" s="1832">
        <f>'Acct Summary 7-8'!K79</f>
        <v>96275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132506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36231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12709</v>
      </c>
      <c r="C3725" s="2" t="s">
        <v>569</v>
      </c>
      <c r="D3725" s="2" t="str">
        <f t="shared" si="57"/>
        <v>Error?</v>
      </c>
    </row>
    <row r="3726" spans="1:4" x14ac:dyDescent="0.2">
      <c r="A3726" s="5">
        <v>3665</v>
      </c>
      <c r="B3726" s="1832">
        <f>'Tax Sched 23'!D13</f>
        <v>12709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13788</v>
      </c>
      <c r="C3728" s="2" t="s">
        <v>569</v>
      </c>
      <c r="D3728" s="2" t="str">
        <f t="shared" si="57"/>
        <v>Error?</v>
      </c>
    </row>
    <row r="3729" spans="1:4" x14ac:dyDescent="0.2">
      <c r="A3729" s="5">
        <v>3668</v>
      </c>
      <c r="B3729" s="1832">
        <f>'Tax Sched 23'!E13</f>
        <v>13788</v>
      </c>
      <c r="D3729" s="2" t="str">
        <f t="shared" si="57"/>
        <v>Error?</v>
      </c>
    </row>
    <row r="3730" spans="1:4" x14ac:dyDescent="0.2">
      <c r="A3730" s="5">
        <v>3669</v>
      </c>
      <c r="B3730" s="1832">
        <f>'ICR Computation 30'!E10</f>
        <v>159790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594560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8886224</v>
      </c>
      <c r="C4122" s="2" t="s">
        <v>569</v>
      </c>
      <c r="D4122" s="2" t="str">
        <f t="shared" si="63"/>
        <v>Error?</v>
      </c>
    </row>
    <row r="4123" spans="1:4" x14ac:dyDescent="0.2">
      <c r="A4123" s="5">
        <v>4062</v>
      </c>
      <c r="B4123" s="1832">
        <f>'Acct Summary 7-8'!D10</f>
        <v>421037</v>
      </c>
      <c r="C4123" s="2" t="s">
        <v>569</v>
      </c>
      <c r="D4123" s="2" t="str">
        <f t="shared" si="63"/>
        <v>Error?</v>
      </c>
    </row>
    <row r="4124" spans="1:4" x14ac:dyDescent="0.2">
      <c r="A4124" s="5">
        <v>4063</v>
      </c>
      <c r="B4124" s="1832">
        <f>'Acct Summary 7-8'!E10</f>
        <v>176939</v>
      </c>
      <c r="C4124" s="2" t="s">
        <v>569</v>
      </c>
      <c r="D4124" s="2" t="str">
        <f t="shared" si="63"/>
        <v>Error?</v>
      </c>
    </row>
    <row r="4125" spans="1:4" x14ac:dyDescent="0.2">
      <c r="A4125" s="5">
        <v>4064</v>
      </c>
      <c r="B4125" s="1832">
        <f>'Acct Summary 7-8'!F10</f>
        <v>582889</v>
      </c>
      <c r="C4125" s="2" t="s">
        <v>569</v>
      </c>
      <c r="D4125" s="2" t="str">
        <f t="shared" si="63"/>
        <v>Error?</v>
      </c>
    </row>
    <row r="4126" spans="1:4" x14ac:dyDescent="0.2">
      <c r="A4126" s="5">
        <v>4065</v>
      </c>
      <c r="B4126" s="1832">
        <f>'Acct Summary 7-8'!G10</f>
        <v>295924</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52353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36231</v>
      </c>
      <c r="C4130" s="2" t="s">
        <v>569</v>
      </c>
      <c r="D4130" s="2" t="str">
        <f t="shared" si="63"/>
        <v>Error?</v>
      </c>
    </row>
    <row r="4131" spans="1:4" x14ac:dyDescent="0.2">
      <c r="A4131" s="5">
        <v>4070</v>
      </c>
      <c r="B4131" s="1832">
        <f>'Acct Summary 7-8'!C18</f>
        <v>594560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8630946</v>
      </c>
      <c r="C4136" s="2" t="s">
        <v>569</v>
      </c>
      <c r="D4136" s="2" t="str">
        <f t="shared" si="63"/>
        <v>Error?</v>
      </c>
    </row>
    <row r="4137" spans="1:4" x14ac:dyDescent="0.2">
      <c r="A4137" s="5">
        <v>4076</v>
      </c>
      <c r="B4137" s="1832">
        <f>'Acct Summary 7-8'!D19</f>
        <v>409926</v>
      </c>
      <c r="C4137" s="2" t="s">
        <v>569</v>
      </c>
      <c r="D4137" s="2" t="str">
        <f t="shared" si="63"/>
        <v>Error?</v>
      </c>
    </row>
    <row r="4138" spans="1:4" x14ac:dyDescent="0.2">
      <c r="A4138" s="5">
        <v>4077</v>
      </c>
      <c r="B4138" s="1832">
        <f>'Acct Summary 7-8'!E19</f>
        <v>202896</v>
      </c>
      <c r="C4138" s="2" t="s">
        <v>569</v>
      </c>
      <c r="D4138" s="2" t="str">
        <f t="shared" si="63"/>
        <v>Error?</v>
      </c>
    </row>
    <row r="4139" spans="1:4" x14ac:dyDescent="0.2">
      <c r="A4139" s="5">
        <v>4078</v>
      </c>
      <c r="B4139" s="1832">
        <f>'Acct Summary 7-8'!F19</f>
        <v>424613</v>
      </c>
      <c r="C4139" s="2" t="s">
        <v>569</v>
      </c>
      <c r="D4139" s="2" t="str">
        <f t="shared" si="63"/>
        <v>Error?</v>
      </c>
    </row>
    <row r="4140" spans="1:4" x14ac:dyDescent="0.2">
      <c r="A4140" s="5">
        <v>4079</v>
      </c>
      <c r="B4140" s="1832">
        <f>'Acct Summary 7-8'!G19</f>
        <v>297463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1898559</v>
      </c>
      <c r="C4171" s="2" t="s">
        <v>569</v>
      </c>
      <c r="D4171" s="2" t="str">
        <f t="shared" si="64"/>
        <v>Error?</v>
      </c>
    </row>
    <row r="4172" spans="1:4" x14ac:dyDescent="0.2">
      <c r="A4172" s="5">
        <v>4111</v>
      </c>
      <c r="B4172" s="1832">
        <f>'Short-Term Long-Term Debt 24'!J49</f>
        <v>1821569</v>
      </c>
      <c r="C4172" s="2" t="s">
        <v>569</v>
      </c>
      <c r="D4172" s="2" t="str">
        <f t="shared" si="64"/>
        <v>Error?</v>
      </c>
    </row>
    <row r="4173" spans="1:4" x14ac:dyDescent="0.2">
      <c r="A4173" s="5">
        <v>4112</v>
      </c>
      <c r="B4173" s="1832">
        <f>'Short-Term Long-Term Debt 24'!H49</f>
        <v>129021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1341.97</v>
      </c>
      <c r="C4265" s="2" t="s">
        <v>569</v>
      </c>
      <c r="D4265" s="2" t="str">
        <f t="shared" si="65"/>
        <v>Error?</v>
      </c>
      <c r="E4265" s="125"/>
    </row>
    <row r="4266" spans="1:5" x14ac:dyDescent="0.2">
      <c r="A4266" s="12">
        <v>4205</v>
      </c>
      <c r="B4266" s="1832">
        <f>('FP Info 3'!F10)*100000</f>
        <v>278.96000000000004</v>
      </c>
      <c r="C4266" s="2" t="s">
        <v>569</v>
      </c>
      <c r="D4266" s="2" t="str">
        <f t="shared" si="65"/>
        <v>Error?</v>
      </c>
      <c r="E4266" s="125"/>
    </row>
    <row r="4267" spans="1:5" x14ac:dyDescent="0.2">
      <c r="A4267" s="12">
        <v>4206</v>
      </c>
      <c r="B4267" s="1832">
        <f>('FP Info 3'!H10)*100000</f>
        <v>220.48</v>
      </c>
      <c r="C4267" s="2" t="s">
        <v>569</v>
      </c>
      <c r="D4267" s="2" t="str">
        <f t="shared" si="65"/>
        <v>Error?</v>
      </c>
      <c r="E4267" s="125"/>
    </row>
    <row r="4268" spans="1:5" x14ac:dyDescent="0.2">
      <c r="A4268" s="12">
        <v>4207</v>
      </c>
      <c r="B4268" s="1832">
        <f>('FP Info 3'!J10)*100000</f>
        <v>1841</v>
      </c>
      <c r="C4268" s="2" t="s">
        <v>569</v>
      </c>
      <c r="D4268" s="2" t="str">
        <f t="shared" si="65"/>
        <v>Error?</v>
      </c>
    </row>
    <row r="4269" spans="1:5" x14ac:dyDescent="0.2">
      <c r="A4269" s="12">
        <v>4208</v>
      </c>
      <c r="B4269" s="1832">
        <f>'FP Info 3'!J16</f>
        <v>6155712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11291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65594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13763</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13763</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43.150000000000006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104114102</v>
      </c>
      <c r="D4995" s="2" t="str">
        <f t="shared" si="77"/>
        <v>Error?</v>
      </c>
    </row>
    <row r="4996" spans="1:4" x14ac:dyDescent="0.2">
      <c r="A4996" s="12">
        <v>4935</v>
      </c>
      <c r="B4996" s="1832">
        <f>'FP Info 3'!H31</f>
        <v>7183873.0380000006</v>
      </c>
      <c r="D4996" s="2" t="str">
        <f t="shared" si="77"/>
        <v>Error?</v>
      </c>
    </row>
    <row r="4997" spans="1:4" x14ac:dyDescent="0.2">
      <c r="A4997" s="12">
        <v>4936</v>
      </c>
      <c r="B4997" s="1832">
        <f>'FP Info 3'!H37</f>
        <v>1898559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12709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1348527</v>
      </c>
      <c r="D5061" s="2" t="str">
        <f t="shared" si="78"/>
        <v>Error?</v>
      </c>
    </row>
    <row r="5062" spans="1:4" x14ac:dyDescent="0.2">
      <c r="A5062" s="10">
        <v>5001</v>
      </c>
      <c r="B5062" s="1832"/>
      <c r="D5062" s="2" t="str">
        <f t="shared" si="78"/>
        <v>OK</v>
      </c>
    </row>
    <row r="5063" spans="1:4" x14ac:dyDescent="0.2">
      <c r="A5063" s="5">
        <v>5002</v>
      </c>
      <c r="B5063" s="1832">
        <f>'Revenues 9-14'!C7</f>
        <v>34701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1395937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249393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249393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63361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63361</v>
      </c>
      <c r="C5090" s="2" t="s">
        <v>569</v>
      </c>
      <c r="D5090" s="2" t="str">
        <f t="shared" si="78"/>
        <v>Error?</v>
      </c>
    </row>
    <row r="5091" spans="1:4" x14ac:dyDescent="0.2">
      <c r="A5091" s="5">
        <v>5030</v>
      </c>
      <c r="B5091" s="1832">
        <f>'Revenues 9-14'!C70</f>
        <v>8827</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2727</v>
      </c>
      <c r="D5094" s="2" t="str">
        <f t="shared" si="78"/>
        <v>Error?</v>
      </c>
    </row>
    <row r="5095" spans="1:4" x14ac:dyDescent="0.2">
      <c r="A5095" s="5">
        <v>5034</v>
      </c>
      <c r="B5095" s="1832">
        <f>'Revenues 9-14'!C74</f>
        <v>2857</v>
      </c>
      <c r="D5095" s="2" t="str">
        <f t="shared" si="78"/>
        <v>Error?</v>
      </c>
    </row>
    <row r="5096" spans="1:4" x14ac:dyDescent="0.2">
      <c r="A5096" s="5">
        <v>5035</v>
      </c>
      <c r="B5096" s="1832">
        <f>'Revenues 9-14'!C75</f>
        <v>73307</v>
      </c>
      <c r="C5096" s="2" t="s">
        <v>569</v>
      </c>
      <c r="D5096" s="2" t="str">
        <f t="shared" si="78"/>
        <v>Error?</v>
      </c>
    </row>
    <row r="5097" spans="1:4" x14ac:dyDescent="0.2">
      <c r="A5097" s="5">
        <v>5036</v>
      </c>
      <c r="B5097" s="1832">
        <f>'Revenues 9-14'!C77</f>
        <v>13975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13975</v>
      </c>
      <c r="C5102" s="2" t="s">
        <v>569</v>
      </c>
      <c r="D5102" s="2" t="str">
        <f t="shared" si="78"/>
        <v>Error?</v>
      </c>
    </row>
    <row r="5103" spans="1:4" x14ac:dyDescent="0.2">
      <c r="A5103" s="5">
        <v>5042</v>
      </c>
      <c r="B5103" s="1832">
        <f>'Revenues 9-14'!C84</f>
        <v>29928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29928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8680</v>
      </c>
      <c r="D5118" s="2" t="str">
        <f t="shared" si="78"/>
        <v>Error?</v>
      </c>
    </row>
    <row r="5119" spans="1:4" x14ac:dyDescent="0.2">
      <c r="A5119" s="5">
        <v>5058</v>
      </c>
      <c r="B5119" s="1832">
        <f>'Revenues 9-14'!C107</f>
        <v>10496</v>
      </c>
      <c r="D5119" s="2" t="str">
        <f t="shared" ref="D5119:D5182" si="79">IF(ISBLANK(B5119),"OK",IF(A5119-B5119=0,"OK","Error?"))</f>
        <v>Error?</v>
      </c>
    </row>
    <row r="5120" spans="1:4" x14ac:dyDescent="0.2">
      <c r="A5120" s="5">
        <v>5059</v>
      </c>
      <c r="B5120" s="1832">
        <f>'Revenues 9-14'!C108</f>
        <v>19176</v>
      </c>
      <c r="C5120" s="2" t="s">
        <v>569</v>
      </c>
      <c r="D5120" s="2" t="str">
        <f t="shared" si="79"/>
        <v>Error?</v>
      </c>
    </row>
    <row r="5121" spans="1:4" x14ac:dyDescent="0.2">
      <c r="A5121" s="5">
        <v>5060</v>
      </c>
      <c r="B5121" s="1832">
        <f>'Revenues 9-14'!C109</f>
        <v>1845077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5169473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5169473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63451</v>
      </c>
      <c r="D5135" s="2" t="str">
        <f t="shared" si="79"/>
        <v>Error?</v>
      </c>
    </row>
    <row r="5136" spans="1:4" x14ac:dyDescent="0.2">
      <c r="A5136" s="10">
        <v>5075</v>
      </c>
      <c r="B5136" s="1832"/>
      <c r="D5136" s="2" t="str">
        <f t="shared" si="79"/>
        <v>OK</v>
      </c>
    </row>
    <row r="5137" spans="1:4" x14ac:dyDescent="0.2">
      <c r="A5137" s="5">
        <v>5076</v>
      </c>
      <c r="B5137" s="1832">
        <f>'Revenues 9-14'!C128</f>
        <v>273038</v>
      </c>
      <c r="D5137" s="2" t="str">
        <f t="shared" si="79"/>
        <v>Error?</v>
      </c>
    </row>
    <row r="5138" spans="1:4" x14ac:dyDescent="0.2">
      <c r="A5138" s="10">
        <v>5077</v>
      </c>
      <c r="B5138" s="1832"/>
      <c r="D5138" s="2" t="str">
        <f t="shared" si="79"/>
        <v>OK</v>
      </c>
    </row>
    <row r="5139" spans="1:4" x14ac:dyDescent="0.2">
      <c r="A5139" s="5">
        <v>5078</v>
      </c>
      <c r="B5139" s="1832">
        <f>'Revenues 9-14'!C129</f>
        <v>21083</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357572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3904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362226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5531699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230864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89646</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320510</v>
      </c>
      <c r="C5246" s="2" t="s">
        <v>569</v>
      </c>
      <c r="D5246" s="2" t="str">
        <f t="shared" si="80"/>
        <v>Error?</v>
      </c>
    </row>
    <row r="5247" spans="1:4" x14ac:dyDescent="0.2">
      <c r="A5247" s="5">
        <v>5186</v>
      </c>
      <c r="B5247" s="1832">
        <f>'Revenues 9-14'!C200</f>
        <v>395106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395106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11876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44874</v>
      </c>
      <c r="D5278" s="2" t="str">
        <f t="shared" si="81"/>
        <v>Error?</v>
      </c>
    </row>
    <row r="5279" spans="1:4" x14ac:dyDescent="0.2">
      <c r="A5279" s="5">
        <v>5218</v>
      </c>
      <c r="B5279" s="1832">
        <f>'Revenues 9-14'!C214</f>
        <v>13599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70349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38275</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914888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914888</v>
      </c>
      <c r="C5326" s="2" t="s">
        <v>569</v>
      </c>
      <c r="D5326" s="2" t="str">
        <f t="shared" si="82"/>
        <v>Error?</v>
      </c>
    </row>
    <row r="5327" spans="1:5" x14ac:dyDescent="0.2">
      <c r="A5327" s="5">
        <v>5266</v>
      </c>
      <c r="B5327" s="1832">
        <f>'Revenues 9-14'!C268</f>
        <v>8291664</v>
      </c>
      <c r="C5327" s="2" t="s">
        <v>569</v>
      </c>
      <c r="D5327" s="2" t="str">
        <f t="shared" si="82"/>
        <v>Error?</v>
      </c>
    </row>
    <row r="5328" spans="1:5" x14ac:dyDescent="0.2">
      <c r="A5328" s="5">
        <v>5267</v>
      </c>
      <c r="B5328" s="1832">
        <f>'Revenues 9-14'!D5</f>
        <v>278517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278517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14000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14000</v>
      </c>
      <c r="C5339" s="2" t="s">
        <v>569</v>
      </c>
      <c r="D5339" s="2" t="str">
        <f t="shared" si="82"/>
        <v>Error?</v>
      </c>
    </row>
    <row r="5340" spans="1:4" x14ac:dyDescent="0.2">
      <c r="A5340" s="5">
        <v>5279</v>
      </c>
      <c r="B5340" s="1832">
        <f>'Revenues 9-14'!D65</f>
        <v>11275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11275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1695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5550</v>
      </c>
      <c r="D5354" s="2" t="str">
        <f t="shared" si="82"/>
        <v>Error?</v>
      </c>
    </row>
    <row r="5355" spans="1:4" x14ac:dyDescent="0.2">
      <c r="A5355" s="5">
        <v>5294</v>
      </c>
      <c r="B5355" s="1832">
        <f>'Revenues 9-14'!D108</f>
        <v>7245</v>
      </c>
      <c r="C5355" s="2" t="s">
        <v>569</v>
      </c>
      <c r="D5355" s="2" t="str">
        <f t="shared" si="82"/>
        <v>Error?</v>
      </c>
    </row>
    <row r="5356" spans="1:4" x14ac:dyDescent="0.2">
      <c r="A5356" s="5">
        <v>5295</v>
      </c>
      <c r="B5356" s="1832">
        <f>'Revenues 9-14'!D109</f>
        <v>311037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60000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60000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110000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421037</v>
      </c>
      <c r="C5508" s="2" t="s">
        <v>569</v>
      </c>
      <c r="D5508" s="2" t="str">
        <f t="shared" si="85"/>
        <v>Error?</v>
      </c>
    </row>
    <row r="5509" spans="1:4" x14ac:dyDescent="0.2">
      <c r="A5509" s="5">
        <v>5448</v>
      </c>
      <c r="B5509" s="1832">
        <f>'Revenues 9-14'!E5</f>
        <v>175347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175347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1592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1592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176939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176939</v>
      </c>
      <c r="C5552" s="2" t="s">
        <v>569</v>
      </c>
      <c r="D5552" s="2" t="str">
        <f t="shared" si="85"/>
        <v>Error?</v>
      </c>
    </row>
    <row r="5553" spans="1:4" x14ac:dyDescent="0.2">
      <c r="A5553" s="5">
        <v>5492</v>
      </c>
      <c r="B5553" s="1832">
        <f>'Revenues 9-14'!F5</f>
        <v>219882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219882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5000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11993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11993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236875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273700</v>
      </c>
      <c r="D5615" s="2" t="str">
        <f t="shared" si="86"/>
        <v>Error?</v>
      </c>
    </row>
    <row r="5616" spans="1:4" x14ac:dyDescent="0.2">
      <c r="A5616" s="10">
        <v>5555</v>
      </c>
      <c r="B5616" s="1832"/>
      <c r="D5616" s="2" t="str">
        <f t="shared" si="86"/>
        <v>OK</v>
      </c>
    </row>
    <row r="5617" spans="1:5" x14ac:dyDescent="0.2">
      <c r="A5617" s="5">
        <v>5556</v>
      </c>
      <c r="B5617" s="1832">
        <f>'Revenues 9-14'!F153</f>
        <v>72314</v>
      </c>
      <c r="D5617" s="2" t="str">
        <f t="shared" si="86"/>
        <v>Error?</v>
      </c>
    </row>
    <row r="5618" spans="1:5" x14ac:dyDescent="0.2">
      <c r="A5618" s="5">
        <v>5557</v>
      </c>
      <c r="B5618" s="1832">
        <f>'Revenues 9-14'!F155</f>
        <v>346014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346014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346014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582889</v>
      </c>
      <c r="C5720" s="2" t="s">
        <v>569</v>
      </c>
      <c r="D5720" s="2" t="str">
        <f t="shared" si="88"/>
        <v>Error?</v>
      </c>
    </row>
    <row r="5721" spans="1:4" x14ac:dyDescent="0.2">
      <c r="A5721" s="5">
        <v>5660</v>
      </c>
      <c r="B5721" s="1832">
        <f>'Revenues 9-14'!G5</f>
        <v>122164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127045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249209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45000</v>
      </c>
      <c r="C5730" s="2" t="s">
        <v>569</v>
      </c>
      <c r="D5730" s="2" t="str">
        <f t="shared" si="88"/>
        <v>Error?</v>
      </c>
    </row>
    <row r="5731" spans="1:4" x14ac:dyDescent="0.2">
      <c r="A5731" s="5">
        <v>5670</v>
      </c>
      <c r="B5731" s="1832">
        <f>'Revenues 9-14'!G65</f>
        <v>1715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1715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295924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43981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43981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8372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8372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52353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34209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34209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2022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2022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36231</v>
      </c>
      <c r="C6023" s="2" t="s">
        <v>569</v>
      </c>
      <c r="D6023" s="2" t="str">
        <f t="shared" si="93"/>
        <v>Error?</v>
      </c>
    </row>
    <row r="6024" spans="1:5" x14ac:dyDescent="0.2">
      <c r="A6024" s="5">
        <v>5963</v>
      </c>
      <c r="B6024" s="1832">
        <f>'Revenues 9-14'!G109</f>
        <v>295924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52353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36231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58896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44003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988.5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1951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1951</v>
      </c>
      <c r="D6215" s="2" t="str">
        <f t="shared" si="96"/>
        <v>Error?</v>
      </c>
      <c r="E6215" s="2" t="s">
        <v>189</v>
      </c>
    </row>
    <row r="6216" spans="1:5" x14ac:dyDescent="0.2">
      <c r="A6216">
        <v>6155</v>
      </c>
      <c r="B6216" s="1832">
        <f>'Assets-Liab 5-6'!J41</f>
        <v>1951</v>
      </c>
      <c r="D6216" s="2" t="str">
        <f t="shared" si="96"/>
        <v>Error?</v>
      </c>
      <c r="E6216" s="2" t="s">
        <v>189</v>
      </c>
    </row>
    <row r="6217" spans="1:5" x14ac:dyDescent="0.2">
      <c r="A6217">
        <v>6156</v>
      </c>
      <c r="B6217" s="1832">
        <f>'Assets-Liab 5-6'!J4</f>
        <v>1951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65280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65280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65280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63708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63708</v>
      </c>
      <c r="D6229" s="2" t="str">
        <f t="shared" si="96"/>
        <v>Error?</v>
      </c>
      <c r="E6229" s="2" t="s">
        <v>189</v>
      </c>
    </row>
    <row r="6230" spans="1:5" x14ac:dyDescent="0.2">
      <c r="A6230">
        <v>6169</v>
      </c>
      <c r="B6230" s="1832">
        <f>'Acct Summary 7-8'!J20</f>
        <v>1572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29021</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1572</v>
      </c>
      <c r="D6263" s="2" t="str">
        <f t="shared" si="96"/>
        <v>Error?</v>
      </c>
      <c r="E6263" s="2" t="s">
        <v>189</v>
      </c>
    </row>
    <row r="6264" spans="1:5" x14ac:dyDescent="0.2">
      <c r="A6264">
        <v>6203</v>
      </c>
      <c r="B6264" s="1832">
        <f>'Acct Summary 7-8'!J79</f>
        <v>379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1951</v>
      </c>
      <c r="D6266" s="2" t="str">
        <f t="shared" si="96"/>
        <v>Error?</v>
      </c>
      <c r="E6266" s="2" t="s">
        <v>189</v>
      </c>
    </row>
    <row r="6267" spans="1:5" x14ac:dyDescent="0.2">
      <c r="A6267">
        <v>6206</v>
      </c>
      <c r="B6267" s="1832">
        <f>'Acct Summary 7-8'!C82</f>
        <v>398837</v>
      </c>
      <c r="D6267" s="2" t="str">
        <f t="shared" si="96"/>
        <v>Error?</v>
      </c>
      <c r="E6267" s="2" t="s">
        <v>189</v>
      </c>
    </row>
    <row r="6268" spans="1:5" x14ac:dyDescent="0.2">
      <c r="A6268">
        <v>6207</v>
      </c>
      <c r="B6268" s="1832">
        <f>'Acct Summary 7-8'!D82</f>
        <v>96111</v>
      </c>
      <c r="D6268" s="2" t="str">
        <f t="shared" si="96"/>
        <v>Error?</v>
      </c>
      <c r="E6268" s="2" t="s">
        <v>189</v>
      </c>
    </row>
    <row r="6269" spans="1:5" x14ac:dyDescent="0.2">
      <c r="A6269">
        <v>6208</v>
      </c>
      <c r="B6269" s="1832">
        <f>'Acct Summary 7-8'!E82</f>
        <v>3064</v>
      </c>
      <c r="D6269" s="2" t="str">
        <f t="shared" si="96"/>
        <v>Error?</v>
      </c>
      <c r="E6269" s="2" t="s">
        <v>189</v>
      </c>
    </row>
    <row r="6270" spans="1:5" x14ac:dyDescent="0.2">
      <c r="A6270">
        <v>6209</v>
      </c>
      <c r="B6270" s="1832">
        <f>'Acct Summary 7-8'!F82</f>
        <v>158276</v>
      </c>
      <c r="D6270" s="2" t="str">
        <f t="shared" si="96"/>
        <v>Error?</v>
      </c>
      <c r="E6270" s="2" t="s">
        <v>189</v>
      </c>
    </row>
    <row r="6271" spans="1:5" x14ac:dyDescent="0.2">
      <c r="A6271">
        <v>6210</v>
      </c>
      <c r="B6271" s="1832">
        <f>'Acct Summary 7-8'!G82</f>
        <v>-1539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-32647</v>
      </c>
      <c r="D6273" s="2" t="str">
        <f t="shared" si="97"/>
        <v>Error?</v>
      </c>
      <c r="E6273" s="2" t="s">
        <v>189</v>
      </c>
    </row>
    <row r="6274" spans="1:5" x14ac:dyDescent="0.2">
      <c r="A6274">
        <v>6213</v>
      </c>
      <c r="B6274" s="1832">
        <f>'Acct Summary 7-8'!J82</f>
        <v>1572</v>
      </c>
      <c r="D6274" s="2" t="str">
        <f t="shared" si="97"/>
        <v>Error?</v>
      </c>
      <c r="E6274" s="2" t="s">
        <v>189</v>
      </c>
    </row>
    <row r="6275" spans="1:5" x14ac:dyDescent="0.2">
      <c r="A6275">
        <v>6214</v>
      </c>
      <c r="B6275" s="1832">
        <f>'Acct Summary 7-8'!K82</f>
        <v>36231</v>
      </c>
      <c r="D6275" s="2" t="str">
        <f t="shared" si="97"/>
        <v>Error?</v>
      </c>
      <c r="E6275" s="2" t="s">
        <v>189</v>
      </c>
    </row>
    <row r="6276" spans="1:5" x14ac:dyDescent="0.2">
      <c r="A6276">
        <v>6215</v>
      </c>
      <c r="B6276" s="1832">
        <f>'Acct Summary 7-8'!C83</f>
        <v>9.8774252921841846E-2</v>
      </c>
      <c r="D6276" s="2" t="str">
        <f t="shared" si="97"/>
        <v>Error?</v>
      </c>
      <c r="E6276" s="2" t="s">
        <v>189</v>
      </c>
    </row>
    <row r="6277" spans="1:5" x14ac:dyDescent="0.2">
      <c r="A6277">
        <v>6216</v>
      </c>
      <c r="B6277" s="1832">
        <f>'Acct Summary 7-8'!D83</f>
        <v>0.12947991674356885</v>
      </c>
      <c r="D6277" s="2" t="str">
        <f t="shared" si="97"/>
        <v>Error?</v>
      </c>
      <c r="E6277" s="2" t="s">
        <v>189</v>
      </c>
    </row>
    <row r="6278" spans="1:5" x14ac:dyDescent="0.2">
      <c r="A6278">
        <v>6217</v>
      </c>
      <c r="B6278" s="1832">
        <f>'Acct Summary 7-8'!E83</f>
        <v>3.9797376282634106E-2</v>
      </c>
      <c r="D6278" s="2" t="str">
        <f t="shared" si="97"/>
        <v>Error?</v>
      </c>
      <c r="E6278" s="2" t="s">
        <v>189</v>
      </c>
    </row>
    <row r="6279" spans="1:5" x14ac:dyDescent="0.2">
      <c r="A6279">
        <v>6218</v>
      </c>
      <c r="B6279" s="1832">
        <f>'Acct Summary 7-8'!F83</f>
        <v>0.19170911028881851</v>
      </c>
      <c r="D6279" s="2" t="str">
        <f t="shared" si="97"/>
        <v>Error?</v>
      </c>
      <c r="E6279" s="2" t="s">
        <v>189</v>
      </c>
    </row>
    <row r="6280" spans="1:5" x14ac:dyDescent="0.2">
      <c r="A6280">
        <v>6219</v>
      </c>
      <c r="B6280" s="1832">
        <f>'Acct Summary 7-8'!G83</f>
        <v>-4.6388955871714495E-2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-5.9362714970961419E-2</v>
      </c>
      <c r="D6282" s="2" t="str">
        <f t="shared" si="97"/>
        <v>Error?</v>
      </c>
      <c r="E6282" s="2" t="s">
        <v>189</v>
      </c>
    </row>
    <row r="6283" spans="1:5" x14ac:dyDescent="0.2">
      <c r="A6283">
        <v>6222</v>
      </c>
      <c r="B6283" s="1832">
        <f>'Acct Summary 7-8'!J83</f>
        <v>0.80574064582265503</v>
      </c>
      <c r="D6283" s="2" t="str">
        <f t="shared" si="97"/>
        <v>Error?</v>
      </c>
      <c r="E6283" s="2" t="s">
        <v>189</v>
      </c>
    </row>
    <row r="6284" spans="1:5" x14ac:dyDescent="0.2">
      <c r="A6284">
        <v>6223</v>
      </c>
      <c r="B6284" s="1832">
        <f>'Acct Summary 7-8'!K83</f>
        <v>0.27342912773761185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172580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64511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64511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769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769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65280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558</v>
      </c>
      <c r="D7016" s="2" t="str">
        <f t="shared" si="108"/>
        <v>Error?</v>
      </c>
    </row>
    <row r="7017" spans="1:4" x14ac:dyDescent="0.2">
      <c r="A7017">
        <v>6956</v>
      </c>
      <c r="B7017" s="1832">
        <f>'Expenditures 15-22'!K111</f>
        <v>558</v>
      </c>
      <c r="D7017" s="2" t="str">
        <f t="shared" si="108"/>
        <v>Error?</v>
      </c>
    </row>
    <row r="7018" spans="1:4" x14ac:dyDescent="0.2">
      <c r="A7018">
        <v>6957</v>
      </c>
      <c r="B7018" s="1832">
        <f>'Expenditures 15-22'!H112</f>
        <v>558</v>
      </c>
      <c r="D7018" s="2" t="str">
        <f t="shared" si="108"/>
        <v>Error?</v>
      </c>
    </row>
    <row r="7019" spans="1:4" x14ac:dyDescent="0.2">
      <c r="A7019">
        <v>6958</v>
      </c>
      <c r="B7019" s="1832">
        <f>'Expenditures 15-22'!K112</f>
        <v>558</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63708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65280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63708</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63708</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63708</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63708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63708</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63708</v>
      </c>
      <c r="D7224" s="2" t="str">
        <f t="shared" si="111"/>
        <v>Error?</v>
      </c>
    </row>
    <row r="7225" spans="1:4" x14ac:dyDescent="0.2">
      <c r="A7225">
        <v>7164</v>
      </c>
      <c r="B7225" s="1832">
        <f>'Expenditures 15-22'!K343</f>
        <v>1572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278032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394965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85000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2312580</v>
      </c>
      <c r="D7817" s="2" t="str">
        <f t="shared" si="128"/>
        <v>Error?</v>
      </c>
      <c r="E7817" s="4" t="s">
        <v>1963</v>
      </c>
    </row>
    <row r="7818" spans="1:5" x14ac:dyDescent="0.2">
      <c r="A7818">
        <v>7757</v>
      </c>
      <c r="B7818" s="1832">
        <f>'PCTC-OEPP 27-28'!F172</f>
        <v>346336</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9434992</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922060</v>
      </c>
      <c r="D7834" s="2" t="str">
        <f t="shared" si="129"/>
        <v>Error?</v>
      </c>
      <c r="E7834" s="4" t="s">
        <v>1995</v>
      </c>
    </row>
    <row r="7835" spans="1:5" x14ac:dyDescent="0.2">
      <c r="A7835">
        <v>7774</v>
      </c>
      <c r="B7835" s="1832">
        <f>'PCTC-OEPP 27-28'!F78</f>
        <v>8512932</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8611.9696509863425</v>
      </c>
      <c r="D7837" s="2" t="str">
        <f t="shared" si="129"/>
        <v>Error?</v>
      </c>
      <c r="E7837" s="4" t="s">
        <v>1995</v>
      </c>
    </row>
    <row r="7838" spans="1:5" x14ac:dyDescent="0.2">
      <c r="A7838">
        <v>7777</v>
      </c>
      <c r="B7838" s="1832">
        <f>'PCTC-OEPP 27-28'!F96</f>
        <v>13975</v>
      </c>
      <c r="D7838" s="2" t="str">
        <f t="shared" si="129"/>
        <v>Error?</v>
      </c>
      <c r="E7838" s="4" t="s">
        <v>1995</v>
      </c>
    </row>
    <row r="7839" spans="1:5" x14ac:dyDescent="0.2">
      <c r="A7839">
        <v>7778</v>
      </c>
      <c r="B7839" s="1832">
        <f>'PCTC-OEPP 27-28'!F102</f>
        <v>1695</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357572</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346014</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750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13763</v>
      </c>
      <c r="D7857" s="2" t="str">
        <f t="shared" si="129"/>
        <v>Error?</v>
      </c>
      <c r="E7857" s="4" t="s">
        <v>1995</v>
      </c>
    </row>
    <row r="7858" spans="1:5" x14ac:dyDescent="0.2">
      <c r="A7858">
        <v>7797</v>
      </c>
      <c r="B7858" s="1832">
        <f>'PCTC-OEPP 27-28'!F126</f>
        <v>320510</v>
      </c>
      <c r="D7858" s="2" t="str">
        <f t="shared" si="129"/>
        <v>Error?</v>
      </c>
      <c r="E7858" s="4" t="s">
        <v>1995</v>
      </c>
    </row>
    <row r="7859" spans="1:5" x14ac:dyDescent="0.2">
      <c r="A7859">
        <v>7798</v>
      </c>
      <c r="B7859" s="1832">
        <f>'PCTC-OEPP 27-28'!F127</f>
        <v>395106</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44874</v>
      </c>
      <c r="D7861" s="2" t="str">
        <f t="shared" si="129"/>
        <v>Error?</v>
      </c>
      <c r="E7861" s="4" t="s">
        <v>1995</v>
      </c>
    </row>
    <row r="7862" spans="1:5" x14ac:dyDescent="0.2">
      <c r="A7862">
        <v>7801</v>
      </c>
      <c r="B7862" s="1832">
        <f>'PCTC-OEPP 27-28'!F130</f>
        <v>13599</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38275</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11291</v>
      </c>
      <c r="D7874" s="2" t="str">
        <f t="shared" si="129"/>
        <v>Error?</v>
      </c>
      <c r="E7874" s="4" t="s">
        <v>1995</v>
      </c>
    </row>
    <row r="7875" spans="1:5" x14ac:dyDescent="0.2">
      <c r="A7875">
        <v>7814</v>
      </c>
      <c r="B7875" s="1832">
        <f>'PCTC-OEPP 27-28'!F170</f>
        <v>65594</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2135173</v>
      </c>
      <c r="D7877" s="2" t="str">
        <f t="shared" si="129"/>
        <v>Error?</v>
      </c>
      <c r="E7877" s="4" t="s">
        <v>1995</v>
      </c>
    </row>
    <row r="7878" spans="1:5" x14ac:dyDescent="0.2">
      <c r="A7878">
        <v>7817</v>
      </c>
      <c r="B7878" s="1832">
        <f>'PCTC-OEPP 27-28'!F176</f>
        <v>6377759</v>
      </c>
      <c r="D7878" s="2" t="str">
        <f t="shared" si="129"/>
        <v>Error?</v>
      </c>
      <c r="E7878" s="4" t="s">
        <v>1995</v>
      </c>
    </row>
    <row r="7879" spans="1:5" x14ac:dyDescent="0.2">
      <c r="A7879">
        <v>7818</v>
      </c>
      <c r="B7879" s="1832">
        <f>'PCTC-OEPP 27-28'!F178</f>
        <v>6655791</v>
      </c>
      <c r="D7879" s="2" t="str">
        <f t="shared" si="129"/>
        <v>Error?</v>
      </c>
      <c r="E7879" s="4" t="s">
        <v>1995</v>
      </c>
    </row>
    <row r="7880" spans="1:5" x14ac:dyDescent="0.2">
      <c r="A7880">
        <v>7819</v>
      </c>
      <c r="B7880" s="1832">
        <f>'PCTC-OEPP 27-28'!F180</f>
        <v>6733.2230652503795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L31" sqref="L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1181</v>
      </c>
      <c r="B2" s="2533"/>
      <c r="C2" s="2533"/>
      <c r="D2" s="2533"/>
      <c r="E2" s="2533"/>
      <c r="F2" s="2533"/>
      <c r="G2" s="2533"/>
      <c r="H2" s="2533"/>
      <c r="I2" s="2533"/>
      <c r="J2" s="2533"/>
      <c r="K2" s="2533"/>
      <c r="L2" s="2533"/>
    </row>
    <row r="3" spans="1:29" ht="13.5" customHeight="1" x14ac:dyDescent="0.2">
      <c r="A3" s="2519" t="s">
        <v>1180</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3" t="str">
        <f>COVER!A17</f>
        <v xml:space="preserve"> Salem SD 111</v>
      </c>
      <c r="B7" s="2514"/>
      <c r="C7" s="2514"/>
      <c r="D7" s="2552"/>
      <c r="E7" s="2553">
        <f>COVER!A13</f>
        <v>13058111002</v>
      </c>
      <c r="F7" s="2554"/>
      <c r="G7" s="2520" t="str">
        <f>COVER!T23</f>
        <v>066-005231</v>
      </c>
      <c r="H7" s="2521"/>
      <c r="I7" s="2521"/>
      <c r="J7" s="2521"/>
      <c r="K7" s="2521"/>
      <c r="L7" s="252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3"/>
      <c r="B9" s="2524"/>
      <c r="C9" s="2524"/>
      <c r="D9" s="2524"/>
      <c r="E9" s="2524"/>
      <c r="F9" s="2525"/>
      <c r="G9" s="2526" t="str">
        <f>COVER!T13</f>
        <v>Leymone Hardcastle &amp; Co., Ltd.</v>
      </c>
      <c r="H9" s="2527"/>
      <c r="I9" s="2527"/>
      <c r="J9" s="2527"/>
      <c r="K9" s="2527"/>
      <c r="L9" s="2528"/>
    </row>
    <row r="10" spans="1:29" ht="13.5" customHeight="1" x14ac:dyDescent="0.2">
      <c r="A10" s="2510" t="str">
        <f>COVER!A38</f>
        <v>Dr. Leslie Foppe</v>
      </c>
      <c r="B10" s="2511"/>
      <c r="C10" s="2511"/>
      <c r="D10" s="2511"/>
      <c r="E10" s="2511"/>
      <c r="F10" s="2512"/>
      <c r="G10" s="2526" t="str">
        <f>COVER!T17</f>
        <v>200 West Main Street</v>
      </c>
      <c r="H10" s="2539"/>
      <c r="I10" s="2539"/>
      <c r="J10" s="2539"/>
      <c r="K10" s="2539"/>
      <c r="L10" s="2540"/>
    </row>
    <row r="11" spans="1:29" ht="13.5" customHeight="1" x14ac:dyDescent="0.2">
      <c r="A11" s="963" t="s">
        <v>1502</v>
      </c>
      <c r="B11" s="964"/>
      <c r="C11" s="965"/>
      <c r="D11" s="970"/>
      <c r="E11" s="965"/>
      <c r="F11" s="969"/>
      <c r="G11" s="2526" t="str">
        <f>COVER!T19</f>
        <v>Salem</v>
      </c>
      <c r="H11" s="2539"/>
      <c r="I11" s="2539"/>
      <c r="J11" s="2539"/>
      <c r="K11" s="2539"/>
      <c r="L11" s="2540"/>
    </row>
    <row r="12" spans="1:29" ht="13.5" customHeight="1" x14ac:dyDescent="0.2">
      <c r="A12" s="2544" t="s">
        <v>1501</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1503</v>
      </c>
      <c r="H13" s="2535"/>
      <c r="I13" s="2547" t="str">
        <f>COVER!T25</f>
        <v>sara@hardcastlecpa.com</v>
      </c>
      <c r="J13" s="2548"/>
      <c r="K13" s="2548"/>
      <c r="L13" s="2549"/>
    </row>
    <row r="14" spans="1:29" ht="13.5" customHeight="1" x14ac:dyDescent="0.2">
      <c r="A14" s="2526" t="str">
        <f>COVER!A19</f>
        <v>1300 Bobcat Circle</v>
      </c>
      <c r="B14" s="2539"/>
      <c r="C14" s="2539"/>
      <c r="D14" s="2539"/>
      <c r="E14" s="2539"/>
      <c r="F14" s="2540"/>
      <c r="G14" s="974" t="s">
        <v>1175</v>
      </c>
      <c r="H14" s="972"/>
      <c r="I14" s="972"/>
      <c r="J14" s="972"/>
      <c r="K14" s="972"/>
      <c r="L14" s="973"/>
    </row>
    <row r="15" spans="1:29" ht="13.5" customHeight="1" x14ac:dyDescent="0.2">
      <c r="A15" s="2526" t="str">
        <f>COVER!A21</f>
        <v xml:space="preserve">Salem </v>
      </c>
      <c r="B15" s="2539"/>
      <c r="C15" s="2539"/>
      <c r="D15" s="2539"/>
      <c r="E15" s="2539"/>
      <c r="F15" s="2540"/>
      <c r="G15" s="2536" t="str">
        <f>COVER!T15</f>
        <v>Sara E. Hanks</v>
      </c>
      <c r="H15" s="2537"/>
      <c r="I15" s="2537"/>
      <c r="J15" s="2537"/>
      <c r="K15" s="2537"/>
      <c r="L15" s="2538"/>
    </row>
    <row r="16" spans="1:29" ht="12.2" customHeight="1" x14ac:dyDescent="0.2">
      <c r="A16" s="2516">
        <f>COVER!A25</f>
        <v>62881</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74" t="s">
        <v>1174</v>
      </c>
      <c r="H17" s="972"/>
      <c r="I17" s="972"/>
      <c r="J17" s="972"/>
      <c r="K17" s="976" t="s">
        <v>1173</v>
      </c>
      <c r="L17" s="969"/>
      <c r="M17" s="962"/>
    </row>
    <row r="18" spans="1:13" ht="12.2" customHeight="1" x14ac:dyDescent="0.2">
      <c r="A18" s="2510"/>
      <c r="B18" s="2511"/>
      <c r="C18" s="2511"/>
      <c r="D18" s="2511"/>
      <c r="E18" s="2511"/>
      <c r="F18" s="2512"/>
      <c r="G18" s="2513" t="str">
        <f>COVER!T21</f>
        <v>618-548-1002</v>
      </c>
      <c r="H18" s="2514"/>
      <c r="I18" s="2514"/>
      <c r="J18" s="2514"/>
      <c r="K18" s="2513" t="str">
        <f>COVER!X21</f>
        <v>618-548-1018</v>
      </c>
      <c r="L18" s="251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5" right="0.27" top="0.68" bottom="1" header="0.26" footer="0.5"/>
  <pageSetup firstPageNumber="74" fitToHeight="0" orientation="portrait" useFirstPageNumber="1" r:id="rId1"/>
  <headerFooter alignWithMargins="0">
    <oddFooter>&amp;C&amp;12-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43"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Salem SD 111</v>
      </c>
      <c r="B1" s="2556"/>
      <c r="C1" s="2556"/>
      <c r="D1" s="2556"/>
    </row>
    <row r="2" spans="1:11" s="991" customFormat="1" ht="12.75" x14ac:dyDescent="0.2">
      <c r="A2" s="2557">
        <f>'Single Audit Cover'!E7</f>
        <v>13058111002</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M33" sqref="M3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Salem SD 111</v>
      </c>
      <c r="B1" s="2560"/>
      <c r="C1" s="2560"/>
      <c r="D1" s="2560"/>
      <c r="E1" s="2560"/>
    </row>
    <row r="2" spans="1:5" x14ac:dyDescent="0.2">
      <c r="A2" s="2561">
        <f>'Single Audit Cover'!E7</f>
        <v>13058111002</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914888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44003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-65594</v>
      </c>
    </row>
    <row r="19" spans="1:4" ht="13.5" thickBot="1" x14ac:dyDescent="0.25">
      <c r="A19" s="1041" t="s">
        <v>1224</v>
      </c>
      <c r="D19" s="1042">
        <f>SUM(D10:D17)</f>
        <v>893297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893297</v>
      </c>
    </row>
    <row r="33" spans="1:4" x14ac:dyDescent="0.2">
      <c r="D33" s="1045"/>
    </row>
    <row r="34" spans="1:4" x14ac:dyDescent="0.2">
      <c r="A34" s="295" t="s">
        <v>1221</v>
      </c>
    </row>
    <row r="35" spans="1:4" x14ac:dyDescent="0.2">
      <c r="A35" s="295" t="s">
        <v>1220</v>
      </c>
      <c r="B35" s="1034" t="s">
        <v>1219</v>
      </c>
      <c r="D35" s="1046">
        <v>893297</v>
      </c>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893297</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O34" sqref="O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Salem SD 111</v>
      </c>
      <c r="C1" s="2564"/>
      <c r="D1" s="2564"/>
      <c r="E1" s="2564"/>
      <c r="F1" s="2564"/>
      <c r="G1" s="2564"/>
      <c r="H1" s="2564"/>
      <c r="I1" s="2564"/>
      <c r="J1" s="2564"/>
      <c r="K1" s="2564"/>
      <c r="L1" s="2564"/>
      <c r="M1" s="2564"/>
    </row>
    <row r="2" spans="2:14" ht="15" x14ac:dyDescent="0.2">
      <c r="B2" s="2565">
        <f>'Single Audit Cover'!E7</f>
        <v>13058111002</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2094</v>
      </c>
      <c r="C11" s="1821"/>
      <c r="D11" s="1822"/>
      <c r="E11" s="1823"/>
      <c r="F11" s="1823"/>
      <c r="G11" s="1823"/>
      <c r="H11" s="1823"/>
      <c r="I11" s="1823"/>
      <c r="J11" s="1823"/>
      <c r="K11" s="1823"/>
      <c r="L11" s="1823"/>
      <c r="M11" s="1823"/>
    </row>
    <row r="12" spans="2:14" ht="20.100000000000001" customHeight="1" x14ac:dyDescent="0.2">
      <c r="B12" s="1113" t="s">
        <v>2095</v>
      </c>
      <c r="C12" s="1824"/>
      <c r="D12" s="1825"/>
      <c r="E12" s="1826"/>
      <c r="F12" s="1826"/>
      <c r="G12" s="1826"/>
      <c r="H12" s="1826"/>
      <c r="I12" s="1826"/>
      <c r="J12" s="1826"/>
      <c r="K12" s="1826"/>
      <c r="L12" s="1823"/>
      <c r="M12" s="1826"/>
    </row>
    <row r="13" spans="2:14" ht="20.100000000000001" customHeight="1" x14ac:dyDescent="0.2">
      <c r="B13" s="1113" t="s">
        <v>2096</v>
      </c>
      <c r="C13" s="1824">
        <v>84.01</v>
      </c>
      <c r="D13" s="1825" t="s">
        <v>2107</v>
      </c>
      <c r="E13" s="1826">
        <v>282360</v>
      </c>
      <c r="F13" s="1826">
        <v>138349</v>
      </c>
      <c r="G13" s="1826">
        <v>380521</v>
      </c>
      <c r="H13" s="1826"/>
      <c r="I13" s="1826">
        <v>40188</v>
      </c>
      <c r="J13" s="1826"/>
      <c r="K13" s="1826"/>
      <c r="L13" s="1823">
        <f t="shared" ref="L13:L25" si="0">+G13+I13+K13</f>
        <v>420709</v>
      </c>
      <c r="M13" s="1826">
        <v>450962</v>
      </c>
    </row>
    <row r="14" spans="2:14" ht="20.100000000000001" customHeight="1" x14ac:dyDescent="0.2">
      <c r="B14" s="1113" t="s">
        <v>2096</v>
      </c>
      <c r="C14" s="1824">
        <v>84.01</v>
      </c>
      <c r="D14" s="1825" t="s">
        <v>2108</v>
      </c>
      <c r="E14" s="1826"/>
      <c r="F14" s="1826">
        <v>256757</v>
      </c>
      <c r="G14" s="1826"/>
      <c r="H14" s="1826"/>
      <c r="I14" s="1826">
        <v>374927</v>
      </c>
      <c r="J14" s="1826"/>
      <c r="K14" s="1826">
        <v>46272</v>
      </c>
      <c r="L14" s="1823">
        <f t="shared" si="0"/>
        <v>421199</v>
      </c>
      <c r="M14" s="1826">
        <v>450029</v>
      </c>
    </row>
    <row r="15" spans="2:14" ht="20.100000000000001" customHeight="1" x14ac:dyDescent="0.2">
      <c r="B15" s="1113" t="s">
        <v>2097</v>
      </c>
      <c r="C15" s="1824">
        <v>84.367000000000004</v>
      </c>
      <c r="D15" s="1825" t="s">
        <v>2109</v>
      </c>
      <c r="E15" s="1826">
        <v>22118</v>
      </c>
      <c r="F15" s="1826">
        <v>13203</v>
      </c>
      <c r="G15" s="1826">
        <v>30453</v>
      </c>
      <c r="H15" s="1826"/>
      <c r="I15" s="1826">
        <v>4868</v>
      </c>
      <c r="J15" s="1826"/>
      <c r="K15" s="1826"/>
      <c r="L15" s="1823">
        <f t="shared" si="0"/>
        <v>35321</v>
      </c>
      <c r="M15" s="1826">
        <v>43649</v>
      </c>
    </row>
    <row r="16" spans="2:14" ht="20.100000000000001" customHeight="1" x14ac:dyDescent="0.2">
      <c r="B16" s="1113" t="s">
        <v>2097</v>
      </c>
      <c r="C16" s="1824">
        <v>84.367000000000004</v>
      </c>
      <c r="D16" s="1825" t="s">
        <v>2110</v>
      </c>
      <c r="E16" s="1826"/>
      <c r="F16" s="1826">
        <v>25072</v>
      </c>
      <c r="G16" s="1826"/>
      <c r="H16" s="1826"/>
      <c r="I16" s="1826">
        <v>34996</v>
      </c>
      <c r="J16" s="1826"/>
      <c r="K16" s="1826">
        <v>5550</v>
      </c>
      <c r="L16" s="1823">
        <f t="shared" si="0"/>
        <v>40546</v>
      </c>
      <c r="M16" s="1826">
        <v>55075</v>
      </c>
    </row>
    <row r="17" spans="2:14" ht="20.100000000000001" customHeight="1" x14ac:dyDescent="0.2">
      <c r="B17" s="1113" t="s">
        <v>2098</v>
      </c>
      <c r="C17" s="1824">
        <v>84.358000000000004</v>
      </c>
      <c r="D17" s="1825" t="s">
        <v>2111</v>
      </c>
      <c r="E17" s="1826">
        <v>17667</v>
      </c>
      <c r="F17" s="1826">
        <v>100</v>
      </c>
      <c r="G17" s="1826">
        <v>17767</v>
      </c>
      <c r="H17" s="1826"/>
      <c r="I17" s="1826"/>
      <c r="J17" s="1826"/>
      <c r="K17" s="1826"/>
      <c r="L17" s="1823">
        <f t="shared" si="0"/>
        <v>17767</v>
      </c>
      <c r="M17" s="1826">
        <v>18160</v>
      </c>
    </row>
    <row r="18" spans="2:14" ht="20.100000000000001" customHeight="1" x14ac:dyDescent="0.2">
      <c r="B18" s="1113" t="s">
        <v>2098</v>
      </c>
      <c r="C18" s="1824">
        <v>84.358000000000004</v>
      </c>
      <c r="D18" s="1825" t="s">
        <v>2112</v>
      </c>
      <c r="E18" s="1826"/>
      <c r="F18" s="1826">
        <v>13663</v>
      </c>
      <c r="G18" s="1826"/>
      <c r="H18" s="1826"/>
      <c r="I18" s="1826">
        <v>18100</v>
      </c>
      <c r="J18" s="1826"/>
      <c r="K18" s="1826"/>
      <c r="L18" s="1823">
        <f t="shared" si="0"/>
        <v>18100</v>
      </c>
      <c r="M18" s="1826">
        <v>18735</v>
      </c>
    </row>
    <row r="19" spans="2:14" ht="20.100000000000001" customHeight="1" x14ac:dyDescent="0.2">
      <c r="B19" s="1113" t="s">
        <v>2099</v>
      </c>
      <c r="C19" s="1824"/>
      <c r="D19" s="1825"/>
      <c r="E19" s="1826"/>
      <c r="F19" s="1826"/>
      <c r="G19" s="1826"/>
      <c r="H19" s="1826"/>
      <c r="I19" s="1826"/>
      <c r="J19" s="1826"/>
      <c r="K19" s="1826"/>
      <c r="L19" s="1823"/>
      <c r="M19" s="1826"/>
    </row>
    <row r="20" spans="2:14" ht="20.100000000000001" customHeight="1" x14ac:dyDescent="0.2">
      <c r="B20" s="1113" t="s">
        <v>2100</v>
      </c>
      <c r="C20" s="1824"/>
      <c r="D20" s="1825"/>
      <c r="E20" s="1826"/>
      <c r="F20" s="1826"/>
      <c r="G20" s="1826"/>
      <c r="H20" s="1826"/>
      <c r="I20" s="1826"/>
      <c r="J20" s="1826"/>
      <c r="K20" s="1826"/>
      <c r="L20" s="1823"/>
      <c r="M20" s="1826"/>
    </row>
    <row r="21" spans="2:14" ht="20.100000000000001" customHeight="1" x14ac:dyDescent="0.2">
      <c r="B21" s="1113" t="s">
        <v>2101</v>
      </c>
      <c r="C21" s="1824">
        <v>84.173000000000002</v>
      </c>
      <c r="D21" s="1825" t="s">
        <v>2113</v>
      </c>
      <c r="E21" s="1826">
        <v>14620</v>
      </c>
      <c r="F21" s="1826">
        <v>10443</v>
      </c>
      <c r="G21" s="1826">
        <v>22096</v>
      </c>
      <c r="H21" s="1826"/>
      <c r="I21" s="1826">
        <v>2967</v>
      </c>
      <c r="J21" s="1826"/>
      <c r="K21" s="1826"/>
      <c r="L21" s="1823">
        <f t="shared" si="0"/>
        <v>25063</v>
      </c>
      <c r="M21" s="1826" t="s">
        <v>2141</v>
      </c>
    </row>
    <row r="22" spans="2:14" ht="20.100000000000001" customHeight="1" x14ac:dyDescent="0.2">
      <c r="B22" s="1113" t="s">
        <v>2101</v>
      </c>
      <c r="C22" s="1824">
        <v>84.173000000000002</v>
      </c>
      <c r="D22" s="1825" t="s">
        <v>2114</v>
      </c>
      <c r="E22" s="1826"/>
      <c r="F22" s="1826">
        <v>8909</v>
      </c>
      <c r="G22" s="1826"/>
      <c r="H22" s="1826"/>
      <c r="I22" s="1826">
        <v>11137</v>
      </c>
      <c r="J22" s="1826"/>
      <c r="K22" s="1826"/>
      <c r="L22" s="1823">
        <f t="shared" si="0"/>
        <v>11137</v>
      </c>
      <c r="M22" s="1826" t="s">
        <v>2141</v>
      </c>
    </row>
    <row r="23" spans="2:14" ht="20.100000000000001" customHeight="1" x14ac:dyDescent="0.2">
      <c r="B23" s="1113" t="s">
        <v>2102</v>
      </c>
      <c r="C23" s="1824">
        <v>84.027000000000001</v>
      </c>
      <c r="D23" s="1825" t="s">
        <v>2115</v>
      </c>
      <c r="E23" s="1826">
        <v>21959</v>
      </c>
      <c r="F23" s="1826">
        <v>14475</v>
      </c>
      <c r="G23" s="1826">
        <v>29555</v>
      </c>
      <c r="H23" s="1826"/>
      <c r="I23" s="1826">
        <v>6879</v>
      </c>
      <c r="J23" s="1826"/>
      <c r="K23" s="1826"/>
      <c r="L23" s="1823">
        <f t="shared" si="0"/>
        <v>36434</v>
      </c>
      <c r="M23" s="1826" t="s">
        <v>2141</v>
      </c>
    </row>
    <row r="24" spans="2:14" ht="20.100000000000001" customHeight="1" x14ac:dyDescent="0.2">
      <c r="B24" s="1113" t="s">
        <v>2102</v>
      </c>
      <c r="C24" s="1824">
        <v>84.027000000000001</v>
      </c>
      <c r="D24" s="1825" t="s">
        <v>2116</v>
      </c>
      <c r="E24" s="1826"/>
      <c r="F24" s="1826">
        <v>22923</v>
      </c>
      <c r="G24" s="1826"/>
      <c r="H24" s="1826"/>
      <c r="I24" s="1826">
        <v>27529</v>
      </c>
      <c r="J24" s="1826"/>
      <c r="K24" s="1826"/>
      <c r="L24" s="1823">
        <f t="shared" si="0"/>
        <v>27529</v>
      </c>
      <c r="M24" s="1826" t="s">
        <v>2141</v>
      </c>
    </row>
    <row r="25" spans="2:14" ht="20.100000000000001" customHeight="1" x14ac:dyDescent="0.2">
      <c r="B25" s="1113" t="s">
        <v>2103</v>
      </c>
      <c r="C25" s="1824" t="s">
        <v>2106</v>
      </c>
      <c r="D25" s="1825" t="s">
        <v>2117</v>
      </c>
      <c r="E25" s="1826"/>
      <c r="F25" s="1826">
        <v>13599</v>
      </c>
      <c r="G25" s="1826"/>
      <c r="H25" s="1826"/>
      <c r="I25" s="1826">
        <v>13599</v>
      </c>
      <c r="J25" s="1826"/>
      <c r="K25" s="1826"/>
      <c r="L25" s="1823">
        <f t="shared" si="0"/>
        <v>13599</v>
      </c>
      <c r="M25" s="1826" t="s">
        <v>2141</v>
      </c>
    </row>
    <row r="26" spans="2:14" ht="20.100000000000001" customHeight="1" x14ac:dyDescent="0.2">
      <c r="B26" s="1113" t="s">
        <v>2104</v>
      </c>
      <c r="C26" s="1824"/>
      <c r="D26" s="1825"/>
      <c r="E26" s="1826"/>
      <c r="F26" s="1826">
        <f>SUM(F21:F25)</f>
        <v>70349</v>
      </c>
      <c r="G26" s="1826"/>
      <c r="H26" s="1826"/>
      <c r="I26" s="1826">
        <f>SUM(I21:I25)</f>
        <v>62111</v>
      </c>
      <c r="J26" s="1826"/>
      <c r="K26" s="1826"/>
      <c r="L26" s="1823"/>
      <c r="M26" s="1826"/>
    </row>
    <row r="27" spans="2:14" ht="20.100000000000001" customHeight="1" x14ac:dyDescent="0.2">
      <c r="B27" s="1113" t="s">
        <v>2105</v>
      </c>
      <c r="C27" s="1824"/>
      <c r="D27" s="1825"/>
      <c r="E27" s="1826"/>
      <c r="F27" s="1826">
        <f>F26+F13+F14+F15+F16+F17+F18</f>
        <v>517493</v>
      </c>
      <c r="G27" s="1826"/>
      <c r="H27" s="1826"/>
      <c r="I27" s="1826">
        <f>SUM(I13+I14+I15+I16+I17+I18+I26)</f>
        <v>535190</v>
      </c>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75" orientation="landscape" useFirstPageNumber="1"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38B2-AE56-481A-9F0D-9193DC09E0C6}">
  <dimension ref="B1:N152"/>
  <sheetViews>
    <sheetView showGridLines="0" zoomScaleNormal="100" workbookViewId="0">
      <selection activeCell="O34" sqref="O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Salem SD 111</v>
      </c>
      <c r="C1" s="2564"/>
      <c r="D1" s="2564"/>
      <c r="E1" s="2564"/>
      <c r="F1" s="2564"/>
      <c r="G1" s="2564"/>
      <c r="H1" s="2564"/>
      <c r="I1" s="2564"/>
      <c r="J1" s="2564"/>
      <c r="K1" s="2564"/>
      <c r="L1" s="2564"/>
      <c r="M1" s="2564"/>
    </row>
    <row r="2" spans="2:14" ht="15" x14ac:dyDescent="0.2">
      <c r="B2" s="2565">
        <f>'Single Audit Cover'!E7</f>
        <v>13058111002</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2118</v>
      </c>
      <c r="C11" s="1821"/>
      <c r="D11" s="1822"/>
      <c r="E11" s="1823"/>
      <c r="F11" s="1823"/>
      <c r="G11" s="1823"/>
      <c r="H11" s="1823"/>
      <c r="I11" s="1823"/>
      <c r="J11" s="1823"/>
      <c r="K11" s="1823"/>
      <c r="L11" s="1823"/>
      <c r="M11" s="1823"/>
    </row>
    <row r="12" spans="2:14" ht="20.100000000000001" customHeight="1" x14ac:dyDescent="0.2">
      <c r="B12" s="1113" t="s">
        <v>2095</v>
      </c>
      <c r="C12" s="1824"/>
      <c r="D12" s="1825"/>
      <c r="E12" s="1826"/>
      <c r="F12" s="1826"/>
      <c r="G12" s="1826"/>
      <c r="H12" s="1826"/>
      <c r="I12" s="1826"/>
      <c r="J12" s="1826"/>
      <c r="K12" s="1826"/>
      <c r="L12" s="1823"/>
      <c r="M12" s="1826"/>
    </row>
    <row r="13" spans="2:14" ht="20.100000000000001" customHeight="1" x14ac:dyDescent="0.2">
      <c r="B13" s="1113" t="s">
        <v>2119</v>
      </c>
      <c r="C13" s="1824"/>
      <c r="D13" s="1825"/>
      <c r="E13" s="1826"/>
      <c r="F13" s="1826"/>
      <c r="G13" s="1826"/>
      <c r="H13" s="1826"/>
      <c r="I13" s="1826"/>
      <c r="J13" s="1826"/>
      <c r="K13" s="1826"/>
      <c r="L13" s="1823"/>
      <c r="M13" s="1826"/>
    </row>
    <row r="14" spans="2:14" ht="20.100000000000001" customHeight="1" x14ac:dyDescent="0.2">
      <c r="B14" s="1113" t="s">
        <v>2120</v>
      </c>
      <c r="C14" s="1824">
        <v>10.555</v>
      </c>
      <c r="D14" s="1825" t="s">
        <v>2128</v>
      </c>
      <c r="E14" s="1826">
        <v>164374</v>
      </c>
      <c r="F14" s="1826">
        <v>66346</v>
      </c>
      <c r="G14" s="1826">
        <v>164374</v>
      </c>
      <c r="H14" s="1826"/>
      <c r="I14" s="1826">
        <v>66346</v>
      </c>
      <c r="J14" s="1826"/>
      <c r="K14" s="1826"/>
      <c r="L14" s="1823">
        <f t="shared" ref="L14:L25" si="0">+G14+I14+K14</f>
        <v>230720</v>
      </c>
      <c r="M14" s="1826" t="s">
        <v>2141</v>
      </c>
    </row>
    <row r="15" spans="2:14" ht="20.100000000000001" customHeight="1" x14ac:dyDescent="0.2">
      <c r="B15" s="1113" t="s">
        <v>2120</v>
      </c>
      <c r="C15" s="1824">
        <v>10.555</v>
      </c>
      <c r="D15" s="1825" t="s">
        <v>2129</v>
      </c>
      <c r="E15" s="1826"/>
      <c r="F15" s="1826">
        <v>122530</v>
      </c>
      <c r="G15" s="1826"/>
      <c r="H15" s="1826"/>
      <c r="I15" s="1826">
        <v>122530</v>
      </c>
      <c r="J15" s="1826"/>
      <c r="K15" s="1826"/>
      <c r="L15" s="1823">
        <f t="shared" si="0"/>
        <v>122530</v>
      </c>
      <c r="M15" s="1826" t="s">
        <v>2141</v>
      </c>
    </row>
    <row r="16" spans="2:14" ht="20.100000000000001" customHeight="1" x14ac:dyDescent="0.2">
      <c r="B16" s="1113" t="s">
        <v>2124</v>
      </c>
      <c r="C16" s="1824">
        <v>10.555</v>
      </c>
      <c r="D16" s="1825" t="s">
        <v>2129</v>
      </c>
      <c r="E16" s="1826"/>
      <c r="F16" s="1826">
        <v>41988</v>
      </c>
      <c r="G16" s="1826"/>
      <c r="H16" s="1826"/>
      <c r="I16" s="1826">
        <v>41988</v>
      </c>
      <c r="J16" s="1826"/>
      <c r="K16" s="1826"/>
      <c r="L16" s="1823">
        <f t="shared" si="0"/>
        <v>41988</v>
      </c>
      <c r="M16" s="1826" t="s">
        <v>2141</v>
      </c>
    </row>
    <row r="17" spans="2:14" ht="20.100000000000001" customHeight="1" x14ac:dyDescent="0.2">
      <c r="B17" s="1113" t="s">
        <v>2123</v>
      </c>
      <c r="C17" s="1824"/>
      <c r="D17" s="1825"/>
      <c r="E17" s="1826"/>
      <c r="F17" s="1826">
        <f>SUM(F14:F16)</f>
        <v>230864</v>
      </c>
      <c r="G17" s="1826"/>
      <c r="H17" s="1826"/>
      <c r="I17" s="1826">
        <f>SUM(I14:I16)</f>
        <v>230864</v>
      </c>
      <c r="J17" s="1826"/>
      <c r="K17" s="1826"/>
      <c r="L17" s="1823"/>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2125</v>
      </c>
      <c r="C19" s="1824">
        <v>10.553000000000001</v>
      </c>
      <c r="D19" s="1825" t="s">
        <v>2130</v>
      </c>
      <c r="E19" s="1826">
        <v>56145</v>
      </c>
      <c r="F19" s="1826">
        <v>24196</v>
      </c>
      <c r="G19" s="1826">
        <v>56145</v>
      </c>
      <c r="H19" s="1826"/>
      <c r="I19" s="1826">
        <v>24196</v>
      </c>
      <c r="J19" s="1826"/>
      <c r="K19" s="1826"/>
      <c r="L19" s="1823">
        <f t="shared" si="0"/>
        <v>80341</v>
      </c>
      <c r="M19" s="1826" t="s">
        <v>2141</v>
      </c>
    </row>
    <row r="20" spans="2:14" ht="20.100000000000001" customHeight="1" x14ac:dyDescent="0.2">
      <c r="B20" s="1113" t="s">
        <v>2125</v>
      </c>
      <c r="C20" s="1824">
        <v>10.553000000000001</v>
      </c>
      <c r="D20" s="1825" t="s">
        <v>2131</v>
      </c>
      <c r="E20" s="1826"/>
      <c r="F20" s="1826">
        <v>43811</v>
      </c>
      <c r="G20" s="1826"/>
      <c r="H20" s="1826"/>
      <c r="I20" s="1826">
        <v>43811</v>
      </c>
      <c r="J20" s="1826"/>
      <c r="K20" s="1826"/>
      <c r="L20" s="1823">
        <f t="shared" si="0"/>
        <v>43811</v>
      </c>
      <c r="M20" s="1826" t="s">
        <v>2141</v>
      </c>
    </row>
    <row r="21" spans="2:14" ht="20.100000000000001" customHeight="1" x14ac:dyDescent="0.2">
      <c r="B21" s="1113" t="s">
        <v>2126</v>
      </c>
      <c r="C21" s="1824">
        <v>10.553000000000001</v>
      </c>
      <c r="D21" s="1825" t="s">
        <v>2131</v>
      </c>
      <c r="E21" s="1826"/>
      <c r="F21" s="1826">
        <v>21639</v>
      </c>
      <c r="G21" s="1826"/>
      <c r="H21" s="1826"/>
      <c r="I21" s="1826">
        <v>21639</v>
      </c>
      <c r="J21" s="1826"/>
      <c r="K21" s="1826"/>
      <c r="L21" s="1823">
        <f t="shared" si="0"/>
        <v>21639</v>
      </c>
      <c r="M21" s="1826" t="s">
        <v>2141</v>
      </c>
    </row>
    <row r="22" spans="2:14" ht="20.100000000000001" customHeight="1" x14ac:dyDescent="0.2">
      <c r="B22" s="1113" t="s">
        <v>2127</v>
      </c>
      <c r="C22" s="1824"/>
      <c r="D22" s="1825"/>
      <c r="E22" s="1826"/>
      <c r="F22" s="1826">
        <f>SUM(F19:F21)</f>
        <v>89646</v>
      </c>
      <c r="G22" s="1826"/>
      <c r="H22" s="1826"/>
      <c r="I22" s="1826">
        <f>SUM(I19:I21)</f>
        <v>89646</v>
      </c>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2121</v>
      </c>
      <c r="C24" s="1824">
        <v>10.555</v>
      </c>
      <c r="D24" s="1825"/>
      <c r="E24" s="1826">
        <v>27627</v>
      </c>
      <c r="F24" s="1826"/>
      <c r="G24" s="1826">
        <v>27627</v>
      </c>
      <c r="H24" s="1826"/>
      <c r="I24" s="1826"/>
      <c r="J24" s="1826"/>
      <c r="K24" s="1826"/>
      <c r="L24" s="1823">
        <f t="shared" si="0"/>
        <v>27627</v>
      </c>
      <c r="M24" s="1826" t="s">
        <v>2141</v>
      </c>
    </row>
    <row r="25" spans="2:14" ht="20.100000000000001" customHeight="1" x14ac:dyDescent="0.2">
      <c r="B25" s="1113" t="s">
        <v>2121</v>
      </c>
      <c r="C25" s="1824">
        <v>10.555</v>
      </c>
      <c r="D25" s="1825"/>
      <c r="E25" s="1826"/>
      <c r="F25" s="1826">
        <v>32261</v>
      </c>
      <c r="G25" s="1826"/>
      <c r="H25" s="1826"/>
      <c r="I25" s="1826">
        <v>32261</v>
      </c>
      <c r="J25" s="1826"/>
      <c r="K25" s="1826"/>
      <c r="L25" s="1823">
        <f t="shared" si="0"/>
        <v>32261</v>
      </c>
      <c r="M25" s="1826" t="s">
        <v>2141</v>
      </c>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2122</v>
      </c>
      <c r="C27" s="1824"/>
      <c r="D27" s="1825"/>
      <c r="E27" s="1826"/>
      <c r="F27" s="1826">
        <f>SUM(F17+F22+F25)</f>
        <v>352771</v>
      </c>
      <c r="G27" s="1826"/>
      <c r="H27" s="1826"/>
      <c r="I27" s="1826">
        <f>SUM(I17+I22+I25)</f>
        <v>352771</v>
      </c>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76" orientation="landscape" useFirstPageNumber="1" r:id="rId1"/>
  <headerFooter alignWithMargins="0">
    <oddFooter>&amp;C&amp;14-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H54" sqref="H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1158</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6" t="s">
        <v>1616</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36161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1312</v>
      </c>
      <c r="B70" s="2169"/>
      <c r="C70" s="2169"/>
      <c r="D70" s="2169"/>
      <c r="E70" s="2170"/>
      <c r="F70" s="2170"/>
      <c r="G70" s="2170"/>
      <c r="H70" s="2170"/>
      <c r="I70" s="217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1309</v>
      </c>
      <c r="B83" s="2171"/>
      <c r="C83" s="2171"/>
      <c r="D83" s="217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2" t="s">
        <v>1986</v>
      </c>
      <c r="B85" s="2182"/>
      <c r="C85" s="2182"/>
      <c r="D85" s="218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4" t="s">
        <v>1986</v>
      </c>
      <c r="B88" s="2185"/>
      <c r="C88" s="2185"/>
      <c r="D88" s="218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2049</v>
      </c>
      <c r="D114" s="216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1319</v>
      </c>
      <c r="D117" s="2164"/>
      <c r="E117" s="2165"/>
      <c r="F117" s="2165"/>
      <c r="G117" s="2165"/>
      <c r="H117" s="216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2" footer="0.4"/>
  <pageSetup scale="85" firstPageNumber="65" orientation="portrait" useFirstPageNumber="1" r:id="rId1"/>
  <headerFooter differentOddEven="1" alignWithMargins="0">
    <oddHeader xml:space="preserve">&amp;CSalem Elementary School District 111 </oddHeader>
    <oddFooter>&amp;C&amp;14- &amp;P -</oddFooter>
    <evenHeader xml:space="preserve">&amp;CSalem Elementary School District 111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1CAC-A753-4AFB-AD87-671AE016C352}">
  <dimension ref="B1:N152"/>
  <sheetViews>
    <sheetView showGridLines="0" zoomScaleNormal="100" workbookViewId="0">
      <selection activeCell="O34" sqref="O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Salem SD 111</v>
      </c>
      <c r="C1" s="2564"/>
      <c r="D1" s="2564"/>
      <c r="E1" s="2564"/>
      <c r="F1" s="2564"/>
      <c r="G1" s="2564"/>
      <c r="H1" s="2564"/>
      <c r="I1" s="2564"/>
      <c r="J1" s="2564"/>
      <c r="K1" s="2564"/>
      <c r="L1" s="2564"/>
      <c r="M1" s="2564"/>
    </row>
    <row r="2" spans="2:14" ht="15" x14ac:dyDescent="0.2">
      <c r="B2" s="2565">
        <f>'Single Audit Cover'!E7</f>
        <v>13058111002</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2132</v>
      </c>
      <c r="C11" s="1821"/>
      <c r="D11" s="1822"/>
      <c r="E11" s="1823"/>
      <c r="F11" s="1823"/>
      <c r="G11" s="1823"/>
      <c r="H11" s="1823"/>
      <c r="I11" s="1823"/>
      <c r="J11" s="1823"/>
      <c r="K11" s="1823"/>
      <c r="L11" s="1823"/>
      <c r="M11" s="1823"/>
    </row>
    <row r="12" spans="2:14" ht="20.100000000000001" customHeight="1" x14ac:dyDescent="0.2">
      <c r="B12" s="1113" t="s">
        <v>2133</v>
      </c>
      <c r="C12" s="1824"/>
      <c r="D12" s="1825"/>
      <c r="E12" s="1826"/>
      <c r="F12" s="1826"/>
      <c r="G12" s="1826"/>
      <c r="H12" s="1826"/>
      <c r="I12" s="1826"/>
      <c r="J12" s="1826"/>
      <c r="K12" s="1826"/>
      <c r="L12" s="1823"/>
      <c r="M12" s="1826"/>
    </row>
    <row r="13" spans="2:14" ht="20.100000000000001" customHeight="1" x14ac:dyDescent="0.2">
      <c r="B13" s="1113" t="s">
        <v>2134</v>
      </c>
      <c r="C13" s="1824">
        <v>10.555</v>
      </c>
      <c r="D13" s="1825"/>
      <c r="E13" s="1826">
        <v>7691</v>
      </c>
      <c r="F13" s="1826"/>
      <c r="G13" s="1826">
        <v>7691</v>
      </c>
      <c r="H13" s="1826"/>
      <c r="I13" s="1826"/>
      <c r="J13" s="1826"/>
      <c r="K13" s="1826"/>
      <c r="L13" s="1823">
        <f t="shared" ref="L13:L21" si="0">+G13+I13+K13</f>
        <v>7691</v>
      </c>
      <c r="M13" s="1826" t="s">
        <v>2141</v>
      </c>
    </row>
    <row r="14" spans="2:14" ht="20.100000000000001" customHeight="1" x14ac:dyDescent="0.2">
      <c r="B14" s="1113" t="s">
        <v>2134</v>
      </c>
      <c r="C14" s="1824">
        <v>10.555</v>
      </c>
      <c r="D14" s="1825"/>
      <c r="E14" s="1826"/>
      <c r="F14" s="1826">
        <v>11742</v>
      </c>
      <c r="G14" s="1826"/>
      <c r="H14" s="1826"/>
      <c r="I14" s="1826">
        <v>11742</v>
      </c>
      <c r="J14" s="1826"/>
      <c r="K14" s="1826"/>
      <c r="L14" s="1823">
        <f t="shared" si="0"/>
        <v>11742</v>
      </c>
      <c r="M14" s="1826" t="s">
        <v>2141</v>
      </c>
    </row>
    <row r="15" spans="2:14" ht="20.100000000000001" customHeight="1" x14ac:dyDescent="0.2">
      <c r="B15" s="1113" t="s">
        <v>2135</v>
      </c>
      <c r="C15" s="1824"/>
      <c r="D15" s="1825"/>
      <c r="E15" s="1826"/>
      <c r="F15" s="1826">
        <f>F14</f>
        <v>11742</v>
      </c>
      <c r="G15" s="1826"/>
      <c r="H15" s="1826"/>
      <c r="I15" s="1826">
        <f>I14</f>
        <v>11742</v>
      </c>
      <c r="J15" s="1826"/>
      <c r="K15" s="1826"/>
      <c r="L15" s="1823"/>
      <c r="M15" s="1826"/>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t="s">
        <v>2136</v>
      </c>
      <c r="C17" s="1824"/>
      <c r="D17" s="1825"/>
      <c r="E17" s="1826"/>
      <c r="F17" s="1826">
        <f>' SEFA (2)'!F27+' SEFA (3)'!F15</f>
        <v>364513</v>
      </c>
      <c r="G17" s="1826"/>
      <c r="H17" s="1826"/>
      <c r="I17" s="1826">
        <f>' SEFA (2)'!I27+' SEFA (3)'!I15</f>
        <v>364513</v>
      </c>
      <c r="J17" s="1826"/>
      <c r="K17" s="1826"/>
      <c r="L17" s="1823"/>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2137</v>
      </c>
      <c r="C19" s="1824"/>
      <c r="D19" s="1825"/>
      <c r="E19" s="1826"/>
      <c r="F19" s="1826"/>
      <c r="G19" s="1826"/>
      <c r="H19" s="1826"/>
      <c r="I19" s="1826"/>
      <c r="J19" s="1826"/>
      <c r="K19" s="1826"/>
      <c r="L19" s="1823"/>
      <c r="M19" s="1826"/>
    </row>
    <row r="20" spans="2:14" ht="20.100000000000001" customHeight="1" x14ac:dyDescent="0.2">
      <c r="B20" s="1113" t="s">
        <v>2138</v>
      </c>
      <c r="C20" s="1824">
        <v>93.778000000000006</v>
      </c>
      <c r="D20" s="1825"/>
      <c r="E20" s="1826">
        <v>12774</v>
      </c>
      <c r="F20" s="1826"/>
      <c r="G20" s="1826">
        <v>12774</v>
      </c>
      <c r="H20" s="1826"/>
      <c r="I20" s="1826"/>
      <c r="J20" s="1826"/>
      <c r="K20" s="1826"/>
      <c r="L20" s="1823">
        <f t="shared" si="0"/>
        <v>12774</v>
      </c>
      <c r="M20" s="1826" t="s">
        <v>2141</v>
      </c>
    </row>
    <row r="21" spans="2:14" ht="20.100000000000001" customHeight="1" x14ac:dyDescent="0.2">
      <c r="B21" s="1113" t="s">
        <v>2138</v>
      </c>
      <c r="C21" s="1824">
        <v>93.778000000000006</v>
      </c>
      <c r="D21" s="1825"/>
      <c r="E21" s="1826"/>
      <c r="F21" s="1826">
        <v>11291</v>
      </c>
      <c r="G21" s="1826"/>
      <c r="H21" s="1826"/>
      <c r="I21" s="1826">
        <v>11291</v>
      </c>
      <c r="J21" s="1826"/>
      <c r="K21" s="1826"/>
      <c r="L21" s="1823">
        <f t="shared" si="0"/>
        <v>11291</v>
      </c>
      <c r="M21" s="1826" t="s">
        <v>2141</v>
      </c>
    </row>
    <row r="22" spans="2:14" ht="20.100000000000001" customHeight="1" x14ac:dyDescent="0.2">
      <c r="B22" s="1113" t="s">
        <v>2139</v>
      </c>
      <c r="C22" s="1824"/>
      <c r="D22" s="1825"/>
      <c r="E22" s="1826"/>
      <c r="F22" s="1826">
        <f>F21</f>
        <v>11291</v>
      </c>
      <c r="G22" s="1826"/>
      <c r="H22" s="1826"/>
      <c r="I22" s="1826">
        <f>I21</f>
        <v>11291</v>
      </c>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2140</v>
      </c>
      <c r="C24" s="1824"/>
      <c r="D24" s="1825"/>
      <c r="E24" s="1826"/>
      <c r="F24" s="1826">
        <f>' SEFA'!F27+' SEFA (3)'!F17+' SEFA (3)'!F22</f>
        <v>893297</v>
      </c>
      <c r="G24" s="1826"/>
      <c r="H24" s="1826"/>
      <c r="I24" s="1826">
        <f>' SEFA'!I27+' SEFA (3)'!I17+' SEFA (3)'!I22</f>
        <v>910994</v>
      </c>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77" orientation="landscape" useFirstPageNumber="1" r:id="rId1"/>
  <headerFooter alignWithMargins="0">
    <oddFooter>&amp;C&amp;14-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O34" sqref="O3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Salem SD 111</v>
      </c>
      <c r="B1" s="2569"/>
      <c r="C1" s="2569"/>
      <c r="D1" s="2569"/>
      <c r="E1" s="2569"/>
      <c r="F1" s="2569"/>
    </row>
    <row r="2" spans="1:7" ht="13.5" customHeight="1" x14ac:dyDescent="0.2">
      <c r="A2" s="2565">
        <f>'Single Audit Cover'!E7</f>
        <v>13058111002</v>
      </c>
      <c r="B2" s="2565"/>
      <c r="C2" s="2565"/>
      <c r="D2" s="2565"/>
      <c r="E2" s="2565"/>
      <c r="F2" s="2565"/>
      <c r="G2" s="1051"/>
    </row>
    <row r="3" spans="1:7" ht="15.75" customHeight="1" x14ac:dyDescent="0.2">
      <c r="A3" s="2570" t="s">
        <v>1260</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52" t="s">
        <v>1705</v>
      </c>
      <c r="C6" s="295"/>
      <c r="D6" s="295"/>
    </row>
    <row r="7" spans="1:7" ht="60.95" customHeight="1" x14ac:dyDescent="0.2">
      <c r="A7" s="2568" t="s">
        <v>2143</v>
      </c>
      <c r="B7" s="2568"/>
      <c r="C7" s="2568"/>
      <c r="D7" s="2568"/>
      <c r="E7" s="2568"/>
      <c r="F7" s="256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1" customHeight="1" x14ac:dyDescent="0.2">
      <c r="A13" s="2568" t="s">
        <v>2142</v>
      </c>
      <c r="B13" s="2568"/>
      <c r="C13" s="2568"/>
      <c r="D13" s="2568"/>
      <c r="E13" s="2568"/>
      <c r="F13" s="2568"/>
    </row>
    <row r="14" spans="1:7" ht="9.75" customHeight="1" x14ac:dyDescent="0.2">
      <c r="C14" s="1036"/>
      <c r="D14" s="1036"/>
    </row>
    <row r="15" spans="1:7" ht="13.5" customHeight="1" x14ac:dyDescent="0.2">
      <c r="C15" s="1476" t="s">
        <v>1259</v>
      </c>
      <c r="D15" s="2573" t="s">
        <v>1258</v>
      </c>
      <c r="E15" s="2573"/>
      <c r="F15" s="2573"/>
    </row>
    <row r="16" spans="1:7" ht="13.5" customHeight="1" x14ac:dyDescent="0.2">
      <c r="A16" s="1058"/>
      <c r="B16" s="1052" t="s">
        <v>1257</v>
      </c>
      <c r="C16" s="1476" t="s">
        <v>1256</v>
      </c>
      <c r="D16" s="2574" t="s">
        <v>1571</v>
      </c>
      <c r="E16" s="2574"/>
      <c r="F16" s="2574"/>
    </row>
    <row r="17" spans="1:6" ht="20.45" customHeight="1" x14ac:dyDescent="0.2">
      <c r="A17" s="1059"/>
      <c r="B17" s="1060" t="s">
        <v>2141</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2144</v>
      </c>
      <c r="B32" s="2576"/>
      <c r="C32" s="2576"/>
      <c r="D32" s="2576"/>
      <c r="E32" s="2576"/>
      <c r="F32" s="2576"/>
    </row>
    <row r="33" spans="1:6" ht="13.5" customHeight="1" x14ac:dyDescent="0.2">
      <c r="A33" s="306" t="s">
        <v>1417</v>
      </c>
      <c r="B33" s="306"/>
      <c r="C33" s="1064">
        <v>44003</v>
      </c>
      <c r="D33" s="1526"/>
      <c r="E33" s="1062"/>
    </row>
    <row r="34" spans="1:6" ht="13.5" customHeight="1" x14ac:dyDescent="0.2">
      <c r="A34" s="306" t="s">
        <v>1808</v>
      </c>
      <c r="B34" s="306"/>
      <c r="C34" s="1065">
        <v>0</v>
      </c>
      <c r="D34" s="1526" t="s">
        <v>1572</v>
      </c>
      <c r="E34" s="2577">
        <f>+C33+C34</f>
        <v>44003</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99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5" t="s">
        <v>1534</v>
      </c>
      <c r="C51" s="2575"/>
      <c r="D51" s="2575"/>
    </row>
    <row r="52" spans="1:5" ht="14.25" customHeight="1" x14ac:dyDescent="0.2">
      <c r="A52" s="1077"/>
      <c r="B52" s="2575"/>
      <c r="C52" s="2575"/>
      <c r="D52" s="257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7" right="0.7" top="0.75" bottom="0.75" header="0.3" footer="0.3"/>
  <pageSetup scale="82" firstPageNumber="78" orientation="portrait" useFirstPageNumber="1" r:id="rId1"/>
  <headerFooter alignWithMargins="0">
    <oddFooter>&amp;C&amp;12-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0" zoomScale="110" zoomScaleNormal="110" workbookViewId="0">
      <selection activeCell="O34" sqref="O3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Salem SD 111</v>
      </c>
      <c r="C1" s="2585"/>
      <c r="D1" s="2585"/>
      <c r="E1" s="2585"/>
      <c r="F1" s="2585"/>
      <c r="G1" s="2585"/>
      <c r="H1" s="2585"/>
      <c r="I1" s="2585"/>
      <c r="J1" s="1178"/>
    </row>
    <row r="2" spans="2:10" s="295" customFormat="1" ht="12.75" customHeight="1" x14ac:dyDescent="0.2">
      <c r="B2" s="2586">
        <f>'Single Audit Cover'!E7</f>
        <v>13058111002</v>
      </c>
      <c r="C2" s="2587"/>
      <c r="D2" s="2587"/>
      <c r="E2" s="2587"/>
      <c r="F2" s="2587"/>
      <c r="G2" s="2587"/>
      <c r="H2" s="2587"/>
      <c r="I2" s="2587"/>
      <c r="J2" s="1178"/>
    </row>
    <row r="3" spans="2:10" s="295" customFormat="1" ht="12.75" customHeight="1" x14ac:dyDescent="0.2">
      <c r="B3" s="2588" t="s">
        <v>1274</v>
      </c>
      <c r="C3" s="2589"/>
      <c r="D3" s="2589"/>
      <c r="E3" s="2589"/>
      <c r="F3" s="2589"/>
      <c r="G3" s="2589"/>
      <c r="H3" s="2589"/>
      <c r="I3" s="2589"/>
      <c r="J3" s="1179"/>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8" t="s">
        <v>1273</v>
      </c>
      <c r="C7" s="2589"/>
      <c r="D7" s="2589"/>
      <c r="E7" s="2589"/>
      <c r="F7" s="2589"/>
      <c r="G7" s="2589"/>
      <c r="H7" s="2589"/>
      <c r="I7" s="258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0" t="s">
        <v>2081</v>
      </c>
      <c r="D11" s="259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2048</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1" t="s">
        <v>2160</v>
      </c>
      <c r="E29" s="2591"/>
      <c r="F29" s="2591"/>
      <c r="G29" s="2591"/>
      <c r="H29" s="2591"/>
      <c r="I29" s="259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2048</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2" t="s">
        <v>1725</v>
      </c>
      <c r="D37" s="2593"/>
      <c r="E37" s="2593"/>
      <c r="F37" s="2594"/>
      <c r="G37" s="2592" t="s">
        <v>1575</v>
      </c>
      <c r="H37" s="2593"/>
      <c r="I37" s="2594"/>
    </row>
    <row r="38" spans="2:9" ht="16.5" customHeight="1" x14ac:dyDescent="0.2">
      <c r="B38" s="1200">
        <v>84.01</v>
      </c>
      <c r="C38" s="2580" t="s">
        <v>2145</v>
      </c>
      <c r="D38" s="2581"/>
      <c r="E38" s="2581"/>
      <c r="F38" s="2582"/>
      <c r="G38" s="2595">
        <v>415115</v>
      </c>
      <c r="H38" s="2596"/>
      <c r="I38" s="2597"/>
    </row>
    <row r="39" spans="2:9" ht="16.5" customHeight="1" x14ac:dyDescent="0.2">
      <c r="B39" s="1200" t="s">
        <v>2146</v>
      </c>
      <c r="C39" s="2580" t="s">
        <v>2147</v>
      </c>
      <c r="D39" s="2581"/>
      <c r="E39" s="2581"/>
      <c r="F39" s="2582"/>
      <c r="G39" s="2583">
        <v>364513</v>
      </c>
      <c r="H39" s="2583"/>
      <c r="I39" s="2583"/>
    </row>
    <row r="40" spans="2:9" ht="16.5" customHeight="1" x14ac:dyDescent="0.2">
      <c r="B40" s="1200"/>
      <c r="C40" s="2580"/>
      <c r="D40" s="2581"/>
      <c r="E40" s="2581"/>
      <c r="F40" s="2582"/>
      <c r="G40" s="2583"/>
      <c r="H40" s="2583"/>
      <c r="I40" s="2583"/>
    </row>
    <row r="41" spans="2:9" ht="16.5" customHeight="1" x14ac:dyDescent="0.2">
      <c r="B41" s="1200"/>
      <c r="C41" s="2580"/>
      <c r="D41" s="2581"/>
      <c r="E41" s="2581"/>
      <c r="F41" s="2582"/>
      <c r="G41" s="2583"/>
      <c r="H41" s="2583"/>
      <c r="I41" s="2583"/>
    </row>
    <row r="42" spans="2:9" ht="16.5" customHeight="1" x14ac:dyDescent="0.2">
      <c r="B42" s="1200"/>
      <c r="C42" s="2580"/>
      <c r="D42" s="2581"/>
      <c r="E42" s="2581"/>
      <c r="F42" s="2582"/>
      <c r="G42" s="2583"/>
      <c r="H42" s="2583"/>
      <c r="I42" s="2583"/>
    </row>
    <row r="43" spans="2:9" ht="16.5" customHeight="1" x14ac:dyDescent="0.2">
      <c r="B43" s="1200"/>
      <c r="C43" s="2598" t="s">
        <v>1576</v>
      </c>
      <c r="D43" s="2599"/>
      <c r="E43" s="2599"/>
      <c r="F43" s="2600"/>
      <c r="G43" s="2601">
        <f>SUM(G38:I42)</f>
        <v>779628</v>
      </c>
      <c r="H43" s="2601"/>
      <c r="I43" s="2601"/>
    </row>
    <row r="44" spans="2:9" ht="12.75" customHeight="1" x14ac:dyDescent="0.2"/>
    <row r="45" spans="2:9" ht="12.75" customHeight="1" x14ac:dyDescent="0.2">
      <c r="B45" s="1915" t="str">
        <f>"Total Federal Expenditures for 7/1/"&amp;MID('AFR20'!E2,3,2)-1&amp;"-6/30/"&amp;MID('AFR20'!E2,3,2)</f>
        <v>Total Federal Expenditures for 7/1/19-6/30/20</v>
      </c>
      <c r="C45" s="1916"/>
      <c r="D45" s="2602">
        <v>910994</v>
      </c>
      <c r="E45" s="2603"/>
    </row>
    <row r="46" spans="2:9" ht="5.25" customHeight="1" x14ac:dyDescent="0.2">
      <c r="B46" s="1201"/>
      <c r="D46" s="1202"/>
      <c r="E46" s="1203"/>
    </row>
    <row r="47" spans="2:9" ht="12.75" customHeight="1" x14ac:dyDescent="0.2">
      <c r="B47" s="1076" t="s">
        <v>1577</v>
      </c>
      <c r="C47" s="1076"/>
      <c r="D47" s="1204">
        <f>+G43/D45</f>
        <v>0.85579926980858267</v>
      </c>
      <c r="E47" s="1205"/>
      <c r="F47" s="1206"/>
      <c r="I47" s="1207"/>
    </row>
    <row r="48" spans="2:9" ht="9.9499999999999993" customHeight="1" x14ac:dyDescent="0.2"/>
    <row r="49" spans="1:9" x14ac:dyDescent="0.2">
      <c r="B49" s="1138" t="s">
        <v>1262</v>
      </c>
      <c r="C49" s="1058"/>
      <c r="D49" s="1058"/>
      <c r="E49" s="2604">
        <v>750000</v>
      </c>
      <c r="F49" s="2604"/>
      <c r="G49" s="2604"/>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7" header="0.26" footer="0.28999999999999998"/>
  <pageSetup scale="98" firstPageNumber="79" orientation="portrait" useFirstPageNumber="1" r:id="rId1"/>
  <headerFooter alignWithMargins="0">
    <oddFooter>&amp;C&amp;12-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M33" sqref="M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Salem SD 111</v>
      </c>
      <c r="C1" s="2584"/>
      <c r="D1" s="2584"/>
      <c r="E1" s="2584"/>
      <c r="F1" s="2584"/>
      <c r="G1" s="2584"/>
      <c r="H1" s="2584"/>
      <c r="I1" s="2584"/>
      <c r="J1" s="2584"/>
      <c r="K1" s="2584"/>
      <c r="L1" s="1144"/>
      <c r="M1" s="1144"/>
    </row>
    <row r="2" spans="1:13" ht="12" customHeight="1" x14ac:dyDescent="0.2">
      <c r="B2" s="2586">
        <f>'Single Audit Cover'!E7</f>
        <v>13058111002</v>
      </c>
      <c r="C2" s="2586"/>
      <c r="D2" s="2586"/>
      <c r="E2" s="2586"/>
      <c r="F2" s="2586"/>
      <c r="G2" s="2586"/>
      <c r="H2" s="2586"/>
      <c r="I2" s="2586"/>
      <c r="J2" s="2586"/>
      <c r="K2" s="2586"/>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7"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t="s">
        <v>2082</v>
      </c>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t="s">
        <v>2083</v>
      </c>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0" t="s">
        <v>2084</v>
      </c>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t="s">
        <v>2085</v>
      </c>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6" t="s">
        <v>2086</v>
      </c>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5" t="s">
        <v>2087</v>
      </c>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5" t="s">
        <v>2088</v>
      </c>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80" orientation="portrait" useFirstPageNumber="1" r:id="rId1"/>
  <headerFooter alignWithMargins="0">
    <oddFooter>&amp;C&amp;12-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Y32" sqref="Y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Salem SD 111</v>
      </c>
      <c r="C1" s="2611"/>
      <c r="D1" s="2611"/>
      <c r="E1" s="2611"/>
      <c r="F1" s="2611"/>
      <c r="G1" s="2611"/>
      <c r="H1" s="2611"/>
      <c r="I1" s="2611"/>
      <c r="J1" s="2611"/>
      <c r="K1" s="2611"/>
      <c r="L1" s="1221"/>
    </row>
    <row r="2" spans="1:12" ht="12.75" customHeight="1" x14ac:dyDescent="0.2">
      <c r="B2" s="2612">
        <f>'Single Audit Cover'!E7</f>
        <v>13058111002</v>
      </c>
      <c r="C2" s="2612"/>
      <c r="D2" s="2612"/>
      <c r="E2" s="2612"/>
      <c r="F2" s="2612"/>
      <c r="G2" s="2612"/>
      <c r="H2" s="2612"/>
      <c r="I2" s="2612"/>
      <c r="J2" s="2612"/>
      <c r="K2" s="2612"/>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3" t="s">
        <v>1297</v>
      </c>
      <c r="C6" s="2613"/>
      <c r="D6" s="2613"/>
      <c r="E6" s="2613"/>
      <c r="F6" s="2613"/>
      <c r="G6" s="2613"/>
      <c r="H6" s="2613"/>
      <c r="I6" s="2613"/>
      <c r="J6" s="2613"/>
      <c r="K6" s="2613"/>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7" t="str">
        <f>'AFR20'!$E$2&amp;"-"</f>
        <v>2020-</v>
      </c>
      <c r="D8" s="1223">
        <v>2</v>
      </c>
      <c r="E8" s="300"/>
      <c r="F8" s="1154" t="s">
        <v>1284</v>
      </c>
      <c r="G8" s="1224" t="s">
        <v>2048</v>
      </c>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1" t="s">
        <v>2148</v>
      </c>
      <c r="G12" s="2591"/>
      <c r="H12" s="2591"/>
      <c r="I12" s="2591"/>
      <c r="J12" s="2591"/>
      <c r="K12" s="259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t="s">
        <v>2149</v>
      </c>
      <c r="E14" s="2614"/>
      <c r="F14" s="2614"/>
      <c r="H14" s="1230" t="s">
        <v>1292</v>
      </c>
      <c r="I14" s="2615" t="s">
        <v>2150</v>
      </c>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t="s">
        <v>2151</v>
      </c>
      <c r="E16" s="2615"/>
      <c r="F16" s="2615"/>
      <c r="G16" s="2615"/>
      <c r="H16" s="2615"/>
      <c r="I16" s="2615"/>
      <c r="J16" s="2615"/>
      <c r="K16" s="2615"/>
      <c r="L16" s="300"/>
    </row>
    <row r="17" spans="2:12" ht="13.5" customHeight="1" x14ac:dyDescent="0.2">
      <c r="B17" s="1156" t="s">
        <v>1290</v>
      </c>
      <c r="C17" s="1156"/>
      <c r="D17" s="2616" t="s">
        <v>2118</v>
      </c>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48.75" customHeight="1" x14ac:dyDescent="0.2">
      <c r="B20" s="2606" t="s">
        <v>2156</v>
      </c>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6" t="s">
        <v>2157</v>
      </c>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42.75" customHeight="1" x14ac:dyDescent="0.2">
      <c r="B26" s="2606" t="s">
        <v>2158</v>
      </c>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6" t="s">
        <v>2152</v>
      </c>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t="s">
        <v>2153</v>
      </c>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t="s">
        <v>2154</v>
      </c>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55.5" customHeight="1" x14ac:dyDescent="0.2">
      <c r="B38" s="2606" t="s">
        <v>2159</v>
      </c>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6" t="s">
        <v>2155</v>
      </c>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56999999999999995" header="0.26" footer="0.18"/>
  <pageSetup scale="98" firstPageNumber="81" orientation="portrait" useFirstPageNumber="1" r:id="rId1"/>
  <headerFooter alignWithMargins="0">
    <oddFooter>&amp;C&amp;12-&amp;P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4" t="str">
        <f>'Single Audit Cover'!A7</f>
        <v xml:space="preserve"> Salem SD 111</v>
      </c>
      <c r="C1" s="2584"/>
      <c r="D1" s="2584"/>
      <c r="E1" s="1240"/>
    </row>
    <row r="2" spans="2:5" s="1058" customFormat="1" ht="12.75" customHeight="1" x14ac:dyDescent="0.2">
      <c r="B2" s="2586">
        <f>'Single Audit Cover'!E7</f>
        <v>13058111002</v>
      </c>
      <c r="C2" s="2586"/>
      <c r="D2" s="2586"/>
      <c r="E2" s="1241"/>
    </row>
    <row r="3" spans="2:5" ht="12.75" customHeight="1" x14ac:dyDescent="0.2">
      <c r="B3" s="2607" t="s">
        <v>1740</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2089</v>
      </c>
      <c r="C7" s="302" t="s">
        <v>2090</v>
      </c>
      <c r="D7" s="302"/>
      <c r="E7" s="302"/>
    </row>
    <row r="8" spans="2:5" ht="13.5" customHeight="1" x14ac:dyDescent="0.2">
      <c r="B8" s="1245"/>
      <c r="C8" s="302" t="s">
        <v>2092</v>
      </c>
      <c r="D8" s="302"/>
      <c r="E8" s="302"/>
    </row>
    <row r="9" spans="2:5" ht="13.5" customHeight="1" x14ac:dyDescent="0.2">
      <c r="B9" s="1246"/>
      <c r="C9" s="301" t="s">
        <v>2091</v>
      </c>
      <c r="D9" s="301"/>
      <c r="E9" s="301"/>
    </row>
    <row r="10" spans="2:5" ht="13.5" customHeight="1" x14ac:dyDescent="0.2">
      <c r="B10" s="1245"/>
      <c r="C10" s="301"/>
      <c r="D10" s="301" t="s">
        <v>2093</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82" orientation="portrait" useFirstPageNumber="1"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37" sqref="I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104114102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1.34197E-2</v>
      </c>
      <c r="E10" s="333" t="s">
        <v>998</v>
      </c>
      <c r="F10" s="332">
        <v>2.7896000000000002E-3</v>
      </c>
      <c r="G10" s="333" t="s">
        <v>998</v>
      </c>
      <c r="H10" s="332">
        <v>2.2047999999999998E-3</v>
      </c>
      <c r="I10" s="333" t="s">
        <v>999</v>
      </c>
      <c r="J10" s="1424">
        <f>ROUND(D10+F10+H10,5)</f>
        <v>1.8409999999999999E-2</v>
      </c>
      <c r="K10" s="217"/>
      <c r="L10" s="332">
        <v>4.3150000000000003E-4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9347943</v>
      </c>
      <c r="E16" s="1547"/>
      <c r="F16" s="1546">
        <f>SUM('Acct Summary 7-8'!C17,'Acct Summary 7-8'!D17,'Acct Summary 7-8'!F17)</f>
        <v>8870925</v>
      </c>
      <c r="G16" s="1547"/>
      <c r="H16" s="1546">
        <f>SUM(D16-F16)</f>
        <v>477018</v>
      </c>
      <c r="I16" s="1548"/>
      <c r="J16" s="1546">
        <f>SUM('Acct Summary 7-8'!C81,'Acct Summary 7-8'!D81,'Acct Summary 7-8'!F81,'Acct Summary 7-8'!I81)</f>
        <v>6155712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7183873.0380000006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1898559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ageMargins left="0.5" right="0.2" top="0.84" bottom="0.77" header="0.53" footer="0.42"/>
  <pageSetup scale="90" firstPageNumber="67" orientation="portrait" useFirstPageNumber="1" r:id="rId1"/>
  <headerFooter alignWithMargins="0">
    <oddHeader xml:space="preserve">&amp;C Salem Elementary School District 111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Salem SD 111</v>
      </c>
      <c r="E7" s="368"/>
      <c r="G7" s="247"/>
      <c r="H7" s="364"/>
      <c r="I7" s="364"/>
      <c r="J7" s="364"/>
      <c r="K7" s="364"/>
      <c r="L7" s="307"/>
      <c r="M7" s="307"/>
      <c r="N7" s="307"/>
      <c r="O7" s="307"/>
      <c r="P7" s="307"/>
    </row>
    <row r="8" spans="1:18" ht="12.75" x14ac:dyDescent="0.2">
      <c r="A8" s="307"/>
      <c r="B8" s="307"/>
      <c r="C8" s="366" t="s">
        <v>1115</v>
      </c>
      <c r="D8" s="369">
        <f>COVER!A13</f>
        <v>13058111002</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6155712</v>
      </c>
      <c r="I12" s="380"/>
      <c r="J12" s="380"/>
      <c r="K12" s="1559">
        <f>TRUNC((H12/H13*100000),5)/100000</f>
        <v>0.66056052399999998</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9318922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-29021</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8870925</v>
      </c>
      <c r="I17" s="380"/>
      <c r="J17" s="389"/>
      <c r="K17" s="1559">
        <f>TRUNC((H17/H18*100000),5)/100000</f>
        <v>0.95192609179999998</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9318922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-29021</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6155712</v>
      </c>
      <c r="I24" s="394"/>
      <c r="J24" s="394"/>
      <c r="K24" s="1555">
        <f>TRUNC(((H24/H25*100000)/100000),2)</f>
        <v>249.81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24641.458330000001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1629229.5251499999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1898559</v>
      </c>
      <c r="I32" s="392"/>
      <c r="J32" s="392"/>
      <c r="K32" s="1555">
        <f>TRUNC(100-((((H32/H33*100))*100)/100),2)</f>
        <v>73.569999999999993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7183873.0380000006</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5" footer="0.32"/>
  <pageSetup scale="85" firstPageNumber="68" orientation="landscape" useFirstPageNumber="1" r:id="rId3"/>
  <headerFooter alignWithMargins="0">
    <oddHeader xml:space="preserve">&amp;C Salem Elementary School District 111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6"/>
      <c r="D3" s="1307"/>
      <c r="E3" s="1307"/>
      <c r="F3" s="1307"/>
      <c r="G3" s="1307"/>
      <c r="H3" s="1307"/>
      <c r="I3" s="1307"/>
      <c r="J3" s="1307"/>
      <c r="K3" s="1307"/>
      <c r="L3" s="1307"/>
      <c r="M3" s="1308"/>
      <c r="N3" s="1309"/>
    </row>
    <row r="4" spans="1:14" ht="13.5" customHeight="1" x14ac:dyDescent="0.2">
      <c r="A4" s="427" t="s">
        <v>1632</v>
      </c>
      <c r="B4" s="428"/>
      <c r="C4" s="1572">
        <v>4037864</v>
      </c>
      <c r="D4" s="1573">
        <v>742285</v>
      </c>
      <c r="E4" s="1573">
        <v>76990</v>
      </c>
      <c r="F4" s="1573">
        <v>825605</v>
      </c>
      <c r="G4" s="1573">
        <v>33176</v>
      </c>
      <c r="H4" s="1573">
        <v>0</v>
      </c>
      <c r="I4" s="1573">
        <v>549958</v>
      </c>
      <c r="J4" s="1574">
        <v>1951</v>
      </c>
      <c r="K4" s="1573">
        <v>132506</v>
      </c>
      <c r="L4" s="1573">
        <v>107583</v>
      </c>
      <c r="M4" s="1575"/>
      <c r="N4" s="1576"/>
    </row>
    <row r="5" spans="1:14" x14ac:dyDescent="0.2">
      <c r="A5" s="427" t="s">
        <v>985</v>
      </c>
      <c r="B5" s="429">
        <v>120</v>
      </c>
      <c r="C5" s="1572"/>
      <c r="D5" s="1573"/>
      <c r="E5" s="1573"/>
      <c r="F5" s="1573"/>
      <c r="G5" s="1573"/>
      <c r="H5" s="1573"/>
      <c r="I5" s="1573"/>
      <c r="J5" s="1574"/>
      <c r="K5" s="1577"/>
      <c r="L5" s="1578">
        <v>907</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4037864</v>
      </c>
      <c r="D13" s="1587">
        <f t="shared" ref="D13:L13" si="0">SUM(D4:D12)</f>
        <v>742285</v>
      </c>
      <c r="E13" s="1587">
        <f t="shared" si="0"/>
        <v>76990</v>
      </c>
      <c r="F13" s="1587">
        <f t="shared" si="0"/>
        <v>825605</v>
      </c>
      <c r="G13" s="1587">
        <f t="shared" si="0"/>
        <v>33176</v>
      </c>
      <c r="H13" s="1587">
        <f t="shared" si="0"/>
        <v>0</v>
      </c>
      <c r="I13" s="1587">
        <f t="shared" si="0"/>
        <v>549958</v>
      </c>
      <c r="J13" s="1587">
        <f t="shared" si="0"/>
        <v>1951</v>
      </c>
      <c r="K13" s="1587">
        <f t="shared" si="0"/>
        <v>132506</v>
      </c>
      <c r="L13" s="1587">
        <f t="shared" si="0"/>
        <v>108490</v>
      </c>
      <c r="M13" s="1575"/>
      <c r="N13" s="1576"/>
    </row>
    <row r="14" spans="1:14" ht="18" customHeight="1" thickTop="1" x14ac:dyDescent="0.2">
      <c r="A14" s="2213" t="s">
        <v>146</v>
      </c>
      <c r="B14" s="221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111559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9134928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499549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1223450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76990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1821569</v>
      </c>
    </row>
    <row r="23" spans="1:14" ht="13.5" customHeight="1" thickBot="1" x14ac:dyDescent="0.25">
      <c r="A23" s="1426" t="s">
        <v>638</v>
      </c>
      <c r="B23" s="1429"/>
      <c r="C23" s="1575"/>
      <c r="D23" s="1575"/>
      <c r="E23" s="1575"/>
      <c r="F23" s="1575"/>
      <c r="G23" s="1575"/>
      <c r="H23" s="1575"/>
      <c r="I23" s="1575"/>
      <c r="J23" s="1575"/>
      <c r="K23" s="1575"/>
      <c r="L23" s="1575"/>
      <c r="M23" s="1594">
        <f>SUM(M15:M22)</f>
        <v>10969486</v>
      </c>
      <c r="N23" s="1594">
        <f>SUM(N21:N22)</f>
        <v>1898559</v>
      </c>
    </row>
    <row r="24" spans="1:14" ht="18" customHeight="1" thickTop="1" x14ac:dyDescent="0.2">
      <c r="A24" s="2215" t="s">
        <v>594</v>
      </c>
      <c r="B24" s="221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108490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108490</v>
      </c>
      <c r="M34" s="1575"/>
      <c r="N34" s="1585"/>
    </row>
    <row r="35" spans="1:14" ht="18" customHeight="1" thickTop="1" x14ac:dyDescent="0.2">
      <c r="A35" s="2217" t="s">
        <v>526</v>
      </c>
      <c r="B35" s="221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1898559</v>
      </c>
    </row>
    <row r="37" spans="1:14" ht="13.5" thickBot="1" x14ac:dyDescent="0.25">
      <c r="A37" s="1426" t="s">
        <v>648</v>
      </c>
      <c r="B37" s="1429"/>
      <c r="C37" s="1582"/>
      <c r="D37" s="1582"/>
      <c r="E37" s="1582"/>
      <c r="F37" s="1582"/>
      <c r="G37" s="1582"/>
      <c r="H37" s="1582"/>
      <c r="I37" s="1582"/>
      <c r="J37" s="1582"/>
      <c r="K37" s="1582"/>
      <c r="L37" s="1585"/>
      <c r="M37" s="1575"/>
      <c r="N37" s="1594">
        <f>SUM(N36:N36)</f>
        <v>1898559</v>
      </c>
    </row>
    <row r="38" spans="1:14" s="307" customFormat="1" ht="13.5" customHeight="1" thickTop="1" x14ac:dyDescent="0.2">
      <c r="A38" s="438" t="s">
        <v>417</v>
      </c>
      <c r="B38" s="432">
        <v>714</v>
      </c>
      <c r="C38" s="1573"/>
      <c r="D38" s="1573"/>
      <c r="E38" s="1573"/>
      <c r="F38" s="1573"/>
      <c r="G38" s="1573">
        <v>11902</v>
      </c>
      <c r="H38" s="1573"/>
      <c r="I38" s="1573"/>
      <c r="J38" s="1574"/>
      <c r="K38" s="1573"/>
      <c r="L38" s="1586"/>
      <c r="M38" s="1604"/>
      <c r="N38" s="1604"/>
    </row>
    <row r="39" spans="1:14" s="307" customFormat="1" ht="13.5" customHeight="1" x14ac:dyDescent="0.2">
      <c r="A39" s="438" t="s">
        <v>339</v>
      </c>
      <c r="B39" s="432">
        <v>730</v>
      </c>
      <c r="C39" s="1573">
        <v>4037864</v>
      </c>
      <c r="D39" s="1573">
        <v>742285</v>
      </c>
      <c r="E39" s="1573">
        <v>76990</v>
      </c>
      <c r="F39" s="1573">
        <v>825605</v>
      </c>
      <c r="G39" s="1573">
        <v>21274</v>
      </c>
      <c r="H39" s="1573">
        <v>0</v>
      </c>
      <c r="I39" s="1573">
        <v>549958</v>
      </c>
      <c r="J39" s="1574">
        <v>1951</v>
      </c>
      <c r="K39" s="1573">
        <v>132506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10969486</v>
      </c>
      <c r="N40" s="1604"/>
    </row>
    <row r="41" spans="1:14" ht="13.5" customHeight="1" thickBot="1" x14ac:dyDescent="0.25">
      <c r="A41" s="1426" t="s">
        <v>650</v>
      </c>
      <c r="B41" s="1405"/>
      <c r="C41" s="1594">
        <f>(SUM(C34,C37,C38,C39))</f>
        <v>4037864</v>
      </c>
      <c r="D41" s="1594">
        <f t="shared" ref="D41:L41" si="2">SUM(D34,D37,D38:D39)</f>
        <v>742285</v>
      </c>
      <c r="E41" s="1594">
        <f t="shared" si="2"/>
        <v>76990</v>
      </c>
      <c r="F41" s="1594">
        <f t="shared" si="2"/>
        <v>825605</v>
      </c>
      <c r="G41" s="1594">
        <f t="shared" si="2"/>
        <v>33176</v>
      </c>
      <c r="H41" s="1594">
        <f t="shared" si="2"/>
        <v>0</v>
      </c>
      <c r="I41" s="1594">
        <f t="shared" si="2"/>
        <v>549958</v>
      </c>
      <c r="J41" s="1594">
        <f t="shared" si="2"/>
        <v>1951</v>
      </c>
      <c r="K41" s="1594">
        <f t="shared" si="2"/>
        <v>132506</v>
      </c>
      <c r="L41" s="1594">
        <f t="shared" si="2"/>
        <v>108490</v>
      </c>
      <c r="M41" s="1594">
        <f>SUM(M40)</f>
        <v>10969486</v>
      </c>
      <c r="N41" s="1594">
        <f>SUM(N37)</f>
        <v>1898559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8" orientation="landscape" useFirstPageNumber="1" r:id="rId1"/>
  <headerFooter differentOddEven="1" alignWithMargins="0">
    <oddHeader xml:space="preserve">&amp;C&amp;"Arial,Bold"&amp;9Salem Elementary School District 111 
STATEMENT OF ASSETS AND LIABILITIES ARISING FROM CASH TRANSACTIONS (ALL FUNDS)
AS OF JUNE 30, 2020
</oddHeader>
    <oddFooter>&amp;L&amp;11See accompanying notes to the financial statements.&amp;C&amp;14- &amp;P -</oddFooter>
    <evenHeader>&amp;C&amp;"Arial,Bold"&amp;9Salem Elementary School District 111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pane="bottomLeft" activeCell="E44" sqref="E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1165</v>
      </c>
      <c r="B3" s="2240"/>
      <c r="C3" s="1311"/>
      <c r="D3" s="1312"/>
      <c r="E3" s="1312"/>
      <c r="F3" s="1312"/>
      <c r="G3" s="1312"/>
      <c r="H3" s="1312"/>
      <c r="I3" s="1312"/>
      <c r="J3" s="1312"/>
      <c r="K3" s="1313"/>
      <c r="L3" s="446"/>
    </row>
    <row r="4" spans="1:13" ht="15.75" customHeight="1" x14ac:dyDescent="0.2">
      <c r="A4" s="1537" t="s">
        <v>1482</v>
      </c>
      <c r="B4" s="1538">
        <v>1000</v>
      </c>
      <c r="C4" s="1606">
        <f>'Revenues 9-14'!C109</f>
        <v>1845077</v>
      </c>
      <c r="D4" s="1606">
        <f>'Revenues 9-14'!D109</f>
        <v>311037</v>
      </c>
      <c r="E4" s="1606">
        <f>'Revenues 9-14'!E109</f>
        <v>176939</v>
      </c>
      <c r="F4" s="1606">
        <f>'Revenues 9-14'!F109</f>
        <v>236875</v>
      </c>
      <c r="G4" s="1606">
        <f>'Revenues 9-14'!G109</f>
        <v>295924</v>
      </c>
      <c r="H4" s="1606">
        <f>'Revenues 9-14'!H109</f>
        <v>0</v>
      </c>
      <c r="I4" s="1606">
        <f>'Revenues 9-14'!I109</f>
        <v>52353</v>
      </c>
      <c r="J4" s="1606">
        <f>'Revenues 9-14'!J109</f>
        <v>65280</v>
      </c>
      <c r="K4" s="1606">
        <f>'Revenues 9-14'!K109</f>
        <v>36231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5531699</v>
      </c>
      <c r="D6" s="1607">
        <f>'Revenues 9-14'!D170</f>
        <v>110000</v>
      </c>
      <c r="E6" s="1607">
        <f>'Revenues 9-14'!E170</f>
        <v>0</v>
      </c>
      <c r="F6" s="1607">
        <f>'Revenues 9-14'!F170</f>
        <v>346014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914888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8291664</v>
      </c>
      <c r="D8" s="1594">
        <f t="shared" ref="D8:K8" si="0">SUM(D4:D7)</f>
        <v>421037</v>
      </c>
      <c r="E8" s="1594">
        <f t="shared" si="0"/>
        <v>176939</v>
      </c>
      <c r="F8" s="1594">
        <f t="shared" si="0"/>
        <v>582889</v>
      </c>
      <c r="G8" s="1594">
        <f t="shared" si="0"/>
        <v>295924</v>
      </c>
      <c r="H8" s="1594">
        <f t="shared" si="0"/>
        <v>0</v>
      </c>
      <c r="I8" s="1594">
        <f t="shared" si="0"/>
        <v>52353</v>
      </c>
      <c r="J8" s="1594">
        <f t="shared" si="0"/>
        <v>65280</v>
      </c>
      <c r="K8" s="1594">
        <f t="shared" si="0"/>
        <v>36231</v>
      </c>
      <c r="L8" s="325"/>
    </row>
    <row r="9" spans="1:13" ht="15.75" thickTop="1" x14ac:dyDescent="0.2">
      <c r="A9" s="449" t="s">
        <v>1634</v>
      </c>
      <c r="B9" s="450">
        <v>3998</v>
      </c>
      <c r="C9" s="1586">
        <v>594560</v>
      </c>
      <c r="D9" s="1613"/>
      <c r="E9" s="1586"/>
      <c r="F9" s="1586"/>
      <c r="G9" s="1614"/>
      <c r="H9" s="1586"/>
      <c r="I9" s="1609" t="s">
        <v>1159</v>
      </c>
      <c r="J9" s="1583"/>
      <c r="K9" s="1586"/>
      <c r="L9" s="325"/>
    </row>
    <row r="10" spans="1:13" s="452" customFormat="1" ht="13.5" thickBot="1" x14ac:dyDescent="0.25">
      <c r="A10" s="1426" t="s">
        <v>1163</v>
      </c>
      <c r="B10" s="1407"/>
      <c r="C10" s="1594">
        <f>SUM(C8:C9)</f>
        <v>8886224</v>
      </c>
      <c r="D10" s="1594">
        <f t="shared" ref="D10:K10" si="1">SUM(D8:D9)</f>
        <v>421037</v>
      </c>
      <c r="E10" s="1594">
        <f t="shared" si="1"/>
        <v>176939</v>
      </c>
      <c r="F10" s="1594">
        <f t="shared" si="1"/>
        <v>582889</v>
      </c>
      <c r="G10" s="1594">
        <f t="shared" si="1"/>
        <v>295924</v>
      </c>
      <c r="H10" s="1594">
        <f t="shared" si="1"/>
        <v>0</v>
      </c>
      <c r="I10" s="1594">
        <f t="shared" si="1"/>
        <v>52353</v>
      </c>
      <c r="J10" s="1594">
        <f t="shared" si="1"/>
        <v>65280</v>
      </c>
      <c r="K10" s="1594">
        <f t="shared" si="1"/>
        <v>36231</v>
      </c>
      <c r="L10" s="451"/>
    </row>
    <row r="11" spans="1:13" s="452" customFormat="1" ht="16.7" customHeight="1" thickTop="1" x14ac:dyDescent="0.2">
      <c r="A11" s="2213" t="s">
        <v>1166</v>
      </c>
      <c r="B11" s="2214"/>
      <c r="C11" s="1602"/>
      <c r="D11" s="1603"/>
      <c r="E11" s="1603"/>
      <c r="F11" s="1603"/>
      <c r="G11" s="1603"/>
      <c r="H11" s="1603"/>
      <c r="I11" s="1603"/>
      <c r="J11" s="1603"/>
      <c r="K11" s="1615"/>
      <c r="L11" s="451"/>
    </row>
    <row r="12" spans="1:13" ht="15.75" customHeight="1" x14ac:dyDescent="0.2">
      <c r="A12" s="1314" t="s">
        <v>453</v>
      </c>
      <c r="B12" s="1316">
        <v>1000</v>
      </c>
      <c r="C12" s="1606">
        <f>'Expenditures 15-22'!K33</f>
        <v>5672306</v>
      </c>
      <c r="D12" s="1616" t="s">
        <v>1159</v>
      </c>
      <c r="E12" s="1575" t="s">
        <v>1159</v>
      </c>
      <c r="F12" s="1575" t="s">
        <v>1159</v>
      </c>
      <c r="G12" s="1606">
        <f>'Expenditures 15-22'!K229</f>
        <v>163113</v>
      </c>
      <c r="H12" s="1617"/>
      <c r="I12" s="1575" t="s">
        <v>1159</v>
      </c>
      <c r="J12" s="1575" t="s">
        <v>1159</v>
      </c>
      <c r="K12" s="1617" t="s">
        <v>1159</v>
      </c>
      <c r="L12" s="325"/>
    </row>
    <row r="13" spans="1:13" ht="15.75" customHeight="1" x14ac:dyDescent="0.2">
      <c r="A13" s="1314" t="s">
        <v>454</v>
      </c>
      <c r="B13" s="1316">
        <v>2000</v>
      </c>
      <c r="C13" s="1607">
        <f>'Expenditures 15-22'!K74</f>
        <v>1754793</v>
      </c>
      <c r="D13" s="1607">
        <f>'Expenditures 15-22'!K129</f>
        <v>409926</v>
      </c>
      <c r="E13" s="1576" t="s">
        <v>1159</v>
      </c>
      <c r="F13" s="1607">
        <f>'Expenditures 15-22'!K184</f>
        <v>424613</v>
      </c>
      <c r="G13" s="1607">
        <f>'Expenditures 15-22'!K279</f>
        <v>134350</v>
      </c>
      <c r="H13" s="1607">
        <f>'Expenditures 15-22'!K303</f>
        <v>0</v>
      </c>
      <c r="I13" s="1575" t="s">
        <v>1159</v>
      </c>
      <c r="J13" s="1607">
        <f>'Expenditures 15-22'!K330</f>
        <v>63708</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608729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558</v>
      </c>
      <c r="D16" s="1607">
        <f>'Expenditures 15-22'!K149</f>
        <v>0</v>
      </c>
      <c r="E16" s="1607">
        <f>'Expenditures 15-22'!K172</f>
        <v>202896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8036386</v>
      </c>
      <c r="D17" s="1594">
        <f t="shared" si="2"/>
        <v>409926</v>
      </c>
      <c r="E17" s="1594">
        <f t="shared" si="2"/>
        <v>202896</v>
      </c>
      <c r="F17" s="1594">
        <f t="shared" si="2"/>
        <v>424613</v>
      </c>
      <c r="G17" s="1594">
        <f t="shared" si="2"/>
        <v>297463</v>
      </c>
      <c r="H17" s="1594">
        <f t="shared" si="2"/>
        <v>0</v>
      </c>
      <c r="I17" s="1575"/>
      <c r="J17" s="1594">
        <f>SUM(J12:J16)</f>
        <v>63708</v>
      </c>
      <c r="K17" s="1594">
        <f>SUM(K12:K16)</f>
        <v>0</v>
      </c>
      <c r="L17" s="325"/>
    </row>
    <row r="18" spans="1:12" ht="15" customHeight="1" thickTop="1" x14ac:dyDescent="0.2">
      <c r="A18" s="1430" t="s">
        <v>1635</v>
      </c>
      <c r="B18" s="1431">
        <v>4180</v>
      </c>
      <c r="C18" s="1606">
        <f t="shared" ref="C18:H18" si="3">C9</f>
        <v>594560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8630946</v>
      </c>
      <c r="D19" s="1594">
        <f t="shared" si="4"/>
        <v>409926</v>
      </c>
      <c r="E19" s="1594">
        <f t="shared" si="4"/>
        <v>202896</v>
      </c>
      <c r="F19" s="1594">
        <f t="shared" si="4"/>
        <v>424613</v>
      </c>
      <c r="G19" s="1594">
        <f t="shared" si="4"/>
        <v>297463</v>
      </c>
      <c r="H19" s="1594">
        <f t="shared" si="4"/>
        <v>0</v>
      </c>
      <c r="I19" s="1575"/>
      <c r="J19" s="1594">
        <f>SUM(J17:J18)</f>
        <v>63708</v>
      </c>
      <c r="K19" s="1594">
        <f>SUM(K17:K18)</f>
        <v>0</v>
      </c>
      <c r="L19" s="325"/>
    </row>
    <row r="20" spans="1:12" ht="16.5" thickTop="1" thickBot="1" x14ac:dyDescent="0.25">
      <c r="A20" s="2229" t="s">
        <v>1636</v>
      </c>
      <c r="B20" s="2230"/>
      <c r="C20" s="1622">
        <f>C8-C17</f>
        <v>255278</v>
      </c>
      <c r="D20" s="1622">
        <f t="shared" ref="D20:K20" si="5">D8-D17</f>
        <v>11111</v>
      </c>
      <c r="E20" s="1622">
        <f t="shared" si="5"/>
        <v>-25957</v>
      </c>
      <c r="F20" s="1622">
        <f t="shared" si="5"/>
        <v>158276</v>
      </c>
      <c r="G20" s="1622">
        <f t="shared" si="5"/>
        <v>-1539</v>
      </c>
      <c r="H20" s="1622">
        <f t="shared" si="5"/>
        <v>0</v>
      </c>
      <c r="I20" s="1622">
        <f t="shared" si="5"/>
        <v>52353</v>
      </c>
      <c r="J20" s="1622">
        <f t="shared" si="5"/>
        <v>1572</v>
      </c>
      <c r="K20" s="1622">
        <f t="shared" si="5"/>
        <v>36231</v>
      </c>
      <c r="L20" s="325"/>
    </row>
    <row r="21" spans="1:12" ht="16.7" customHeight="1" thickTop="1" x14ac:dyDescent="0.2">
      <c r="A21" s="2241" t="s">
        <v>591</v>
      </c>
      <c r="B21" s="2242"/>
      <c r="C21" s="1602"/>
      <c r="D21" s="1603"/>
      <c r="E21" s="1603"/>
      <c r="F21" s="1603"/>
      <c r="G21" s="1603"/>
      <c r="H21" s="1603"/>
      <c r="I21" s="1603"/>
      <c r="J21" s="1603"/>
      <c r="K21" s="1615"/>
      <c r="L21" s="453"/>
    </row>
    <row r="22" spans="1:12" ht="15.75" customHeight="1" collapsed="1" x14ac:dyDescent="0.2">
      <c r="A22" s="2237" t="s">
        <v>592</v>
      </c>
      <c r="B22" s="2238"/>
      <c r="C22" s="1582"/>
      <c r="D22" s="1582"/>
      <c r="E22" s="1582"/>
      <c r="F22" s="1582"/>
      <c r="G22" s="1582"/>
      <c r="H22" s="1582"/>
      <c r="I22" s="1582"/>
      <c r="J22" s="1582"/>
      <c r="K22" s="1582"/>
      <c r="L22" s="325"/>
    </row>
    <row r="23" spans="1:12" s="433" customFormat="1" ht="15.75" customHeight="1" x14ac:dyDescent="0.2">
      <c r="A23" s="2233" t="s">
        <v>290</v>
      </c>
      <c r="B23" s="223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85000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5" t="s">
        <v>974</v>
      </c>
      <c r="B32" s="223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172580</v>
      </c>
      <c r="D42" s="1574"/>
      <c r="E42" s="1574"/>
      <c r="F42" s="1574"/>
      <c r="G42" s="1574"/>
      <c r="H42" s="1574"/>
      <c r="I42" s="1585"/>
      <c r="J42" s="1585"/>
      <c r="K42" s="1574"/>
      <c r="L42" s="453"/>
    </row>
    <row r="43" spans="1:12" s="433" customFormat="1" ht="13.5" customHeight="1" x14ac:dyDescent="0.2">
      <c r="A43" s="1260" t="s">
        <v>370</v>
      </c>
      <c r="B43" s="432">
        <v>7990</v>
      </c>
      <c r="C43" s="1574"/>
      <c r="D43" s="1574"/>
      <c r="E43" s="1574">
        <v>29021</v>
      </c>
      <c r="F43" s="1574"/>
      <c r="G43" s="1574"/>
      <c r="H43" s="1574"/>
      <c r="I43" s="1574"/>
      <c r="J43" s="1574"/>
      <c r="K43" s="1574"/>
      <c r="L43" s="453"/>
    </row>
    <row r="44" spans="1:12" s="433" customFormat="1" ht="13.5" customHeight="1" thickBot="1" x14ac:dyDescent="0.25">
      <c r="A44" s="2243" t="s">
        <v>371</v>
      </c>
      <c r="B44" s="2244"/>
      <c r="C44" s="1624">
        <f>SUM(C24:C43)</f>
        <v>172580</v>
      </c>
      <c r="D44" s="1624">
        <f t="shared" ref="D44:K44" si="6">SUM(D24:D43)</f>
        <v>85000</v>
      </c>
      <c r="E44" s="1624">
        <f t="shared" si="6"/>
        <v>29021</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7" t="s">
        <v>108</v>
      </c>
      <c r="B45" s="2238"/>
      <c r="C45" s="1625"/>
      <c r="D45" s="1625"/>
      <c r="E45" s="1625"/>
      <c r="F45" s="1625"/>
      <c r="G45" s="1625"/>
      <c r="H45" s="1625"/>
      <c r="I45" s="1625"/>
      <c r="J45" s="1625"/>
      <c r="K45" s="1625"/>
      <c r="L45" s="325"/>
    </row>
    <row r="46" spans="1:12" s="433" customFormat="1" ht="15.75" customHeight="1" x14ac:dyDescent="0.2">
      <c r="A46" s="2245" t="s">
        <v>109</v>
      </c>
      <c r="B46" s="224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v>29021</v>
      </c>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9" t="s">
        <v>437</v>
      </c>
      <c r="B76" s="2220"/>
      <c r="C76" s="1624">
        <f t="shared" ref="C76:K76" si="7">SUM(C47:C75)</f>
        <v>29021</v>
      </c>
      <c r="D76" s="1624">
        <f t="shared" si="7"/>
        <v>0</v>
      </c>
      <c r="E76" s="1624">
        <f t="shared" si="7"/>
        <v>0</v>
      </c>
      <c r="F76" s="1624">
        <f t="shared" si="7"/>
        <v>0</v>
      </c>
      <c r="G76" s="1624">
        <f t="shared" si="7"/>
        <v>0</v>
      </c>
      <c r="H76" s="1624">
        <f t="shared" si="7"/>
        <v>0</v>
      </c>
      <c r="I76" s="1624">
        <f t="shared" si="7"/>
        <v>85000</v>
      </c>
      <c r="J76" s="1624">
        <f t="shared" si="7"/>
        <v>0</v>
      </c>
      <c r="K76" s="1624">
        <f t="shared" si="7"/>
        <v>0</v>
      </c>
      <c r="L76" s="453"/>
    </row>
    <row r="77" spans="1:12" ht="14.25" thickTop="1" thickBot="1" x14ac:dyDescent="0.25">
      <c r="A77" s="2221" t="s">
        <v>1167</v>
      </c>
      <c r="B77" s="2222"/>
      <c r="C77" s="1624">
        <f t="shared" ref="C77:K77" si="8">C44-C76</f>
        <v>143559</v>
      </c>
      <c r="D77" s="1624">
        <f t="shared" si="8"/>
        <v>85000</v>
      </c>
      <c r="E77" s="1624">
        <f t="shared" si="8"/>
        <v>29021</v>
      </c>
      <c r="F77" s="1624">
        <f t="shared" si="8"/>
        <v>0</v>
      </c>
      <c r="G77" s="1624">
        <f t="shared" si="8"/>
        <v>0</v>
      </c>
      <c r="H77" s="1624">
        <f t="shared" si="8"/>
        <v>0</v>
      </c>
      <c r="I77" s="1624">
        <f t="shared" si="8"/>
        <v>-85000</v>
      </c>
      <c r="J77" s="1624">
        <f t="shared" si="8"/>
        <v>0</v>
      </c>
      <c r="K77" s="1624">
        <f t="shared" si="8"/>
        <v>0</v>
      </c>
      <c r="L77" s="325"/>
    </row>
    <row r="78" spans="1:12" ht="21.75" customHeight="1" thickTop="1" thickBot="1" x14ac:dyDescent="0.25">
      <c r="A78" s="2225" t="s">
        <v>593</v>
      </c>
      <c r="B78" s="2226"/>
      <c r="C78" s="1629">
        <f t="shared" ref="C78:K78" si="9">C20+C77</f>
        <v>398837</v>
      </c>
      <c r="D78" s="1629">
        <f t="shared" si="9"/>
        <v>96111</v>
      </c>
      <c r="E78" s="1629">
        <f t="shared" si="9"/>
        <v>3064</v>
      </c>
      <c r="F78" s="1629">
        <f t="shared" si="9"/>
        <v>158276</v>
      </c>
      <c r="G78" s="1629">
        <f t="shared" si="9"/>
        <v>-1539</v>
      </c>
      <c r="H78" s="1629">
        <f t="shared" si="9"/>
        <v>0</v>
      </c>
      <c r="I78" s="1629">
        <f t="shared" si="9"/>
        <v>-32647</v>
      </c>
      <c r="J78" s="1629">
        <f t="shared" si="9"/>
        <v>1572</v>
      </c>
      <c r="K78" s="1629">
        <f t="shared" si="9"/>
        <v>36231</v>
      </c>
      <c r="L78" s="457"/>
    </row>
    <row r="79" spans="1:12" ht="13.5" thickTop="1" x14ac:dyDescent="0.2">
      <c r="A79" s="1844" t="str">
        <f>"Fund Balances - July 1, "&amp;'AFR20'!E2-1</f>
        <v>Fund Balances - July 1, 2019</v>
      </c>
      <c r="B79" s="458"/>
      <c r="C79" s="1583">
        <v>3639027</v>
      </c>
      <c r="D79" s="1630">
        <v>646174</v>
      </c>
      <c r="E79" s="1630">
        <v>73926</v>
      </c>
      <c r="F79" s="1630">
        <v>667329</v>
      </c>
      <c r="G79" s="1630">
        <v>34715</v>
      </c>
      <c r="H79" s="1630">
        <v>0</v>
      </c>
      <c r="I79" s="1630">
        <v>582605</v>
      </c>
      <c r="J79" s="1630">
        <v>379</v>
      </c>
      <c r="K79" s="1630">
        <v>96275</v>
      </c>
      <c r="L79" s="325"/>
    </row>
    <row r="80" spans="1:12" x14ac:dyDescent="0.2">
      <c r="A80" s="2231" t="s">
        <v>1769</v>
      </c>
      <c r="B80" s="2232"/>
      <c r="C80" s="1574"/>
      <c r="D80" s="1574"/>
      <c r="E80" s="1574"/>
      <c r="F80" s="1574"/>
      <c r="G80" s="1574"/>
      <c r="H80" s="1574"/>
      <c r="I80" s="1574"/>
      <c r="J80" s="1574"/>
      <c r="K80" s="1574"/>
      <c r="L80" s="325"/>
    </row>
    <row r="81" spans="1:12" ht="13.5" thickBot="1" x14ac:dyDescent="0.25">
      <c r="A81" s="2223" t="str">
        <f>"Fund Balances - June 30, "&amp;'AFR20'!E2</f>
        <v>Fund Balances - June 30, 2020</v>
      </c>
      <c r="B81" s="2224"/>
      <c r="C81" s="1594">
        <f>(SUM(C78:C80))</f>
        <v>4037864</v>
      </c>
      <c r="D81" s="1594">
        <f>SUM(D78:D80)</f>
        <v>742285</v>
      </c>
      <c r="E81" s="1594">
        <f t="shared" ref="E81:K81" si="10">SUM(E78:E80)</f>
        <v>76990</v>
      </c>
      <c r="F81" s="1594">
        <f t="shared" si="10"/>
        <v>825605</v>
      </c>
      <c r="G81" s="1594">
        <f t="shared" si="10"/>
        <v>33176</v>
      </c>
      <c r="H81" s="1594">
        <f t="shared" si="10"/>
        <v>0</v>
      </c>
      <c r="I81" s="1594">
        <f t="shared" si="10"/>
        <v>549958</v>
      </c>
      <c r="J81" s="1594">
        <f t="shared" si="10"/>
        <v>1951</v>
      </c>
      <c r="K81" s="1594">
        <f t="shared" si="10"/>
        <v>132506</v>
      </c>
      <c r="L81" s="325"/>
    </row>
    <row r="82" spans="1:12" ht="0.75" customHeight="1" thickTop="1" thickBot="1" x14ac:dyDescent="0.25">
      <c r="A82" s="459" t="s">
        <v>340</v>
      </c>
      <c r="B82" s="460"/>
      <c r="C82" s="461">
        <f>(C81-C79)</f>
        <v>398837</v>
      </c>
      <c r="D82" s="461">
        <f t="shared" ref="D82:K82" si="11">(D81-D79)</f>
        <v>96111</v>
      </c>
      <c r="E82" s="461">
        <f t="shared" si="11"/>
        <v>3064</v>
      </c>
      <c r="F82" s="461">
        <f t="shared" si="11"/>
        <v>158276</v>
      </c>
      <c r="G82" s="461">
        <f t="shared" si="11"/>
        <v>-1539</v>
      </c>
      <c r="H82" s="461">
        <f t="shared" si="11"/>
        <v>0</v>
      </c>
      <c r="I82" s="461">
        <f t="shared" si="11"/>
        <v>-32647</v>
      </c>
      <c r="J82" s="461">
        <f t="shared" si="11"/>
        <v>1572</v>
      </c>
      <c r="K82" s="461">
        <f t="shared" si="11"/>
        <v>36231</v>
      </c>
    </row>
    <row r="83" spans="1:12" ht="14.25" hidden="1" thickTop="1" thickBot="1" x14ac:dyDescent="0.25">
      <c r="A83" s="462" t="s">
        <v>341</v>
      </c>
      <c r="B83" s="428"/>
      <c r="C83" s="463">
        <f>C82/C81</f>
        <v>9.8774252921841846E-2</v>
      </c>
      <c r="D83" s="463">
        <f t="shared" ref="D83:K83" si="12">D82/D81</f>
        <v>0.12947991674356885</v>
      </c>
      <c r="E83" s="463">
        <f t="shared" si="12"/>
        <v>3.9797376282634106E-2</v>
      </c>
      <c r="F83" s="463">
        <f t="shared" si="12"/>
        <v>0.19170911028881851</v>
      </c>
      <c r="G83" s="463">
        <f t="shared" si="12"/>
        <v>-4.6388955871714495E-2</v>
      </c>
      <c r="H83" s="463" t="e">
        <f t="shared" si="12"/>
        <v>#DIV/0!</v>
      </c>
      <c r="I83" s="463">
        <f t="shared" si="12"/>
        <v>-5.9362714970961419E-2</v>
      </c>
      <c r="J83" s="463">
        <f t="shared" si="12"/>
        <v>0.80574064582265503</v>
      </c>
      <c r="K83" s="463">
        <f t="shared" si="12"/>
        <v>0.27342912773761185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10" orientation="landscape" useFirstPageNumber="1" r:id="rId1"/>
  <headerFooter differentOddEven="1" alignWithMargins="0">
    <oddHeader xml:space="preserve">&amp;C&amp;"Arial,Bold"&amp;9Salem Elementary School District 111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&amp;C&amp;"Arial,Bold"&amp;9Salem Elementary School District 111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1776</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1348527</v>
      </c>
      <c r="D5" s="1586">
        <v>278517</v>
      </c>
      <c r="E5" s="1573">
        <v>175347</v>
      </c>
      <c r="F5" s="1631">
        <v>219882</v>
      </c>
      <c r="G5" s="1573">
        <v>122164</v>
      </c>
      <c r="H5" s="1573"/>
      <c r="I5" s="1573">
        <v>43981</v>
      </c>
      <c r="J5" s="1574">
        <v>64511</v>
      </c>
      <c r="K5" s="1573">
        <v>34209</v>
      </c>
    </row>
    <row r="6" spans="1:12" ht="15" x14ac:dyDescent="0.2">
      <c r="A6" s="427" t="s">
        <v>1643</v>
      </c>
      <c r="B6" s="429">
        <v>1130</v>
      </c>
      <c r="C6" s="1573">
        <v>12709</v>
      </c>
      <c r="D6" s="1573"/>
      <c r="E6" s="1580"/>
      <c r="F6" s="1580"/>
      <c r="G6" s="1575"/>
      <c r="H6" s="1575"/>
      <c r="I6" s="1575"/>
      <c r="J6" s="1575"/>
      <c r="K6" s="1575"/>
    </row>
    <row r="7" spans="1:12" x14ac:dyDescent="0.2">
      <c r="A7" s="427" t="s">
        <v>110</v>
      </c>
      <c r="B7" s="471">
        <v>1140</v>
      </c>
      <c r="C7" s="1573">
        <v>34701</v>
      </c>
      <c r="D7" s="1573"/>
      <c r="E7" s="1575"/>
      <c r="F7" s="1574"/>
      <c r="G7" s="1574"/>
      <c r="H7" s="1574"/>
      <c r="I7" s="1575"/>
      <c r="J7" s="1575"/>
      <c r="K7" s="1575"/>
    </row>
    <row r="8" spans="1:12" x14ac:dyDescent="0.2">
      <c r="A8" s="427" t="s">
        <v>410</v>
      </c>
      <c r="B8" s="429">
        <v>1150</v>
      </c>
      <c r="C8" s="1580"/>
      <c r="D8" s="1580"/>
      <c r="E8" s="1582"/>
      <c r="F8" s="1582"/>
      <c r="G8" s="1586">
        <v>127045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1395937</v>
      </c>
      <c r="D12" s="1633">
        <f t="shared" si="0"/>
        <v>278517</v>
      </c>
      <c r="E12" s="1633">
        <f t="shared" si="0"/>
        <v>175347</v>
      </c>
      <c r="F12" s="1633">
        <f t="shared" si="0"/>
        <v>219882</v>
      </c>
      <c r="G12" s="1633">
        <f t="shared" si="0"/>
        <v>249209</v>
      </c>
      <c r="H12" s="1633">
        <f t="shared" si="0"/>
        <v>0</v>
      </c>
      <c r="I12" s="1633">
        <f t="shared" si="0"/>
        <v>43981</v>
      </c>
      <c r="J12" s="1633">
        <f t="shared" si="0"/>
        <v>64511</v>
      </c>
      <c r="K12" s="1594">
        <f t="shared" si="0"/>
        <v>34209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249393</v>
      </c>
      <c r="D16" s="1573">
        <v>14000</v>
      </c>
      <c r="E16" s="1573"/>
      <c r="F16" s="1573">
        <v>5000</v>
      </c>
      <c r="G16" s="1573">
        <v>45000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249393</v>
      </c>
      <c r="D18" s="1635">
        <f t="shared" ref="D18:K18" si="1">SUM(D14:D17)</f>
        <v>14000</v>
      </c>
      <c r="E18" s="1635">
        <f t="shared" si="1"/>
        <v>0</v>
      </c>
      <c r="F18" s="1635">
        <f t="shared" si="1"/>
        <v>5000</v>
      </c>
      <c r="G18" s="1635">
        <f t="shared" si="1"/>
        <v>45000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63361</v>
      </c>
      <c r="D65" s="1573">
        <v>11275</v>
      </c>
      <c r="E65" s="1573">
        <v>1592</v>
      </c>
      <c r="F65" s="1574">
        <v>11993</v>
      </c>
      <c r="G65" s="1573">
        <v>1715</v>
      </c>
      <c r="H65" s="1573"/>
      <c r="I65" s="1573">
        <v>8372</v>
      </c>
      <c r="J65" s="1574">
        <v>769</v>
      </c>
      <c r="K65" s="1573">
        <v>2022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63361</v>
      </c>
      <c r="D67" s="1594">
        <f t="shared" ref="D67:K67" si="2">SUM(D65:D66)</f>
        <v>11275</v>
      </c>
      <c r="E67" s="1594">
        <f t="shared" si="2"/>
        <v>1592</v>
      </c>
      <c r="F67" s="1594">
        <f t="shared" si="2"/>
        <v>11993</v>
      </c>
      <c r="G67" s="1594">
        <f t="shared" si="2"/>
        <v>1715</v>
      </c>
      <c r="H67" s="1594">
        <f t="shared" si="2"/>
        <v>0</v>
      </c>
      <c r="I67" s="1594">
        <f t="shared" si="2"/>
        <v>8372</v>
      </c>
      <c r="J67" s="1594">
        <f t="shared" si="2"/>
        <v>769</v>
      </c>
      <c r="K67" s="1594">
        <f t="shared" si="2"/>
        <v>2022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58896</v>
      </c>
      <c r="D69" s="1575"/>
      <c r="E69" s="1575"/>
      <c r="F69" s="1575"/>
      <c r="G69" s="1575"/>
      <c r="H69" s="1575"/>
      <c r="I69" s="1575"/>
      <c r="J69" s="1575"/>
      <c r="K69" s="1575"/>
    </row>
    <row r="70" spans="1:11" ht="12.75" customHeight="1" x14ac:dyDescent="0.2">
      <c r="A70" s="427" t="s">
        <v>990</v>
      </c>
      <c r="B70" s="429">
        <v>1612</v>
      </c>
      <c r="C70" s="1632">
        <v>8827</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2727</v>
      </c>
      <c r="D73" s="1575"/>
      <c r="E73" s="1575"/>
      <c r="F73" s="1575"/>
      <c r="G73" s="1575"/>
      <c r="H73" s="1575"/>
      <c r="I73" s="1575"/>
      <c r="J73" s="1575"/>
      <c r="K73" s="1575"/>
    </row>
    <row r="74" spans="1:11" ht="12.75" customHeight="1" x14ac:dyDescent="0.2">
      <c r="A74" s="427" t="s">
        <v>25</v>
      </c>
      <c r="B74" s="429">
        <v>1690</v>
      </c>
      <c r="C74" s="1632">
        <v>2857</v>
      </c>
      <c r="D74" s="1575"/>
      <c r="E74" s="1575"/>
      <c r="F74" s="1575"/>
      <c r="G74" s="1575"/>
      <c r="H74" s="1575"/>
      <c r="I74" s="1575"/>
      <c r="J74" s="1575"/>
      <c r="K74" s="1575"/>
    </row>
    <row r="75" spans="1:11" ht="12.75" customHeight="1" thickBot="1" x14ac:dyDescent="0.25">
      <c r="A75" s="1406" t="s">
        <v>544</v>
      </c>
      <c r="B75" s="1407"/>
      <c r="C75" s="1594">
        <f>SUM(C69:C74)</f>
        <v>73307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13975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13975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29928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29928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1695</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8680</v>
      </c>
      <c r="D106" s="1598"/>
      <c r="E106" s="1574"/>
      <c r="F106" s="1574"/>
      <c r="G106" s="1574"/>
      <c r="H106" s="1574"/>
      <c r="I106" s="1617"/>
      <c r="J106" s="1574"/>
      <c r="K106" s="1574"/>
    </row>
    <row r="107" spans="1:12" ht="12.75" customHeight="1" x14ac:dyDescent="0.2">
      <c r="A107" s="427" t="s">
        <v>78</v>
      </c>
      <c r="B107" s="429">
        <v>1999</v>
      </c>
      <c r="C107" s="1632">
        <v>10496</v>
      </c>
      <c r="D107" s="1573">
        <v>5550</v>
      </c>
      <c r="E107" s="1573"/>
      <c r="F107" s="1573"/>
      <c r="G107" s="1573"/>
      <c r="H107" s="1573"/>
      <c r="I107" s="1573"/>
      <c r="J107" s="1574"/>
      <c r="K107" s="1573"/>
    </row>
    <row r="108" spans="1:12" ht="12.75" customHeight="1" thickBot="1" x14ac:dyDescent="0.25">
      <c r="A108" s="1406" t="s">
        <v>484</v>
      </c>
      <c r="B108" s="1408"/>
      <c r="C108" s="1633">
        <f>SUM(C95:C107)</f>
        <v>19176</v>
      </c>
      <c r="D108" s="1633">
        <f t="shared" ref="D108:K108" si="3">SUM(D95:D107)</f>
        <v>7245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1845077</v>
      </c>
      <c r="D109" s="1641">
        <f t="shared" si="4"/>
        <v>311037</v>
      </c>
      <c r="E109" s="1641">
        <f t="shared" si="4"/>
        <v>176939</v>
      </c>
      <c r="F109" s="1641">
        <f t="shared" si="4"/>
        <v>236875</v>
      </c>
      <c r="G109" s="1641">
        <f t="shared" si="4"/>
        <v>295924</v>
      </c>
      <c r="H109" s="1641">
        <f t="shared" si="4"/>
        <v>0</v>
      </c>
      <c r="I109" s="1641">
        <f t="shared" si="4"/>
        <v>52353</v>
      </c>
      <c r="J109" s="1641">
        <f t="shared" si="4"/>
        <v>65280</v>
      </c>
      <c r="K109" s="1629">
        <f t="shared" si="4"/>
        <v>36231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5169473</v>
      </c>
      <c r="D117" s="1586">
        <v>60000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5169473</v>
      </c>
      <c r="D122" s="1633">
        <f t="shared" si="5"/>
        <v>60000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63451</v>
      </c>
      <c r="D127" s="1573"/>
      <c r="E127" s="1575"/>
      <c r="F127" s="1573"/>
      <c r="G127" s="1575"/>
      <c r="H127" s="1575"/>
      <c r="I127" s="1575"/>
      <c r="J127" s="1575"/>
      <c r="K127" s="1575"/>
    </row>
    <row r="128" spans="1:11" ht="12.75" customHeight="1" x14ac:dyDescent="0.2">
      <c r="A128" s="427" t="s">
        <v>105</v>
      </c>
      <c r="B128" s="478">
        <v>3120</v>
      </c>
      <c r="C128" s="1573">
        <v>273038</v>
      </c>
      <c r="D128" s="1640"/>
      <c r="E128" s="1575"/>
      <c r="F128" s="1573"/>
      <c r="G128" s="1575"/>
      <c r="H128" s="1575"/>
      <c r="I128" s="1575"/>
      <c r="J128" s="1575"/>
      <c r="K128" s="1575"/>
    </row>
    <row r="129" spans="1:11" ht="12.75" customHeight="1" x14ac:dyDescent="0.2">
      <c r="A129" s="427" t="s">
        <v>1430</v>
      </c>
      <c r="B129" s="478">
        <v>3130</v>
      </c>
      <c r="C129" s="1573">
        <v>21083</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357572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3904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273700</v>
      </c>
      <c r="G152" s="1574"/>
      <c r="H152" s="1575"/>
      <c r="I152" s="1575"/>
      <c r="J152" s="1575"/>
      <c r="K152" s="1575"/>
    </row>
    <row r="153" spans="1:11" ht="12.75" customHeight="1" x14ac:dyDescent="0.2">
      <c r="A153" s="427" t="s">
        <v>1048</v>
      </c>
      <c r="B153" s="478">
        <v>3510</v>
      </c>
      <c r="C153" s="1632"/>
      <c r="D153" s="1573"/>
      <c r="E153" s="1640"/>
      <c r="F153" s="1573">
        <v>72314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346014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7" t="s">
        <v>395</v>
      </c>
      <c r="B169" s="2248"/>
      <c r="C169" s="1658">
        <f t="shared" ref="C169:K169" si="6">SUM(C132,C141,C145,C146:C150,C155,C156:C167,C168)</f>
        <v>362226</v>
      </c>
      <c r="D169" s="1658">
        <f t="shared" si="6"/>
        <v>50000</v>
      </c>
      <c r="E169" s="1658">
        <f t="shared" si="6"/>
        <v>0</v>
      </c>
      <c r="F169" s="1658">
        <f t="shared" si="6"/>
        <v>346014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5531699</v>
      </c>
      <c r="D170" s="1641">
        <f t="shared" si="7"/>
        <v>110000</v>
      </c>
      <c r="E170" s="1641">
        <f t="shared" si="7"/>
        <v>0</v>
      </c>
      <c r="F170" s="1641">
        <f t="shared" si="7"/>
        <v>346014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9" t="s">
        <v>1475</v>
      </c>
      <c r="B172" s="225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3" t="s">
        <v>1646</v>
      </c>
      <c r="B175" s="225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7" t="s">
        <v>1645</v>
      </c>
      <c r="B176" s="225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5" t="s">
        <v>780</v>
      </c>
      <c r="B181" s="225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1" t="s">
        <v>1777</v>
      </c>
      <c r="B182" s="225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13763</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13763</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230864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89646</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320510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395106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395106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11876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44874</v>
      </c>
      <c r="D213" s="1573"/>
      <c r="E213" s="1575"/>
      <c r="F213" s="1573"/>
      <c r="G213" s="1573"/>
      <c r="H213" s="1575"/>
      <c r="I213" s="1575"/>
      <c r="J213" s="1575"/>
      <c r="K213" s="1575"/>
    </row>
    <row r="214" spans="1:11" ht="12.75" customHeight="1" x14ac:dyDescent="0.2">
      <c r="A214" s="427" t="s">
        <v>1045</v>
      </c>
      <c r="B214" s="429">
        <v>4625</v>
      </c>
      <c r="C214" s="1632">
        <v>13599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70349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38275</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11291</v>
      </c>
      <c r="D263" s="1651"/>
      <c r="E263" s="1575"/>
      <c r="F263" s="1651"/>
      <c r="G263" s="1651"/>
      <c r="H263" s="1575"/>
      <c r="I263" s="1575"/>
      <c r="J263" s="1575"/>
      <c r="K263" s="1575"/>
    </row>
    <row r="264" spans="1:11" ht="12.75" customHeight="1" thickTop="1" thickBot="1" x14ac:dyDescent="0.25">
      <c r="A264" s="427" t="s">
        <v>374</v>
      </c>
      <c r="B264" s="429">
        <v>4992</v>
      </c>
      <c r="C264" s="1650">
        <v>65594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914888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914888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8291664</v>
      </c>
      <c r="D268" s="1641">
        <f t="shared" si="12"/>
        <v>421037</v>
      </c>
      <c r="E268" s="1641">
        <f t="shared" si="12"/>
        <v>176939</v>
      </c>
      <c r="F268" s="1641">
        <f t="shared" si="12"/>
        <v>582889</v>
      </c>
      <c r="G268" s="1641">
        <f t="shared" si="12"/>
        <v>295924</v>
      </c>
      <c r="H268" s="1641">
        <f t="shared" si="12"/>
        <v>0</v>
      </c>
      <c r="I268" s="1641">
        <f t="shared" si="12"/>
        <v>52353</v>
      </c>
      <c r="J268" s="1641">
        <f t="shared" si="12"/>
        <v>65280</v>
      </c>
      <c r="K268" s="1629">
        <f t="shared" si="12"/>
        <v>36231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2" orientation="landscape" useFirstPageNumber="1" r:id="rId1"/>
  <headerFooter differentOddEven="1" alignWithMargins="0">
    <oddHeader>&amp;C&amp;"Arial,Bold"&amp;9Salem Elementary School District 111 
STATEMENT OF REVENUES RECEIVED/REVENUES (ALL FUNDS)
FOR THE YEAR ENDING JUNE 30, 2020</oddHeader>
    <oddFooter>&amp;L&amp;11See accompanying notes to the financial statements.&amp;C&amp;14- &amp;P -</oddFooter>
    <evenHeader>&amp;C&amp;"Arial,Bold"&amp;9Salem Elementary School District 111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8" activePane="bottomLeft" state="frozen"/>
      <selection pane="bottomLeft" activeCell="A171" sqref="A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3259642</v>
      </c>
      <c r="D5" s="1573">
        <v>442933</v>
      </c>
      <c r="E5" s="1573">
        <v>103835</v>
      </c>
      <c r="F5" s="1573">
        <v>162587</v>
      </c>
      <c r="G5" s="1573">
        <v>178130</v>
      </c>
      <c r="H5" s="1573"/>
      <c r="I5" s="1574"/>
      <c r="J5" s="1574"/>
      <c r="K5" s="1672">
        <f>SUM(C5:J5)</f>
        <v>4147127</v>
      </c>
      <c r="L5" s="1573">
        <v>4153846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954796</v>
      </c>
      <c r="D8" s="1573">
        <v>124849</v>
      </c>
      <c r="E8" s="1573"/>
      <c r="F8" s="1573"/>
      <c r="G8" s="1573"/>
      <c r="H8" s="1573"/>
      <c r="I8" s="1574"/>
      <c r="J8" s="1574"/>
      <c r="K8" s="1672">
        <f t="shared" si="0"/>
        <v>1079645</v>
      </c>
      <c r="L8" s="1573">
        <v>1089400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232494</v>
      </c>
      <c r="D10" s="1573">
        <v>61595</v>
      </c>
      <c r="E10" s="1573">
        <v>15492</v>
      </c>
      <c r="F10" s="1573">
        <v>74428</v>
      </c>
      <c r="G10" s="1573"/>
      <c r="H10" s="1573"/>
      <c r="I10" s="1574"/>
      <c r="J10" s="1574"/>
      <c r="K10" s="1672">
        <f t="shared" si="0"/>
        <v>384009</v>
      </c>
      <c r="L10" s="1573">
        <v>370519</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48189</v>
      </c>
      <c r="D14" s="1573">
        <v>579</v>
      </c>
      <c r="E14" s="1573">
        <v>8566</v>
      </c>
      <c r="F14" s="1573">
        <v>3951</v>
      </c>
      <c r="G14" s="1573"/>
      <c r="H14" s="1573"/>
      <c r="I14" s="1574"/>
      <c r="J14" s="1574"/>
      <c r="K14" s="1672">
        <f t="shared" si="0"/>
        <v>61285</v>
      </c>
      <c r="L14" s="1573">
        <v>64700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v>236</v>
      </c>
      <c r="D16" s="1573">
        <v>4</v>
      </c>
      <c r="E16" s="1573"/>
      <c r="F16" s="1573"/>
      <c r="G16" s="1573"/>
      <c r="H16" s="1573"/>
      <c r="I16" s="1574"/>
      <c r="J16" s="1574"/>
      <c r="K16" s="1672">
        <f t="shared" si="0"/>
        <v>240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4495357</v>
      </c>
      <c r="D33" s="1674">
        <f t="shared" ref="D33:L33" si="1">SUM(D5:D32)</f>
        <v>629960</v>
      </c>
      <c r="E33" s="1674">
        <f t="shared" si="1"/>
        <v>127893</v>
      </c>
      <c r="F33" s="1674">
        <f t="shared" si="1"/>
        <v>240966</v>
      </c>
      <c r="G33" s="1674">
        <f t="shared" si="1"/>
        <v>178130</v>
      </c>
      <c r="H33" s="1674">
        <f t="shared" si="1"/>
        <v>0</v>
      </c>
      <c r="I33" s="1674">
        <f t="shared" si="1"/>
        <v>0</v>
      </c>
      <c r="J33" s="1674">
        <f t="shared" si="1"/>
        <v>0</v>
      </c>
      <c r="K33" s="1674">
        <f t="shared" si="1"/>
        <v>5672306</v>
      </c>
      <c r="L33" s="1674">
        <f t="shared" si="1"/>
        <v>5678465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62454</v>
      </c>
      <c r="D36" s="1586">
        <v>4018</v>
      </c>
      <c r="E36" s="1586"/>
      <c r="F36" s="1586"/>
      <c r="G36" s="1586"/>
      <c r="H36" s="1586"/>
      <c r="I36" s="1574"/>
      <c r="J36" s="1574"/>
      <c r="K36" s="1672">
        <f t="shared" ref="K36:K41" si="2">SUM(C36:J36)</f>
        <v>66472</v>
      </c>
      <c r="L36" s="1573">
        <v>70000</v>
      </c>
    </row>
    <row r="37" spans="1:14" x14ac:dyDescent="0.2">
      <c r="A37" s="1274" t="s">
        <v>1081</v>
      </c>
      <c r="B37" s="503">
        <v>2120</v>
      </c>
      <c r="C37" s="1573">
        <v>136967</v>
      </c>
      <c r="D37" s="1573">
        <v>19946</v>
      </c>
      <c r="E37" s="1573"/>
      <c r="F37" s="1573"/>
      <c r="G37" s="1573"/>
      <c r="H37" s="1573"/>
      <c r="I37" s="1574"/>
      <c r="J37" s="1574"/>
      <c r="K37" s="1672">
        <f t="shared" si="2"/>
        <v>156913</v>
      </c>
      <c r="L37" s="1573">
        <v>147844</v>
      </c>
    </row>
    <row r="38" spans="1:14" x14ac:dyDescent="0.2">
      <c r="A38" s="1274" t="s">
        <v>196</v>
      </c>
      <c r="B38" s="503">
        <v>2130</v>
      </c>
      <c r="C38" s="1573">
        <v>64100</v>
      </c>
      <c r="D38" s="1573">
        <v>6012</v>
      </c>
      <c r="E38" s="1573"/>
      <c r="F38" s="1573">
        <v>1250</v>
      </c>
      <c r="G38" s="1573"/>
      <c r="H38" s="1573"/>
      <c r="I38" s="1574"/>
      <c r="J38" s="1574"/>
      <c r="K38" s="1672">
        <f t="shared" si="2"/>
        <v>71362</v>
      </c>
      <c r="L38" s="1573">
        <v>75700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263521</v>
      </c>
      <c r="D42" s="1674">
        <f t="shared" ref="D42:L42" si="3">SUM(D36:D41)</f>
        <v>29976</v>
      </c>
      <c r="E42" s="1674">
        <f t="shared" si="3"/>
        <v>0</v>
      </c>
      <c r="F42" s="1674">
        <f t="shared" si="3"/>
        <v>1250</v>
      </c>
      <c r="G42" s="1674">
        <f t="shared" si="3"/>
        <v>0</v>
      </c>
      <c r="H42" s="1674">
        <f t="shared" si="3"/>
        <v>0</v>
      </c>
      <c r="I42" s="1674">
        <f t="shared" si="3"/>
        <v>0</v>
      </c>
      <c r="J42" s="1674">
        <f t="shared" si="3"/>
        <v>0</v>
      </c>
      <c r="K42" s="1674">
        <f t="shared" si="3"/>
        <v>294747</v>
      </c>
      <c r="L42" s="1674">
        <f t="shared" si="3"/>
        <v>293544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36118</v>
      </c>
      <c r="D44" s="1586">
        <v>8085</v>
      </c>
      <c r="E44" s="1586">
        <v>4019</v>
      </c>
      <c r="F44" s="1586"/>
      <c r="G44" s="1586"/>
      <c r="H44" s="1586"/>
      <c r="I44" s="1574"/>
      <c r="J44" s="1574"/>
      <c r="K44" s="1678">
        <f>SUM(C44:J44)</f>
        <v>48222</v>
      </c>
      <c r="L44" s="1586">
        <v>49972</v>
      </c>
    </row>
    <row r="45" spans="1:14" x14ac:dyDescent="0.2">
      <c r="A45" s="1274" t="s">
        <v>810</v>
      </c>
      <c r="B45" s="503">
        <v>2220</v>
      </c>
      <c r="C45" s="1573">
        <v>12870</v>
      </c>
      <c r="D45" s="1573">
        <v>6404</v>
      </c>
      <c r="E45" s="1573"/>
      <c r="F45" s="1573">
        <v>3961</v>
      </c>
      <c r="G45" s="1573"/>
      <c r="H45" s="1573"/>
      <c r="I45" s="1574"/>
      <c r="J45" s="1574"/>
      <c r="K45" s="1678">
        <f>SUM(C45:J45)</f>
        <v>23235</v>
      </c>
      <c r="L45" s="1573">
        <v>26744</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48988</v>
      </c>
      <c r="D47" s="1674">
        <f t="shared" ref="D47:K47" si="4">SUM(D44:D46)</f>
        <v>14489</v>
      </c>
      <c r="E47" s="1674">
        <f t="shared" si="4"/>
        <v>4019</v>
      </c>
      <c r="F47" s="1674">
        <f t="shared" si="4"/>
        <v>3961</v>
      </c>
      <c r="G47" s="1674">
        <f t="shared" si="4"/>
        <v>0</v>
      </c>
      <c r="H47" s="1674">
        <f t="shared" si="4"/>
        <v>0</v>
      </c>
      <c r="I47" s="1674">
        <f t="shared" si="4"/>
        <v>0</v>
      </c>
      <c r="J47" s="1674">
        <f t="shared" si="4"/>
        <v>0</v>
      </c>
      <c r="K47" s="1674">
        <f t="shared" si="4"/>
        <v>71457</v>
      </c>
      <c r="L47" s="1674">
        <f>SUM(L44:L46)</f>
        <v>76716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6873</v>
      </c>
      <c r="D49" s="1586">
        <v>373</v>
      </c>
      <c r="E49" s="1586">
        <v>35491</v>
      </c>
      <c r="F49" s="1586">
        <v>437</v>
      </c>
      <c r="G49" s="1586"/>
      <c r="H49" s="1586">
        <v>3155</v>
      </c>
      <c r="I49" s="1574"/>
      <c r="J49" s="1574"/>
      <c r="K49" s="1678">
        <f>SUM(C49:J49)</f>
        <v>46329</v>
      </c>
      <c r="L49" s="1586">
        <v>55792</v>
      </c>
    </row>
    <row r="50" spans="1:14" x14ac:dyDescent="0.2">
      <c r="A50" s="1274" t="s">
        <v>813</v>
      </c>
      <c r="B50" s="503">
        <v>2320</v>
      </c>
      <c r="C50" s="1573">
        <v>125040</v>
      </c>
      <c r="D50" s="1573">
        <v>15918</v>
      </c>
      <c r="E50" s="1573">
        <v>3084</v>
      </c>
      <c r="F50" s="1573">
        <v>383</v>
      </c>
      <c r="G50" s="1573"/>
      <c r="H50" s="1573">
        <v>1741</v>
      </c>
      <c r="I50" s="1574"/>
      <c r="J50" s="1574"/>
      <c r="K50" s="1678">
        <f>SUM(C50:J50)</f>
        <v>146166</v>
      </c>
      <c r="L50" s="1573">
        <v>146455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131913</v>
      </c>
      <c r="D53" s="1674">
        <f t="shared" ref="D53:L53" si="5">SUM(D49:D52)</f>
        <v>16291</v>
      </c>
      <c r="E53" s="1674">
        <f t="shared" si="5"/>
        <v>38575</v>
      </c>
      <c r="F53" s="1674">
        <f t="shared" si="5"/>
        <v>820</v>
      </c>
      <c r="G53" s="1674">
        <f t="shared" si="5"/>
        <v>0</v>
      </c>
      <c r="H53" s="1674">
        <f t="shared" si="5"/>
        <v>4896</v>
      </c>
      <c r="I53" s="1674">
        <f t="shared" si="5"/>
        <v>0</v>
      </c>
      <c r="J53" s="1674">
        <f t="shared" si="5"/>
        <v>0</v>
      </c>
      <c r="K53" s="1674">
        <f t="shared" si="5"/>
        <v>192495</v>
      </c>
      <c r="L53" s="1674">
        <f t="shared" si="5"/>
        <v>202247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373074</v>
      </c>
      <c r="D55" s="1586">
        <v>49253</v>
      </c>
      <c r="E55" s="1586">
        <v>884</v>
      </c>
      <c r="F55" s="1586">
        <v>89</v>
      </c>
      <c r="G55" s="1586"/>
      <c r="H55" s="1586">
        <v>1923</v>
      </c>
      <c r="I55" s="1574"/>
      <c r="J55" s="1574"/>
      <c r="K55" s="1678">
        <f>SUM(C55:J55)</f>
        <v>425223</v>
      </c>
      <c r="L55" s="1586">
        <v>432325</v>
      </c>
    </row>
    <row r="56" spans="1:14" ht="12.75" customHeight="1" x14ac:dyDescent="0.2">
      <c r="A56" s="1278" t="s">
        <v>373</v>
      </c>
      <c r="B56" s="512">
        <v>2490</v>
      </c>
      <c r="C56" s="1573">
        <v>49926</v>
      </c>
      <c r="D56" s="1573">
        <v>11</v>
      </c>
      <c r="E56" s="1573"/>
      <c r="F56" s="1573"/>
      <c r="G56" s="1573"/>
      <c r="H56" s="1573"/>
      <c r="I56" s="1574"/>
      <c r="J56" s="1574"/>
      <c r="K56" s="1678">
        <f>SUM(C56:J56)</f>
        <v>49937</v>
      </c>
      <c r="L56" s="1573">
        <v>51000</v>
      </c>
    </row>
    <row r="57" spans="1:14" s="321" customFormat="1" ht="12.75" customHeight="1" thickBot="1" x14ac:dyDescent="0.25">
      <c r="A57" s="1380" t="s">
        <v>261</v>
      </c>
      <c r="B57" s="1382" t="s">
        <v>34</v>
      </c>
      <c r="C57" s="1679">
        <f>SUM(C55:C56)</f>
        <v>423000</v>
      </c>
      <c r="D57" s="1679">
        <f t="shared" ref="D57:K57" si="6">SUM(D55:D56)</f>
        <v>49264</v>
      </c>
      <c r="E57" s="1679">
        <f t="shared" si="6"/>
        <v>884</v>
      </c>
      <c r="F57" s="1679">
        <f t="shared" si="6"/>
        <v>89</v>
      </c>
      <c r="G57" s="1679">
        <f t="shared" si="6"/>
        <v>0</v>
      </c>
      <c r="H57" s="1679">
        <f t="shared" si="6"/>
        <v>1923</v>
      </c>
      <c r="I57" s="1679">
        <f t="shared" si="6"/>
        <v>0</v>
      </c>
      <c r="J57" s="1679">
        <f t="shared" si="6"/>
        <v>0</v>
      </c>
      <c r="K57" s="1679">
        <f t="shared" si="6"/>
        <v>475160</v>
      </c>
      <c r="L57" s="1674">
        <f>SUM(L55:L56)</f>
        <v>483325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66433</v>
      </c>
      <c r="D60" s="1573">
        <v>12</v>
      </c>
      <c r="E60" s="1573"/>
      <c r="F60" s="1573">
        <v>13904</v>
      </c>
      <c r="G60" s="1573"/>
      <c r="H60" s="1573"/>
      <c r="I60" s="1574"/>
      <c r="J60" s="1574"/>
      <c r="K60" s="1678">
        <f t="shared" si="7"/>
        <v>80349</v>
      </c>
      <c r="L60" s="1573">
        <v>80704</v>
      </c>
      <c r="M60" s="501"/>
      <c r="N60" s="501"/>
    </row>
    <row r="61" spans="1:14" s="321" customFormat="1" x14ac:dyDescent="0.2">
      <c r="A61" s="1274" t="s">
        <v>195</v>
      </c>
      <c r="B61" s="503">
        <v>2540</v>
      </c>
      <c r="C61" s="1573">
        <v>50257</v>
      </c>
      <c r="D61" s="1573">
        <v>12</v>
      </c>
      <c r="E61" s="1573">
        <v>144707</v>
      </c>
      <c r="F61" s="1573">
        <v>17957</v>
      </c>
      <c r="G61" s="1573"/>
      <c r="H61" s="1573"/>
      <c r="I61" s="1574"/>
      <c r="J61" s="1574"/>
      <c r="K61" s="1678">
        <f t="shared" si="7"/>
        <v>212933</v>
      </c>
      <c r="L61" s="1573">
        <v>240532</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208358</v>
      </c>
      <c r="D63" s="1573">
        <v>32368</v>
      </c>
      <c r="E63" s="1573">
        <v>698</v>
      </c>
      <c r="F63" s="1573">
        <v>178572</v>
      </c>
      <c r="G63" s="1573"/>
      <c r="H63" s="1573">
        <v>7656</v>
      </c>
      <c r="I63" s="1574"/>
      <c r="J63" s="1574"/>
      <c r="K63" s="1678">
        <f t="shared" si="7"/>
        <v>427652</v>
      </c>
      <c r="L63" s="1573">
        <v>449156</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325048</v>
      </c>
      <c r="D65" s="1674">
        <f t="shared" ref="D65:L65" si="8">SUM(D59:D64)</f>
        <v>32392</v>
      </c>
      <c r="E65" s="1674">
        <f t="shared" si="8"/>
        <v>145405</v>
      </c>
      <c r="F65" s="1674">
        <f t="shared" si="8"/>
        <v>210433</v>
      </c>
      <c r="G65" s="1674">
        <f t="shared" si="8"/>
        <v>0</v>
      </c>
      <c r="H65" s="1674">
        <f t="shared" si="8"/>
        <v>7656</v>
      </c>
      <c r="I65" s="1674">
        <f t="shared" si="8"/>
        <v>0</v>
      </c>
      <c r="J65" s="1674">
        <f t="shared" si="8"/>
        <v>0</v>
      </c>
      <c r="K65" s="1674">
        <f t="shared" si="8"/>
        <v>720934</v>
      </c>
      <c r="L65" s="1674">
        <f t="shared" si="8"/>
        <v>770392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500</v>
      </c>
      <c r="M73" s="501"/>
      <c r="N73" s="501"/>
    </row>
    <row r="74" spans="1:14" ht="12.75" customHeight="1" thickTop="1" thickBot="1" x14ac:dyDescent="0.25">
      <c r="A74" s="1380" t="s">
        <v>806</v>
      </c>
      <c r="B74" s="1384">
        <v>2000</v>
      </c>
      <c r="C74" s="1681">
        <f>SUM(C42,C47,C53,C57,C65,C72,C73)</f>
        <v>1192470</v>
      </c>
      <c r="D74" s="1681">
        <f t="shared" ref="D74:K74" si="10">SUM(D42,D47,D53,D57,D65,D72,D73)</f>
        <v>142412</v>
      </c>
      <c r="E74" s="1681">
        <f t="shared" si="10"/>
        <v>188883</v>
      </c>
      <c r="F74" s="1681">
        <f t="shared" si="10"/>
        <v>216553</v>
      </c>
      <c r="G74" s="1681">
        <f t="shared" si="10"/>
        <v>0</v>
      </c>
      <c r="H74" s="1681">
        <f t="shared" si="10"/>
        <v>14475</v>
      </c>
      <c r="I74" s="1681">
        <f t="shared" si="10"/>
        <v>0</v>
      </c>
      <c r="J74" s="1681">
        <f t="shared" si="10"/>
        <v>0</v>
      </c>
      <c r="K74" s="1681">
        <f t="shared" si="10"/>
        <v>1754793</v>
      </c>
      <c r="L74" s="1681">
        <f>SUM(L42,L47,L53,L57,L65,L72,L73)</f>
        <v>1826724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1000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11282</v>
      </c>
      <c r="F79" s="1673"/>
      <c r="G79" s="1673"/>
      <c r="H79" s="1573">
        <v>597447</v>
      </c>
      <c r="I79" s="1582"/>
      <c r="J79" s="1582"/>
      <c r="K79" s="1672">
        <f t="shared" si="11"/>
        <v>608729</v>
      </c>
      <c r="L79" s="1573">
        <v>570635</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29021</v>
      </c>
    </row>
    <row r="84" spans="1:12" ht="13.5" thickBot="1" x14ac:dyDescent="0.25">
      <c r="A84" s="1380" t="s">
        <v>1468</v>
      </c>
      <c r="B84" s="1385">
        <v>4100</v>
      </c>
      <c r="C84" s="1673"/>
      <c r="D84" s="1673"/>
      <c r="E84" s="1674">
        <f>SUM(E78:E83)</f>
        <v>11282</v>
      </c>
      <c r="F84" s="1673"/>
      <c r="G84" s="1673"/>
      <c r="H84" s="1674">
        <f>SUM(H78:H83)</f>
        <v>597447</v>
      </c>
      <c r="I84" s="1582"/>
      <c r="J84" s="1582"/>
      <c r="K84" s="1674">
        <f>SUM(K78:K83)</f>
        <v>608729</v>
      </c>
      <c r="L84" s="1674">
        <f>SUM(L78:L83)</f>
        <v>599656</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11282</v>
      </c>
      <c r="F102" s="1673"/>
      <c r="G102" s="1673"/>
      <c r="H102" s="1681">
        <f>SUM(H84,H92,H100,H101)</f>
        <v>597447</v>
      </c>
      <c r="I102" s="1582"/>
      <c r="J102" s="1582"/>
      <c r="K102" s="1681">
        <f>SUM(K84,K92,K100,K101)</f>
        <v>608729</v>
      </c>
      <c r="L102" s="1681">
        <f>SUM(L84,L92,L100,L101)</f>
        <v>599656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558</v>
      </c>
      <c r="I111" s="1575"/>
      <c r="J111" s="1575"/>
      <c r="K111" s="1688">
        <f>H111</f>
        <v>558</v>
      </c>
      <c r="L111" s="1628">
        <v>558</v>
      </c>
      <c r="M111" s="205"/>
      <c r="N111" s="205"/>
    </row>
    <row r="112" spans="1:14" s="493" customFormat="1" ht="12.75" customHeight="1" thickTop="1" thickBot="1" x14ac:dyDescent="0.25">
      <c r="A112" s="1380" t="s">
        <v>633</v>
      </c>
      <c r="B112" s="1381" t="s">
        <v>489</v>
      </c>
      <c r="C112" s="1673"/>
      <c r="D112" s="1673"/>
      <c r="E112" s="1673"/>
      <c r="F112" s="1673"/>
      <c r="G112" s="1673"/>
      <c r="H112" s="1674">
        <f>SUM(H110:H111)</f>
        <v>558</v>
      </c>
      <c r="I112" s="1575"/>
      <c r="J112" s="1575"/>
      <c r="K112" s="1674">
        <f>SUM(K110:K111)</f>
        <v>558</v>
      </c>
      <c r="L112" s="1681">
        <f>SUM(L110,L111)</f>
        <v>558</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5687827</v>
      </c>
      <c r="D114" s="1674">
        <f t="shared" ref="D114:K114" si="13">SUM(D33,D74,D75,D102,D112,D113)</f>
        <v>772372</v>
      </c>
      <c r="E114" s="1674">
        <f t="shared" si="13"/>
        <v>328058</v>
      </c>
      <c r="F114" s="1674">
        <f t="shared" si="13"/>
        <v>457519</v>
      </c>
      <c r="G114" s="1674">
        <f t="shared" si="13"/>
        <v>178130</v>
      </c>
      <c r="H114" s="1674">
        <f>SUM(H33,H74,H75,H102,H112,H113)</f>
        <v>612480</v>
      </c>
      <c r="I114" s="1674">
        <f t="shared" si="13"/>
        <v>0</v>
      </c>
      <c r="J114" s="1674">
        <f t="shared" si="13"/>
        <v>0</v>
      </c>
      <c r="K114" s="1674">
        <f t="shared" si="13"/>
        <v>8036386</v>
      </c>
      <c r="L114" s="1674">
        <f>SUM(L33,L74,L75,L102,L112,L113)</f>
        <v>8106403</v>
      </c>
    </row>
    <row r="115" spans="1:14" ht="13.5" thickTop="1" x14ac:dyDescent="0.2">
      <c r="A115" s="2259" t="s">
        <v>989</v>
      </c>
      <c r="B115" s="2260"/>
      <c r="C115" s="1675"/>
      <c r="D115" s="1675"/>
      <c r="E115" s="1675"/>
      <c r="F115" s="1675"/>
      <c r="G115" s="1675"/>
      <c r="H115" s="1675"/>
      <c r="I115" s="1675"/>
      <c r="J115" s="1675"/>
      <c r="K115" s="1689">
        <f>'Revenues 9-14'!C268-'Expenditures 15-22'!K114</f>
        <v>255278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148294</v>
      </c>
      <c r="D124" s="1573">
        <v>21661</v>
      </c>
      <c r="E124" s="1573">
        <v>139236</v>
      </c>
      <c r="F124" s="1573">
        <v>94555</v>
      </c>
      <c r="G124" s="1573">
        <v>6180</v>
      </c>
      <c r="H124" s="1573"/>
      <c r="I124" s="1574"/>
      <c r="J124" s="1574"/>
      <c r="K124" s="1674">
        <f>SUM(C124:J124)</f>
        <v>409926</v>
      </c>
      <c r="L124" s="1573">
        <v>426098</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148294</v>
      </c>
      <c r="D127" s="1674">
        <f t="shared" ref="D127:L127" si="14">SUM(D122:D126)</f>
        <v>21661</v>
      </c>
      <c r="E127" s="1674">
        <f t="shared" si="14"/>
        <v>139236</v>
      </c>
      <c r="F127" s="1674">
        <f t="shared" si="14"/>
        <v>94555</v>
      </c>
      <c r="G127" s="1674">
        <f t="shared" si="14"/>
        <v>6180</v>
      </c>
      <c r="H127" s="1674">
        <f t="shared" si="14"/>
        <v>0</v>
      </c>
      <c r="I127" s="1674">
        <f t="shared" si="14"/>
        <v>0</v>
      </c>
      <c r="J127" s="1674">
        <f t="shared" si="14"/>
        <v>0</v>
      </c>
      <c r="K127" s="1674">
        <f t="shared" si="14"/>
        <v>409926</v>
      </c>
      <c r="L127" s="1674">
        <f t="shared" si="14"/>
        <v>426098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148294</v>
      </c>
      <c r="D129" s="1681">
        <f t="shared" ref="D129:L129" si="15">SUM(D120,D127,D128)</f>
        <v>21661</v>
      </c>
      <c r="E129" s="1681">
        <f t="shared" si="15"/>
        <v>139236</v>
      </c>
      <c r="F129" s="1681">
        <f t="shared" si="15"/>
        <v>94555</v>
      </c>
      <c r="G129" s="1681">
        <f t="shared" si="15"/>
        <v>6180</v>
      </c>
      <c r="H129" s="1681">
        <f t="shared" si="15"/>
        <v>0</v>
      </c>
      <c r="I129" s="1681">
        <f t="shared" si="15"/>
        <v>0</v>
      </c>
      <c r="J129" s="1681">
        <f t="shared" si="15"/>
        <v>0</v>
      </c>
      <c r="K129" s="1681">
        <f t="shared" si="15"/>
        <v>409926</v>
      </c>
      <c r="L129" s="1681">
        <f t="shared" si="15"/>
        <v>426098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6" t="s">
        <v>616</v>
      </c>
      <c r="B151" s="2256"/>
      <c r="C151" s="1674">
        <f>SUM(C129,C130,C139,C149,C150)</f>
        <v>148294</v>
      </c>
      <c r="D151" s="1674">
        <f t="shared" ref="D151:K151" si="16">SUM(D129,D130,D139,D149,D150)</f>
        <v>21661</v>
      </c>
      <c r="E151" s="1674">
        <f t="shared" si="16"/>
        <v>139236</v>
      </c>
      <c r="F151" s="1674">
        <f t="shared" si="16"/>
        <v>94555</v>
      </c>
      <c r="G151" s="1674">
        <f t="shared" si="16"/>
        <v>6180</v>
      </c>
      <c r="H151" s="1674">
        <f t="shared" si="16"/>
        <v>0</v>
      </c>
      <c r="I151" s="1674">
        <f t="shared" si="16"/>
        <v>0</v>
      </c>
      <c r="J151" s="1674">
        <f t="shared" si="16"/>
        <v>0</v>
      </c>
      <c r="K151" s="1674">
        <f t="shared" si="16"/>
        <v>409926</v>
      </c>
      <c r="L151" s="1674">
        <f>SUM(L129,L130,L139,L149,L150)</f>
        <v>426098</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11111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73750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73750</v>
      </c>
    </row>
    <row r="169" spans="1:14" ht="15.75" customHeight="1" thickTop="1" x14ac:dyDescent="0.2">
      <c r="A169" s="543" t="s">
        <v>83</v>
      </c>
      <c r="B169" s="544" t="s">
        <v>38</v>
      </c>
      <c r="C169" s="1673"/>
      <c r="D169" s="1673"/>
      <c r="E169" s="1673"/>
      <c r="F169" s="1673"/>
      <c r="G169" s="1673"/>
      <c r="H169" s="1695">
        <v>73750</v>
      </c>
      <c r="I169" s="1673"/>
      <c r="J169" s="1673"/>
      <c r="K169" s="1672">
        <f>SUM(C169:H169)</f>
        <v>73750</v>
      </c>
      <c r="L169" s="1695">
        <v>137375</v>
      </c>
    </row>
    <row r="170" spans="1:14" ht="33.75" customHeight="1" x14ac:dyDescent="0.2">
      <c r="A170" s="543" t="s">
        <v>1651</v>
      </c>
      <c r="B170" s="545" t="s">
        <v>31</v>
      </c>
      <c r="C170" s="1673"/>
      <c r="D170" s="1673"/>
      <c r="E170" s="1673"/>
      <c r="F170" s="1673"/>
      <c r="G170" s="1673"/>
      <c r="H170" s="1646">
        <v>129021</v>
      </c>
      <c r="I170" s="1673"/>
      <c r="J170" s="1673"/>
      <c r="K170" s="1672">
        <f>SUM(C170:J170)</f>
        <v>129021</v>
      </c>
      <c r="L170" s="1646">
        <v>29000</v>
      </c>
    </row>
    <row r="171" spans="1:14" ht="15.75" customHeight="1" x14ac:dyDescent="0.2">
      <c r="A171" s="507" t="s">
        <v>761</v>
      </c>
      <c r="B171" s="546" t="s">
        <v>84</v>
      </c>
      <c r="C171" s="1673"/>
      <c r="D171" s="1673"/>
      <c r="E171" s="1573"/>
      <c r="F171" s="1673"/>
      <c r="G171" s="1673"/>
      <c r="H171" s="1646">
        <v>125</v>
      </c>
      <c r="I171" s="1582"/>
      <c r="J171" s="1673"/>
      <c r="K171" s="1672">
        <f>SUM(C171:J171)</f>
        <v>125</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202896</v>
      </c>
      <c r="I172" s="1684"/>
      <c r="J172" s="1673"/>
      <c r="K172" s="1681">
        <f>SUM(K168,K169,K170,K171)</f>
        <v>202896</v>
      </c>
      <c r="L172" s="1681">
        <f>SUM(L168,L169,L170,L171)</f>
        <v>240125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202896</v>
      </c>
      <c r="I174" s="1684"/>
      <c r="J174" s="1673"/>
      <c r="K174" s="1681">
        <f>SUM(K160,K172,K173)</f>
        <v>202896</v>
      </c>
      <c r="L174" s="1681">
        <f>SUM(L160,L172,L173)</f>
        <v>240125</v>
      </c>
    </row>
    <row r="175" spans="1:14" ht="13.5" thickTop="1" x14ac:dyDescent="0.2">
      <c r="A175" s="2259" t="s">
        <v>989</v>
      </c>
      <c r="B175" s="2260"/>
      <c r="C175" s="1673"/>
      <c r="D175" s="1673"/>
      <c r="E175" s="1673"/>
      <c r="F175" s="1673"/>
      <c r="G175" s="1673"/>
      <c r="H175" s="1675"/>
      <c r="I175" s="1673"/>
      <c r="J175" s="1673"/>
      <c r="K175" s="1689">
        <f>'Revenues 9-14'!E268-'Expenditures 15-22'!K174</f>
        <v>-25957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7383</v>
      </c>
      <c r="D182" s="1573">
        <v>497</v>
      </c>
      <c r="E182" s="1573">
        <v>414895</v>
      </c>
      <c r="F182" s="1573">
        <v>1411</v>
      </c>
      <c r="G182" s="1573"/>
      <c r="H182" s="1573">
        <v>427</v>
      </c>
      <c r="I182" s="1574"/>
      <c r="J182" s="1574"/>
      <c r="K182" s="1672">
        <f>SUM(C182:J182)</f>
        <v>424613</v>
      </c>
      <c r="L182" s="1573">
        <v>574562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7383</v>
      </c>
      <c r="D184" s="1681">
        <f t="shared" ref="D184:J184" si="17">SUM(D180,D182,D183)</f>
        <v>497</v>
      </c>
      <c r="E184" s="1681">
        <f t="shared" si="17"/>
        <v>414895</v>
      </c>
      <c r="F184" s="1681">
        <f t="shared" si="17"/>
        <v>1411</v>
      </c>
      <c r="G184" s="1681">
        <f t="shared" si="17"/>
        <v>0</v>
      </c>
      <c r="H184" s="1681">
        <f t="shared" si="17"/>
        <v>427</v>
      </c>
      <c r="I184" s="1681">
        <f t="shared" si="17"/>
        <v>0</v>
      </c>
      <c r="J184" s="1681">
        <f t="shared" si="17"/>
        <v>0</v>
      </c>
      <c r="K184" s="1681">
        <f>SUM(K180,K182,K183)</f>
        <v>424613</v>
      </c>
      <c r="L184" s="1681">
        <f>SUM(L180, L182:L183)</f>
        <v>574562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7383</v>
      </c>
      <c r="D210" s="1674">
        <f>SUM(D184,D185)</f>
        <v>497</v>
      </c>
      <c r="E210" s="1674">
        <f>SUM(E184,E185,E196)</f>
        <v>414895</v>
      </c>
      <c r="F210" s="1674">
        <f>SUM(F184,F185)</f>
        <v>1411</v>
      </c>
      <c r="G210" s="1674">
        <f>SUM(G184,G185)</f>
        <v>0</v>
      </c>
      <c r="H210" s="1674">
        <f>SUM(H184,H185,H196,H208,H209)</f>
        <v>427</v>
      </c>
      <c r="I210" s="1674">
        <f>SUM(I184,I185)</f>
        <v>0</v>
      </c>
      <c r="J210" s="1674">
        <f>SUM(J184,J185)</f>
        <v>0</v>
      </c>
      <c r="K210" s="1672">
        <f>SUM(K184,K185,K196,K208,K209)</f>
        <v>424613</v>
      </c>
      <c r="L210" s="1674">
        <f>SUM(L184,L185,L196,L208,L209)</f>
        <v>574562</v>
      </c>
    </row>
    <row r="211" spans="1:14" ht="13.5" thickTop="1" x14ac:dyDescent="0.2">
      <c r="A211" s="2259" t="s">
        <v>989</v>
      </c>
      <c r="B211" s="2260"/>
      <c r="C211" s="1675"/>
      <c r="D211" s="1675"/>
      <c r="E211" s="1675"/>
      <c r="F211" s="1675"/>
      <c r="G211" s="1675"/>
      <c r="H211" s="1675"/>
      <c r="I211" s="1673"/>
      <c r="J211" s="1673"/>
      <c r="K211" s="1689">
        <f>'Revenues 9-14'!F268-'Expenditures 15-22'!K210</f>
        <v>158276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67124</v>
      </c>
      <c r="E215" s="1673"/>
      <c r="F215" s="1673"/>
      <c r="G215" s="1673"/>
      <c r="H215" s="1673"/>
      <c r="I215" s="1673"/>
      <c r="J215" s="1673"/>
      <c r="K215" s="1672">
        <f>D215</f>
        <v>67124</v>
      </c>
      <c r="L215" s="1573">
        <v>69000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77333</v>
      </c>
      <c r="E217" s="1673"/>
      <c r="F217" s="1673"/>
      <c r="G217" s="1673"/>
      <c r="H217" s="1673"/>
      <c r="I217" s="1673"/>
      <c r="J217" s="1673"/>
      <c r="K217" s="1672">
        <f t="shared" si="19"/>
        <v>77333</v>
      </c>
      <c r="L217" s="1573">
        <v>72100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17113</v>
      </c>
      <c r="E219" s="1673"/>
      <c r="F219" s="1673"/>
      <c r="G219" s="1673"/>
      <c r="H219" s="1673"/>
      <c r="I219" s="1673"/>
      <c r="J219" s="1673"/>
      <c r="K219" s="1672">
        <f t="shared" si="19"/>
        <v>17113</v>
      </c>
      <c r="L219" s="1573">
        <v>22500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1540</v>
      </c>
      <c r="E223" s="1673"/>
      <c r="F223" s="1673"/>
      <c r="G223" s="1673"/>
      <c r="H223" s="1673"/>
      <c r="I223" s="1673"/>
      <c r="J223" s="1673"/>
      <c r="K223" s="1672">
        <f t="shared" si="19"/>
        <v>1540</v>
      </c>
      <c r="L223" s="1573">
        <v>1825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v>3</v>
      </c>
      <c r="E225" s="1673"/>
      <c r="F225" s="1673"/>
      <c r="G225" s="1673"/>
      <c r="H225" s="1673"/>
      <c r="I225" s="1673"/>
      <c r="J225" s="1673"/>
      <c r="K225" s="1672">
        <f t="shared" si="19"/>
        <v>3</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163113</v>
      </c>
      <c r="E229" s="1673"/>
      <c r="F229" s="1673"/>
      <c r="G229" s="1673"/>
      <c r="H229" s="1673"/>
      <c r="I229" s="1673"/>
      <c r="J229" s="1673"/>
      <c r="K229" s="1674">
        <f>SUM(K215:K228)</f>
        <v>163113</v>
      </c>
      <c r="L229" s="1674">
        <f>SUM(L215:L228)</f>
        <v>165425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906</v>
      </c>
      <c r="E232" s="1673"/>
      <c r="F232" s="1673"/>
      <c r="G232" s="1673"/>
      <c r="H232" s="1673"/>
      <c r="I232" s="1673"/>
      <c r="J232" s="1673"/>
      <c r="K232" s="1672">
        <f t="shared" ref="K232:K237" si="20">D232</f>
        <v>906</v>
      </c>
      <c r="L232" s="1573">
        <v>1000</v>
      </c>
    </row>
    <row r="233" spans="1:12" x14ac:dyDescent="0.2">
      <c r="A233" s="1274" t="s">
        <v>1081</v>
      </c>
      <c r="B233" s="503">
        <v>2120</v>
      </c>
      <c r="C233" s="1673"/>
      <c r="D233" s="1573">
        <v>1682</v>
      </c>
      <c r="E233" s="1673"/>
      <c r="F233" s="1673"/>
      <c r="G233" s="1673"/>
      <c r="H233" s="1673"/>
      <c r="I233" s="1673"/>
      <c r="J233" s="1673"/>
      <c r="K233" s="1672">
        <f t="shared" si="20"/>
        <v>1682</v>
      </c>
      <c r="L233" s="1573">
        <v>1500</v>
      </c>
    </row>
    <row r="234" spans="1:12" x14ac:dyDescent="0.2">
      <c r="A234" s="1274" t="s">
        <v>196</v>
      </c>
      <c r="B234" s="503">
        <v>2130</v>
      </c>
      <c r="C234" s="1673"/>
      <c r="D234" s="1573">
        <v>12077</v>
      </c>
      <c r="E234" s="1673"/>
      <c r="F234" s="1673"/>
      <c r="G234" s="1673"/>
      <c r="H234" s="1673"/>
      <c r="I234" s="1673"/>
      <c r="J234" s="1673"/>
      <c r="K234" s="1672">
        <f t="shared" si="20"/>
        <v>12077</v>
      </c>
      <c r="L234" s="1573">
        <v>12000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14665</v>
      </c>
      <c r="E238" s="1673"/>
      <c r="F238" s="1673"/>
      <c r="G238" s="1673"/>
      <c r="H238" s="1673"/>
      <c r="I238" s="1673"/>
      <c r="J238" s="1673"/>
      <c r="K238" s="1674">
        <f>SUM(K232:K237)</f>
        <v>14665</v>
      </c>
      <c r="L238" s="1674">
        <f>SUM(L232:L237)</f>
        <v>14500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521</v>
      </c>
      <c r="E240" s="1673"/>
      <c r="F240" s="1673"/>
      <c r="G240" s="1673"/>
      <c r="H240" s="1673"/>
      <c r="I240" s="1673"/>
      <c r="J240" s="1673"/>
      <c r="K240" s="1678">
        <f>D240</f>
        <v>521</v>
      </c>
      <c r="L240" s="1586">
        <v>620</v>
      </c>
    </row>
    <row r="241" spans="1:12" x14ac:dyDescent="0.2">
      <c r="A241" s="1274" t="s">
        <v>810</v>
      </c>
      <c r="B241" s="503">
        <v>2220</v>
      </c>
      <c r="C241" s="1673"/>
      <c r="D241" s="1573">
        <v>1807</v>
      </c>
      <c r="E241" s="1673"/>
      <c r="F241" s="1673"/>
      <c r="G241" s="1673"/>
      <c r="H241" s="1673"/>
      <c r="I241" s="1673"/>
      <c r="J241" s="1673"/>
      <c r="K241" s="1678">
        <f>D241</f>
        <v>1807</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2328</v>
      </c>
      <c r="E243" s="1673"/>
      <c r="F243" s="1673"/>
      <c r="G243" s="1673"/>
      <c r="H243" s="1673"/>
      <c r="I243" s="1673"/>
      <c r="J243" s="1673"/>
      <c r="K243" s="1674">
        <f>SUM(K240:K242)</f>
        <v>2328</v>
      </c>
      <c r="L243" s="1674">
        <f>SUM(L240:L242)</f>
        <v>620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582</v>
      </c>
      <c r="E245" s="1673"/>
      <c r="F245" s="1673"/>
      <c r="G245" s="1673"/>
      <c r="H245" s="1673"/>
      <c r="I245" s="1673"/>
      <c r="J245" s="1673"/>
      <c r="K245" s="1678">
        <f>D245</f>
        <v>582</v>
      </c>
      <c r="L245" s="1586">
        <v>800</v>
      </c>
    </row>
    <row r="246" spans="1:12" x14ac:dyDescent="0.2">
      <c r="A246" s="1274" t="s">
        <v>813</v>
      </c>
      <c r="B246" s="503">
        <v>2320</v>
      </c>
      <c r="C246" s="1673"/>
      <c r="D246" s="1573">
        <v>1753</v>
      </c>
      <c r="E246" s="1673"/>
      <c r="F246" s="1673"/>
      <c r="G246" s="1673"/>
      <c r="H246" s="1673"/>
      <c r="I246" s="1673"/>
      <c r="J246" s="1673"/>
      <c r="K246" s="1678">
        <f t="shared" ref="K246:K256" si="21">D246</f>
        <v>1753</v>
      </c>
      <c r="L246" s="1573">
        <v>2000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1779</v>
      </c>
      <c r="B249" s="557" t="s">
        <v>280</v>
      </c>
      <c r="C249" s="1673"/>
      <c r="D249" s="1579"/>
      <c r="E249" s="1673"/>
      <c r="F249" s="1673"/>
      <c r="G249" s="1673"/>
      <c r="H249" s="1673"/>
      <c r="I249" s="1673"/>
      <c r="J249" s="1673"/>
      <c r="K249" s="1678">
        <f t="shared" si="21"/>
        <v>0</v>
      </c>
      <c r="L249" s="1573">
        <v>0</v>
      </c>
    </row>
    <row r="250" spans="1:12" x14ac:dyDescent="0.2">
      <c r="A250" s="1275" t="s">
        <v>1780</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2335</v>
      </c>
      <c r="E257" s="1673"/>
      <c r="F257" s="1673"/>
      <c r="G257" s="1673"/>
      <c r="H257" s="1673"/>
      <c r="I257" s="1673"/>
      <c r="J257" s="1673"/>
      <c r="K257" s="1674">
        <f>SUM(K245:K256)</f>
        <v>2335</v>
      </c>
      <c r="L257" s="1674">
        <f>SUM(L245:L256)</f>
        <v>2800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19809</v>
      </c>
      <c r="E259" s="1673"/>
      <c r="F259" s="1673"/>
      <c r="G259" s="1673"/>
      <c r="H259" s="1673"/>
      <c r="I259" s="1673"/>
      <c r="J259" s="1673"/>
      <c r="K259" s="1678">
        <f>D259</f>
        <v>19809</v>
      </c>
      <c r="L259" s="1586">
        <v>18750</v>
      </c>
    </row>
    <row r="260" spans="1:14" s="493" customFormat="1" x14ac:dyDescent="0.2">
      <c r="A260" s="1292" t="s">
        <v>1778</v>
      </c>
      <c r="B260" s="512">
        <v>2490</v>
      </c>
      <c r="C260" s="1673"/>
      <c r="D260" s="1573">
        <v>10190</v>
      </c>
      <c r="E260" s="1673"/>
      <c r="F260" s="1673"/>
      <c r="G260" s="1673"/>
      <c r="H260" s="1673"/>
      <c r="I260" s="1673"/>
      <c r="J260" s="1673"/>
      <c r="K260" s="1678">
        <f>D260</f>
        <v>10190</v>
      </c>
      <c r="L260" s="1573">
        <v>12500</v>
      </c>
      <c r="M260" s="205"/>
      <c r="N260" s="205"/>
    </row>
    <row r="261" spans="1:14" ht="12.75" customHeight="1" thickBot="1" x14ac:dyDescent="0.25">
      <c r="A261" s="1394" t="s">
        <v>261</v>
      </c>
      <c r="B261" s="1399" t="s">
        <v>34</v>
      </c>
      <c r="C261" s="1673"/>
      <c r="D261" s="1674">
        <f>SUM(D259:D260)</f>
        <v>29999</v>
      </c>
      <c r="E261" s="1673"/>
      <c r="F261" s="1673"/>
      <c r="G261" s="1673"/>
      <c r="H261" s="1673"/>
      <c r="I261" s="1673"/>
      <c r="J261" s="1673"/>
      <c r="K261" s="1674">
        <f>SUM(K259:K260)</f>
        <v>29999</v>
      </c>
      <c r="L261" s="1674">
        <f>SUM(L259:L260)</f>
        <v>31250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13579</v>
      </c>
      <c r="E264" s="1673"/>
      <c r="F264" s="1673"/>
      <c r="G264" s="1673"/>
      <c r="H264" s="1673"/>
      <c r="I264" s="1673"/>
      <c r="J264" s="1673"/>
      <c r="K264" s="1678">
        <f t="shared" ref="K264:K269" si="22">D264</f>
        <v>13579</v>
      </c>
      <c r="L264" s="1573">
        <v>13200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39101</v>
      </c>
      <c r="E266" s="1673"/>
      <c r="F266" s="1673"/>
      <c r="G266" s="1673"/>
      <c r="H266" s="1673"/>
      <c r="I266" s="1673"/>
      <c r="J266" s="1673"/>
      <c r="K266" s="1678">
        <f t="shared" si="22"/>
        <v>39101</v>
      </c>
      <c r="L266" s="1573">
        <v>44000</v>
      </c>
    </row>
    <row r="267" spans="1:14" x14ac:dyDescent="0.2">
      <c r="A267" s="1274" t="s">
        <v>947</v>
      </c>
      <c r="B267" s="503">
        <v>2550</v>
      </c>
      <c r="C267" s="1673"/>
      <c r="D267" s="1573">
        <v>107</v>
      </c>
      <c r="E267" s="1673"/>
      <c r="F267" s="1673"/>
      <c r="G267" s="1673"/>
      <c r="H267" s="1673"/>
      <c r="I267" s="1673"/>
      <c r="J267" s="1673"/>
      <c r="K267" s="1678">
        <f t="shared" si="22"/>
        <v>107</v>
      </c>
      <c r="L267" s="1573">
        <v>200</v>
      </c>
    </row>
    <row r="268" spans="1:14" x14ac:dyDescent="0.2">
      <c r="A268" s="1274" t="s">
        <v>100</v>
      </c>
      <c r="B268" s="503">
        <v>2560</v>
      </c>
      <c r="C268" s="1673"/>
      <c r="D268" s="1573">
        <v>32236</v>
      </c>
      <c r="E268" s="1673"/>
      <c r="F268" s="1673"/>
      <c r="G268" s="1673"/>
      <c r="H268" s="1673"/>
      <c r="I268" s="1673"/>
      <c r="J268" s="1673"/>
      <c r="K268" s="1678">
        <f t="shared" si="22"/>
        <v>32236</v>
      </c>
      <c r="L268" s="1573">
        <v>36500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85023</v>
      </c>
      <c r="E270" s="1673"/>
      <c r="F270" s="1673"/>
      <c r="G270" s="1673"/>
      <c r="H270" s="1673"/>
      <c r="I270" s="1673"/>
      <c r="J270" s="1673"/>
      <c r="K270" s="1674">
        <f>SUM(K263:K269)</f>
        <v>85023</v>
      </c>
      <c r="L270" s="1674">
        <f>SUM(L263:L269)</f>
        <v>93900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134350</v>
      </c>
      <c r="E279" s="1673"/>
      <c r="F279" s="1673"/>
      <c r="G279" s="1673"/>
      <c r="H279" s="1673"/>
      <c r="I279" s="1673"/>
      <c r="J279" s="1673"/>
      <c r="K279" s="1681">
        <f>SUM(K238,K243,K257,K261,K270,K277,K278)</f>
        <v>134350</v>
      </c>
      <c r="L279" s="1681">
        <f>SUM(L238,L243,L257,L261,L270,L277,L278)</f>
        <v>143070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297463</v>
      </c>
      <c r="E295" s="1673"/>
      <c r="F295" s="1673"/>
      <c r="G295" s="1673"/>
      <c r="H295" s="1674">
        <f>H293</f>
        <v>0</v>
      </c>
      <c r="I295" s="1673"/>
      <c r="J295" s="1673"/>
      <c r="K295" s="1674">
        <f>SUM(K229,K279,K280,K285,K293,K294)</f>
        <v>297463</v>
      </c>
      <c r="L295" s="1674">
        <f>SUM(L229,L279,L280,L285,L293,L294)</f>
        <v>308495</v>
      </c>
    </row>
    <row r="296" spans="1:14" ht="13.5" thickTop="1" x14ac:dyDescent="0.2">
      <c r="A296" s="2259" t="s">
        <v>989</v>
      </c>
      <c r="B296" s="2260"/>
      <c r="C296" s="1673"/>
      <c r="D296" s="1675"/>
      <c r="E296" s="1673"/>
      <c r="F296" s="1673"/>
      <c r="G296" s="1673"/>
      <c r="H296" s="1707"/>
      <c r="I296" s="1673"/>
      <c r="J296" s="1673"/>
      <c r="K296" s="1689">
        <f>'Revenues 9-14'!G268-'Expenditures 15-22'!K295</f>
        <v>-1539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v>63708</v>
      </c>
      <c r="I319" s="1574"/>
      <c r="J319" s="1574"/>
      <c r="K319" s="1672">
        <f>SUM(C319:J319)</f>
        <v>63708</v>
      </c>
      <c r="L319" s="1574">
        <v>64564</v>
      </c>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63708</v>
      </c>
      <c r="I330" s="1674">
        <f t="shared" si="25"/>
        <v>0</v>
      </c>
      <c r="J330" s="1674">
        <f t="shared" si="25"/>
        <v>0</v>
      </c>
      <c r="K330" s="1674">
        <f>SUM(K319:K329)</f>
        <v>63708</v>
      </c>
      <c r="L330" s="1674">
        <f>SUM(L319:L329)</f>
        <v>64564</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63708</v>
      </c>
      <c r="I342" s="1674">
        <f>SUM(I330)</f>
        <v>0</v>
      </c>
      <c r="J342" s="1674">
        <f>SUM(J330)</f>
        <v>0</v>
      </c>
      <c r="K342" s="1674">
        <f>SUM(K330,K334,K340)</f>
        <v>63708</v>
      </c>
      <c r="L342" s="1681">
        <f>SUM(L330,L334,L340,L341)</f>
        <v>64564</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1572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v>0</v>
      </c>
    </row>
    <row r="355" spans="1:14" ht="12.75" customHeight="1" x14ac:dyDescent="0.2">
      <c r="A355" s="1283" t="s">
        <v>1822</v>
      </c>
      <c r="B355" s="562" t="s">
        <v>1815</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59" t="s">
        <v>989</v>
      </c>
      <c r="B368" s="2260"/>
      <c r="C368" s="1694"/>
      <c r="D368" s="1694"/>
      <c r="E368" s="1677"/>
      <c r="F368" s="1677"/>
      <c r="G368" s="1677"/>
      <c r="H368" s="1677"/>
      <c r="I368" s="1677"/>
      <c r="J368" s="1676"/>
      <c r="K368" s="1672">
        <f>'Revenues 9-14'!K268-'Expenditures 15-22'!K367</f>
        <v>36231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28999999999999998" right="0.2" top="0.61" bottom="0.39" header="0.23" footer="0.19"/>
  <pageSetup scale="73" firstPageNumber="18" fitToHeight="0" orientation="landscape" useFirstPageNumber="1" r:id="rId1"/>
  <headerFooter differentOddEven="1" alignWithMargins="0">
    <oddHeader>&amp;C&amp;"Arial,Bold"&amp;9Salem Elementary School District 111
STATEMENT OF EXPENDITURES DISBURSED/EXPENDITURES, BUDGET TO ACTUAL (ALL FUNDS)
FOR THE YEAR ENDING JUNE 30, 2020</oddHeader>
    <oddFooter>&amp;L&amp;11See accompanying notes to the financial statements.&amp;C&amp;14- &amp;P -</oddFooter>
    <evenHeader>&amp;C&amp;"Arial,Bold"&amp;9Salem Elementary School District 111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2021-01-19T21:35:24Z</cp:lastPrinted>
  <dcterms:created xsi:type="dcterms:W3CDTF">2003-10-29T19:06:34Z</dcterms:created>
  <dcterms:modified xsi:type="dcterms:W3CDTF">2021-01-23T00:41:30Z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