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091D9E-2938-4AB3-A998-02B4780BAD3A}"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E44" i="29"/>
  <c r="L12" i="184" l="1"/>
  <c r="L13" i="184"/>
  <c r="L14" i="184"/>
  <c r="L15" i="184"/>
  <c r="L16" i="184"/>
  <c r="L17" i="184"/>
  <c r="H18" i="184"/>
  <c r="L18" i="184"/>
  <c r="I19" i="184"/>
  <c r="J19" i="184"/>
  <c r="K19" i="184"/>
  <c r="L52" i="184"/>
  <c r="L53" i="184"/>
  <c r="G68" i="184"/>
  <c r="G12" i="184" s="1"/>
  <c r="H68" i="184"/>
  <c r="G13" i="184" s="1"/>
  <c r="I68" i="184"/>
  <c r="G14" i="184" s="1"/>
  <c r="J68" i="184"/>
  <c r="G15" i="184" s="1"/>
  <c r="K68" i="184"/>
  <c r="G16" i="184" s="1"/>
  <c r="L68" i="184"/>
  <c r="G17" i="184" s="1"/>
  <c r="L19" i="184" l="1"/>
  <c r="G19" i="184"/>
  <c r="C107" i="5"/>
  <c r="J23" i="127"/>
  <c r="J18" i="127"/>
  <c r="J14" i="127"/>
  <c r="J11" i="127"/>
  <c r="J6" i="127"/>
  <c r="J7" i="127" s="1"/>
  <c r="J8" i="127"/>
  <c r="E10" i="108"/>
  <c r="K9" i="12"/>
  <c r="J8" i="12"/>
  <c r="J15" i="12" s="1"/>
  <c r="H5" i="12"/>
  <c r="H14" i="12" s="1"/>
  <c r="I4" i="3"/>
  <c r="G4" i="3"/>
  <c r="E4" i="3"/>
  <c r="N21" i="3" s="1"/>
  <c r="D4" i="3"/>
  <c r="L33" i="3"/>
  <c r="C5" i="29" l="1"/>
  <c r="D13" i="29"/>
  <c r="D14" i="29"/>
  <c r="D10" i="29"/>
  <c r="D8" i="29"/>
  <c r="D5" i="29"/>
  <c r="D55" i="29"/>
  <c r="D50" i="29"/>
  <c r="D37" i="29"/>
  <c r="D17" i="29"/>
  <c r="K4" i="3"/>
  <c r="L39" i="3" l="1"/>
  <c r="E38"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1" i="127"/>
  <c r="B52"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162" i="106" l="1"/>
  <c r="D7162" i="106" s="1"/>
  <c r="E61" i="184"/>
  <c r="B7153" i="106"/>
  <c r="D7153" i="106" s="1"/>
  <c r="E60" i="184"/>
  <c r="B7705" i="106"/>
  <c r="D7705" i="106" s="1"/>
  <c r="E67" i="184"/>
  <c r="M59" i="184"/>
  <c r="N59" i="184" s="1"/>
  <c r="B7696" i="106"/>
  <c r="D7696" i="106" s="1"/>
  <c r="E66" i="184"/>
  <c r="B7135" i="106"/>
  <c r="D7135" i="106" s="1"/>
  <c r="E58" i="184"/>
  <c r="B7198" i="106"/>
  <c r="D7198" i="106" s="1"/>
  <c r="E65" i="184"/>
  <c r="B7126" i="106"/>
  <c r="D7126" i="106" s="1"/>
  <c r="E57" i="184"/>
  <c r="B7189" i="106"/>
  <c r="D7189" i="106" s="1"/>
  <c r="E64" i="184"/>
  <c r="G33" i="108"/>
  <c r="E17" i="184"/>
  <c r="H17" i="184" s="1"/>
  <c r="B7180" i="106"/>
  <c r="D7180" i="106" s="1"/>
  <c r="E63" i="184"/>
  <c r="B7171" i="106"/>
  <c r="D7171" i="106" s="1"/>
  <c r="E62" i="184"/>
  <c r="D31" i="108"/>
  <c r="E16" i="184"/>
  <c r="B3454" i="106"/>
  <c r="D3454" i="106" s="1"/>
  <c r="M20" i="3"/>
  <c r="B2864" i="106" s="1"/>
  <c r="D2864" i="106" s="1"/>
  <c r="B2026" i="106"/>
  <c r="D2026" i="106" s="1"/>
  <c r="M16" i="3"/>
  <c r="B2029" i="106"/>
  <c r="D2029" i="106" s="1"/>
  <c r="M19" i="3"/>
  <c r="B276" i="106" s="1"/>
  <c r="D276" i="106" s="1"/>
  <c r="B6871" i="106"/>
  <c r="D6871" i="106" s="1"/>
  <c r="K14" i="12"/>
  <c r="B2028" i="106"/>
  <c r="D2028" i="106" s="1"/>
  <c r="M18" i="3"/>
  <c r="B275" i="106" s="1"/>
  <c r="D275" i="106" s="1"/>
  <c r="B1326" i="106"/>
  <c r="D1326" i="106" s="1"/>
  <c r="J22" i="127"/>
  <c r="J24" i="127" s="1"/>
  <c r="B4173" i="106"/>
  <c r="D4173" i="106" s="1"/>
  <c r="J26" i="127"/>
  <c r="B2027" i="106"/>
  <c r="D2027" i="106" s="1"/>
  <c r="M17" i="3"/>
  <c r="B274" i="106" s="1"/>
  <c r="D274" i="106" s="1"/>
  <c r="D68" i="36"/>
  <c r="F42" i="34"/>
  <c r="H76" i="4"/>
  <c r="B3298" i="106" s="1"/>
  <c r="D3298" i="106" s="1"/>
  <c r="F34" i="34"/>
  <c r="B7826" i="106" s="1"/>
  <c r="D7826" i="106" s="1"/>
  <c r="F77" i="4"/>
  <c r="B3255" i="106" s="1"/>
  <c r="D3255" i="106" s="1"/>
  <c r="H365" i="29"/>
  <c r="B7242" i="106" s="1"/>
  <c r="D7242" i="106" s="1"/>
  <c r="F50" i="34"/>
  <c r="C352" i="29"/>
  <c r="C367" i="29" s="1"/>
  <c r="B3622" i="106" s="1"/>
  <c r="D3622" i="106" s="1"/>
  <c r="C342" i="29"/>
  <c r="B7216" i="106" s="1"/>
  <c r="D7216" i="106" s="1"/>
  <c r="H342" i="29"/>
  <c r="B7221" i="106" s="1"/>
  <c r="D7221" i="106" s="1"/>
  <c r="F70" i="34"/>
  <c r="G39" i="108"/>
  <c r="B2836" i="106"/>
  <c r="D2836" i="106" s="1"/>
  <c r="J210" i="29"/>
  <c r="B7072" i="106" s="1"/>
  <c r="D7072" i="106" s="1"/>
  <c r="I210" i="29"/>
  <c r="B7071" i="106" s="1"/>
  <c r="D7071" i="106" s="1"/>
  <c r="C129" i="29"/>
  <c r="B1225" i="106" s="1"/>
  <c r="D1225" i="106" s="1"/>
  <c r="I129" i="29"/>
  <c r="B7037" i="106" s="1"/>
  <c r="D7037" i="106" s="1"/>
  <c r="B1274" i="106"/>
  <c r="D1274" i="106" s="1"/>
  <c r="G26" i="108"/>
  <c r="J129" i="29"/>
  <c r="B7038" i="106" s="1"/>
  <c r="D7038" i="106" s="1"/>
  <c r="B6995" i="106"/>
  <c r="D6995" i="106" s="1"/>
  <c r="G35" i="108"/>
  <c r="E34" i="108"/>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M62" i="184" l="1"/>
  <c r="N62" i="184" s="1"/>
  <c r="M57" i="184"/>
  <c r="N57" i="184" s="1"/>
  <c r="E68" i="184"/>
  <c r="M63" i="184"/>
  <c r="N63" i="184" s="1"/>
  <c r="M65" i="184"/>
  <c r="N65" i="184" s="1"/>
  <c r="M67" i="184"/>
  <c r="N67" i="184" s="1"/>
  <c r="M58" i="184"/>
  <c r="N58" i="184" s="1"/>
  <c r="M60" i="184"/>
  <c r="N60" i="184"/>
  <c r="M64" i="184"/>
  <c r="N64" i="184"/>
  <c r="M66" i="184"/>
  <c r="N66" i="184"/>
  <c r="M61" i="184"/>
  <c r="N61" i="184" s="1"/>
  <c r="E19" i="184"/>
  <c r="H16" i="184"/>
  <c r="H19" i="184" s="1"/>
  <c r="L20" i="184" s="1"/>
  <c r="M23" i="3"/>
  <c r="B273" i="106"/>
  <c r="D273" i="106" s="1"/>
  <c r="J33" i="8"/>
  <c r="J31" i="8"/>
  <c r="J35" i="8"/>
  <c r="J34" i="8"/>
  <c r="K23" i="12"/>
  <c r="B7721" i="106"/>
  <c r="D7721" i="106" s="1"/>
  <c r="J151" i="29"/>
  <c r="B7052" i="106" s="1"/>
  <c r="D7052" i="106" s="1"/>
  <c r="B3621" i="106"/>
  <c r="D3621" i="106" s="1"/>
  <c r="F66" i="34"/>
  <c r="K77" i="4"/>
  <c r="B3587" i="106" s="1"/>
  <c r="D3587" i="106" s="1"/>
  <c r="L16" i="11"/>
  <c r="B2061" i="106" s="1"/>
  <c r="D2061" i="106" s="1"/>
  <c r="K365" i="29"/>
  <c r="K16" i="4" s="1"/>
  <c r="B1328" i="106"/>
  <c r="D1328" i="106" s="1"/>
  <c r="I7" i="4"/>
  <c r="B4444" i="106" s="1"/>
  <c r="D4444" i="106" s="1"/>
  <c r="G170" i="5"/>
  <c r="B5778" i="106" s="1"/>
  <c r="D5778" i="106" s="1"/>
  <c r="B5527" i="106"/>
  <c r="D5527" i="106" s="1"/>
  <c r="B7235" i="106"/>
  <c r="D7235" i="106" s="1"/>
  <c r="E367" i="29"/>
  <c r="B3636" i="106" s="1"/>
  <c r="D3636" i="106" s="1"/>
  <c r="B3635" i="106"/>
  <c r="D3635" i="106" s="1"/>
  <c r="J16" i="4"/>
  <c r="B6226" i="106" s="1"/>
  <c r="D6226" i="106" s="1"/>
  <c r="B7222" i="106"/>
  <c r="D7222" i="106" s="1"/>
  <c r="F76" i="34"/>
  <c r="B7887" i="106" s="1"/>
  <c r="D7887" i="106" s="1"/>
  <c r="B7220" i="106"/>
  <c r="D7220" i="106" s="1"/>
  <c r="F75" i="34"/>
  <c r="B7886" i="106" s="1"/>
  <c r="D7886" i="106" s="1"/>
  <c r="K342" i="29"/>
  <c r="F13" i="34" s="1"/>
  <c r="B1381" i="106"/>
  <c r="D1381" i="106" s="1"/>
  <c r="C151" i="29"/>
  <c r="B1226" i="106" s="1"/>
  <c r="D1226" i="106" s="1"/>
  <c r="I151" i="29"/>
  <c r="F59" i="34" s="1"/>
  <c r="B1266" i="106"/>
  <c r="D1266" i="106" s="1"/>
  <c r="F41" i="108"/>
  <c r="G43" i="108" s="1"/>
  <c r="L114" i="29"/>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68" i="184" l="1"/>
  <c r="M68" i="184"/>
  <c r="B7800" i="106"/>
  <c r="D7800" i="106" s="1"/>
  <c r="K24" i="12"/>
  <c r="J49" i="8"/>
  <c r="B279" i="106"/>
  <c r="D279" i="106" s="1"/>
  <c r="M40" i="3"/>
  <c r="B7243" i="106"/>
  <c r="D7243" i="106" s="1"/>
  <c r="G6" i="4"/>
  <c r="B2604" i="106" s="1"/>
  <c r="D2604" i="106" s="1"/>
  <c r="B7224" i="106"/>
  <c r="D7224" i="106" s="1"/>
  <c r="B7051" i="106"/>
  <c r="D705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B7733" i="106"/>
  <c r="D7733" i="106" s="1"/>
  <c r="K26" i="12"/>
  <c r="B7743" i="106" s="1"/>
  <c r="D7743" i="106" s="1"/>
  <c r="B6223" i="106"/>
  <c r="D6223" i="106" s="1"/>
  <c r="F8" i="4"/>
  <c r="F10" i="4" s="1"/>
  <c r="B4125" i="106" s="1"/>
  <c r="D4125" i="106" s="1"/>
  <c r="K17" i="4"/>
  <c r="K20" i="4" s="1"/>
  <c r="J19" i="4"/>
  <c r="B6229" i="106" s="1"/>
  <c r="D6229" i="106" s="1"/>
  <c r="J20" i="4"/>
  <c r="J78" i="4"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N23" i="3"/>
  <c r="B284" i="106" s="1"/>
  <c r="D284" i="106" s="1"/>
  <c r="B281" i="106"/>
  <c r="D281" i="106" s="1"/>
  <c r="D54" i="36"/>
  <c r="B2595" i="106"/>
  <c r="D2595" i="106" s="1"/>
  <c r="D8" i="146"/>
  <c r="B3575" i="106"/>
  <c r="D3575" i="106" s="1"/>
  <c r="K19" i="4"/>
  <c r="B4144" i="106" s="1"/>
  <c r="D4144" i="106"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10" i="146" l="1"/>
  <c r="B6215" i="106"/>
  <c r="D6215" i="106" s="1"/>
  <c r="J41" i="3"/>
  <c r="F8" i="146"/>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51" i="36" l="1"/>
  <c r="B6216" i="106"/>
  <c r="D6216" i="106" s="1"/>
  <c r="B123" i="106"/>
  <c r="D123" i="106" s="1"/>
  <c r="D41" i="3"/>
  <c r="B3567" i="106"/>
  <c r="D3567" i="106" s="1"/>
  <c r="K41" i="3"/>
  <c r="B2912" i="106"/>
  <c r="D2912" i="106" s="1"/>
  <c r="I41" i="3"/>
  <c r="B212" i="106"/>
  <c r="D212" i="106" s="1"/>
  <c r="H41" i="3"/>
  <c r="F10" i="146"/>
  <c r="B3239" i="106"/>
  <c r="D3239" i="106" s="1"/>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189" i="106"/>
  <c r="D189" i="106" s="1"/>
  <c r="G41" i="3"/>
  <c r="D76" i="36"/>
  <c r="B140" i="106"/>
  <c r="D140" i="106" s="1"/>
  <c r="E41" i="3"/>
  <c r="B124" i="106"/>
  <c r="D124" i="106" s="1"/>
  <c r="D45" i="36"/>
  <c r="B92" i="106"/>
  <c r="D92" i="106" s="1"/>
  <c r="C41" i="3"/>
  <c r="B3568" i="106"/>
  <c r="D3568" i="106" s="1"/>
  <c r="D52" i="36"/>
  <c r="B2913" i="106"/>
  <c r="D2913" i="106" s="1"/>
  <c r="D50" i="36"/>
  <c r="B213" i="106"/>
  <c r="D213" i="106" s="1"/>
  <c r="D49"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<sst xmlns="http://schemas.openxmlformats.org/spreadsheetml/2006/main" count="5172" uniqueCount="2104">
  <si>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</si>
  <si>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</si>
  <si>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</si>
  <si>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</si>
  <si>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</si>
  <si>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</si>
  <si>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</si>
  <si>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</si>
  <si>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</si>
  <si>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</si>
  <si>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</si>
  <si>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</si>
  <si>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</si>
  <si>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</si>
  <si>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</si>
  <si>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</si>
  <si>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</si>
  <si>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</si>
  <si>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</si>
  <si>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</si>
  <si>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</si>
  <si>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</si>
  <si>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</si>
  <si>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</si>
  <si>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</si>
  <si>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</si>
  <si>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</si>
  <si>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</si>
  <si>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</si>
  <si>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</si>
  <si>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</si>
  <si>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</si>
  <si>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</si>
  <si>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</si>
  <si>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</si>
  <si>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</si>
  <si>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</si>
  <si>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</si>
  <si>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</si>
  <si>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</si>
  <si>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</si>
  <si>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</si>
  <si>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</si>
  <si>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</si>
  <si>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</si>
  <si>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</si>
  <si>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</si>
  <si>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</si>
  <si>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</si>
  <si>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</si>
  <si>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</si>
  <si>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</si>
  <si>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</si>
  <si>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</si>
  <si>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</si>
  <si>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</si>
  <si>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</si>
  <si>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</si>
  <si>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</si>
  <si>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</si>
  <si>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</si>
  <si>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</si>
  <si>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</si>
  <si>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</si>
  <si>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</si>
  <si>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</si>
  <si>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</si>
  <si>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</si>
  <si>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</si>
  <si>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</si>
  <si>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</si>
  <si>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</si>
  <si>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</si>
  <si>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</si>
  <si>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</si>
  <si>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</si>
  <si>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</si>
  <si>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</si>
  <si>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</si>
  <si>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</si>
  <si>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</si>
  <si>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</si>
  <si>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</si>
  <si>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</si>
  <si>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</si>
  <si>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</si>
  <si>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</si>
  <si>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</si>
  <si>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</si>
  <si>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</si>
  <si>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</si>
  <si>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</si>
  <si>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</si>
  <si>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</si>
  <si>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</si>
  <si>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</si>
  <si>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</si>
  <si>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</si>
  <si>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</si>
  <si>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</si>
  <si>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</si>
  <si>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</si>
  <si>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</si>
  <si>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</si>
  <si>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</si>
  <si>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</si>
  <si>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</si>
  <si>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</si>
  <si>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</si>
  <si>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</si>
  <si>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</si>
  <si>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</si>
  <si>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</si>
  <si>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</si>
  <si>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</si>
  <si>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</si>
  <si>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</si>
  <si>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</si>
  <si>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</si>
  <si>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</si>
  <si>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</si>
  <si>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</si>
  <si>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</si>
  <si>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</si>
  <si>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</si>
  <si>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</si>
  <si>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</si>
  <si>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</si>
  <si>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</si>
  <si>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</si>
  <si>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</si>
  <si>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</si>
  <si>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</si>
  <si>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</si>
  <si>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</si>
  <si>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</si>
  <si>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</si>
  <si>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</si>
  <si>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</si>
  <si>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</si>
  <si>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</si>
  <si>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</si>
  <si>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</si>
  <si>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</si>
  <si>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</si>
  <si>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</si>
  <si>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</si>
  <si>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</si>
  <si>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</si>
  <si>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</si>
  <si>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</si>
  <si>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</si>
  <si>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</si>
  <si>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</si>
  <si>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</si>
  <si>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</si>
  <si>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</si>
  <si>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</si>
  <si>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</si>
  <si>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</si>
  <si>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</si>
  <si>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</si>
  <si>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</si>
  <si>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</si>
  <si>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</si>
  <si>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</si>
  <si>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</si>
  <si>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</si>
  <si>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</si>
  <si>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</si>
  <si>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</si>
  <si>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</si>
  <si>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</si>
  <si>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</si>
  <si>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</si>
  <si>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</si>
  <si>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</si>
  <si>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</si>
  <si>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</si>
  <si>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</si>
  <si>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</si>
  <si>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</si>
  <si>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</si>
  <si>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</si>
  <si>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</si>
  <si>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</si>
  <si>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</si>
  <si>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</si>
  <si>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</si>
  <si>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</si>
  <si>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</si>
  <si>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</si>
  <si>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</si>
  <si>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</si>
  <si>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</si>
  <si>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</si>
  <si>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</si>
  <si>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</si>
  <si>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</si>
  <si>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</si>
  <si>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</si>
  <si>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</si>
  <si>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</si>
  <si>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</si>
  <si>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</si>
  <si>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</si>
  <si>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</si>
  <si>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</si>
  <si>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</si>
  <si>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</si>
  <si>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</si>
  <si>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</si>
  <si>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</si>
  <si>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</si>
  <si>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</si>
  <si>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</si>
  <si>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</si>
  <si>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</si>
  <si>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</si>
  <si>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</si>
  <si>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</si>
  <si>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</si>
  <si>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</si>
  <si>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</si>
  <si>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</si>
  <si>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</si>
  <si>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</si>
  <si>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</si>
  <si>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</si>
  <si>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</si>
  <si>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</si>
  <si>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</si>
  <si>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</si>
  <si>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</si>
  <si>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</si>
  <si>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</si>
  <si>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</si>
  <si>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</si>
  <si>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</si>
  <si>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</si>
  <si>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</si>
  <si>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</si>
  <si>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</si>
  <si>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</si>
  <si>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</si>
  <si>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</si>
  <si>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</si>
  <si>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</si>
  <si>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</si>
  <si>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</si>
  <si>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</si>
  <si>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</si>
  <si>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</si>
  <si>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</si>
  <si>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</si>
  <si>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</si>
  <si>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</si>
  <si>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</si>
  <si>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</si>
  <si>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</si>
  <si>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</si>
  <si>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</si>
  <si>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</si>
  <si>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</si>
  <si>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</si>
  <si>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</si>
  <si>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</si>
  <si>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</si>
  <si>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</si>
  <si>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</si>
  <si>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</si>
  <si>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</si>
  <si>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</si>
  <si>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</si>
  <si>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</si>
  <si>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</si>
  <si>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</si>
  <si>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</si>
  <si>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</si>
  <si>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</si>
  <si>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</si>
  <si>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</si>
  <si>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</si>
  <si>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</si>
  <si>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</si>
  <si>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</si>
  <si>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</si>
  <si>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</si>
  <si>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</si>
  <si>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</si>
  <si>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</si>
  <si>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</si>
  <si>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</si>
  <si>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</si>
  <si>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</si>
  <si>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</si>
  <si>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</si>
  <si>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</si>
  <si>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</si>
  <si>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</si>
  <si>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</si>
  <si>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</si>
  <si>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</si>
  <si>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</si>
  <si>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</si>
  <si>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</si>
  <si>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</si>
  <si>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</si>
  <si>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</si>
  <si>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</si>
  <si>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</si>
  <si>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</si>
  <si>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</si>
  <si>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</si>
  <si>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</si>
  <si>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</si>
  <si>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</si>
  <si>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</si>
  <si>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</si>
  <si>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</si>
  <si>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</si>
  <si>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</si>
  <si>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</si>
  <si>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</si>
  <si>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</si>
  <si>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</si>
  <si>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</si>
  <si>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</si>
  <si>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</si>
  <si>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</si>
  <si>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</si>
  <si>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</si>
  <si>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</si>
  <si>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</si>
  <si>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</si>
  <si>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</si>
  <si>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</si>
  <si>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</si>
  <si>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</si>
  <si>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</si>
  <si>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</si>
  <si>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</si>
  <si>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</si>
  <si>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</si>
  <si>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</si>
  <si>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</si>
  <si>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</si>
  <si>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</si>
  <si>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</si>
  <si>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</si>
  <si>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</si>
  <si>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</si>
  <si>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</si>
  <si>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</si>
  <si>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</si>
  <si>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</si>
  <si>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</si>
  <si>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</si>
  <si>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</si>
  <si>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</si>
  <si>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</si>
  <si>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</si>
  <si>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</si>
  <si>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</si>
  <si>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</si>
  <si>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</si>
  <si>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</si>
  <si>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</si>
  <si>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</si>
  <si>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</si>
  <si>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</si>
  <si>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</si>
  <si>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</si>
  <si>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</si>
  <si>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</si>
  <si>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</si>
  <si>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</si>
  <si>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</si>
  <si>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</si>
  <si>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</si>
  <si>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</si>
  <si>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</si>
  <si>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</si>
  <si>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</si>
  <si>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</si>
  <si>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</si>
  <si>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</si>
  <si>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</si>
  <si>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</si>
  <si>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</si>
  <si>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</si>
  <si>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</si>
  <si>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</si>
  <si>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</si>
  <si>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</si>
  <si>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</si>
  <si>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</si>
  <si>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</si>
  <si>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</si>
  <si>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</si>
  <si>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</si>
  <si>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</si>
  <si>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</si>
  <si>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</si>
  <si>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</si>
  <si>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</si>
  <si>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</si>
  <si>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</si>
  <si>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</si>
  <si>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</si>
  <si>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</si>
  <si>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</si>
  <si>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</si>
  <si>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</si>
  <si>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</si>
  <si>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</si>
  <si>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</si>
  <si>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</si>
  <si>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</si>
  <si>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</si>
  <si>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</si>
  <si>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</si>
  <si>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</si>
  <si>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</si>
  <si>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</si>
  <si>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</si>
  <si>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</si>
  <si>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</si>
  <si>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</si>
  <si>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</si>
  <si>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</si>
  <si>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</si>
  <si>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</si>
  <si>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</si>
  <si>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</si>
  <si>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</si>
  <si>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</si>
  <si>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</si>
  <si>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</si>
  <si>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</si>
  <si>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</si>
  <si>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</si>
  <si>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</si>
  <si>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</si>
  <si>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</si>
  <si>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</si>
  <si>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</si>
  <si>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</si>
  <si>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</si>
  <si>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</si>
  <si>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</si>
  <si>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</si>
  <si>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</si>
  <si>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</si>
  <si>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</si>
  <si>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</si>
  <si>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</si>
  <si>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</si>
  <si>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</si>
  <si>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</si>
  <si>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</si>
  <si>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</si>
  <si>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</si>
  <si>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</si>
  <si>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</si>
  <si>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</si>
  <si>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</si>
  <si>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</si>
  <si>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</si>
  <si>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</si>
  <si>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</si>
  <si>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</si>
  <si>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</si>
  <si>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</si>
  <si>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</si>
  <si>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</si>
  <si>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</si>
  <si>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</si>
  <si>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</si>
  <si>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</si>
  <si>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</si>
  <si>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</si>
  <si>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</si>
  <si>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</si>
  <si>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</si>
  <si>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</si>
  <si>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</si>
  <si>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</si>
  <si>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</si>
  <si>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</si>
  <si>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</si>
  <si>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</si>
  <si>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</si>
  <si>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</si>
  <si>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</si>
  <si>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</si>
  <si>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</si>
  <si>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</si>
  <si>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</si>
  <si>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</si>
  <si>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</si>
  <si>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</si>
  <si>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</si>
  <si>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</si>
  <si>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</si>
  <si>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</si>
  <si>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</si>
  <si>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</si>
  <si>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</si>
  <si>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</si>
  <si>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</si>
  <si>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</si>
  <si>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</si>
  <si>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</si>
  <si>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</si>
  <si>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</si>
  <si>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</si>
  <si>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</si>
  <si>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</si>
  <si>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</si>
  <si>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</si>
  <si>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</si>
  <si>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</si>
  <si>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</si>
  <si>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</si>
  <si>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</si>
  <si>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</si>
  <si>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</si>
  <si>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</si>
  <si>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</si>
  <si>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</si>
  <si>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</si>
  <si>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</si>
  <si>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</si>
  <si>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</si>
  <si>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</si>
  <si>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</si>
  <si>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</si>
  <si>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</si>
  <si>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</si>
  <si>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</si>
  <si>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</si>
  <si>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</si>
  <si>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</si>
  <si>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</si>
  <si>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</si>
  <si>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</si>
  <si>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</si>
  <si>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</si>
  <si>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</si>
  <si>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</si>
  <si>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</si>
  <si>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</si>
  <si>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</si>
  <si>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</si>
  <si>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</si>
  <si>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</si>
  <si>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</si>
  <si>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</si>
  <si>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</si>
  <si>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</si>
  <si>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</si>
  <si>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</si>
  <si>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</si>
  <si>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</si>
  <si>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</si>
  <si>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</si>
  <si>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</si>
  <si>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</si>
  <si>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</si>
  <si>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</si>
  <si>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</si>
  <si>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</si>
  <si>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</si>
  <si>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</si>
  <si>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</si>
  <si>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</si>
  <si>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</si>
  <si>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</si>
  <si>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</si>
  <si>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</si>
  <si>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</si>
  <si>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</si>
  <si>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</si>
  <si>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</si>
  <si>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</si>
  <si>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</si>
  <si>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</si>
  <si>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</si>
  <si>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</si>
  <si>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</si>
  <si>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</si>
  <si>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</si>
  <si>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</si>
  <si>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</si>
  <si>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</si>
  <si>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</si>
  <si>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</si>
  <si>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</si>
  <si>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</si>
  <si>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</si>
  <si>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</si>
  <si>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</si>
  <si>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</si>
  <si>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</si>
  <si>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</si>
  <si>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</si>
  <si>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</si>
  <si>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</si>
  <si>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</si>
  <si>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</si>
  <si>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</si>
  <si>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</si>
  <si>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</si>
  <si>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</si>
  <si>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</si>
  <si>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</si>
  <si>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</si>
  <si>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</si>
  <si>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</si>
  <si>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</si>
  <si>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</si>
  <si>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</si>
  <si>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</si>
  <si>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</si>
  <si>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</si>
  <si>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</si>
  <si>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</si>
  <si>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</si>
  <si>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</si>
  <si>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</si>
  <si>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</si>
  <si>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</si>
  <si>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</si>
  <si>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</si>
  <si>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</si>
  <si>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</si>
  <si>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</si>
  <si>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</si>
  <si>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</si>
  <si>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</si>
  <si>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</si>
  <si>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</si>
  <si>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</si>
  <si>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</si>
  <si>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</si>
  <si>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</si>
  <si>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</si>
  <si>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</si>
  <si>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</si>
  <si>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</si>
  <si>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</si>
  <si>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</si>
  <si>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</si>
  <si>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</si>
  <si>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</si>
  <si>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</si>
  <si>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</si>
  <si>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</si>
  <si>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</si>
  <si>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</si>
  <si>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</si>
  <si>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</si>
  <si>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</si>
  <si>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</si>
  <si>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</si>
  <si>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</si>
  <si>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</si>
  <si>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</si>
  <si>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</si>
  <si>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</si>
  <si>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</si>
  <si>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</si>
  <si>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</si>
  <si>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</si>
  <si>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</si>
  <si>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</si>
  <si>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</si>
  <si>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</si>
  <si>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</si>
  <si>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</si>
  <si>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</si>
  <si>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</si>
  <si>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</si>
  <si>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</si>
  <si>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</si>
  <si>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</si>
  <si>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</si>
  <si>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</si>
  <si>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</si>
  <si>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</si>
  <si>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</si>
  <si>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</si>
  <si>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</si>
  <si>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</si>
  <si>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</si>
  <si>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</si>
  <si>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</si>
  <si>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</si>
  <si>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</si>
  <si>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</si>
  <si>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</si>
  <si>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</si>
  <si>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</si>
  <si>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</si>
  <si>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</si>
  <si>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</si>
  <si>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</si>
  <si>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</si>
  <si>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</si>
  <si>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</si>
  <si>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</si>
  <si>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</si>
  <si>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</si>
  <si>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</si>
  <si>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</si>
  <si>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</si>
  <si>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</si>
  <si>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</si>
  <si>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</si>
  <si>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</si>
  <si>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</si>
  <si>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</si>
  <si>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</si>
  <si>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</si>
  <si>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</si>
  <si>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</si>
  <si>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</si>
  <si>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</si>
  <si>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</si>
  <si>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</si>
  <si>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</si>
  <si>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</si>
  <si>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</si>
  <si>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</si>
  <si>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</si>
  <si>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</si>
  <si>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</si>
  <si>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</si>
  <si>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</si>
  <si>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</si>
  <si>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</si>
  <si>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</si>
  <si>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</si>
  <si>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</si>
  <si>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</si>
  <si>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</si>
  <si>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</si>
  <si>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</si>
  <si>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</si>
  <si>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</si>
  <si>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</si>
  <si>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</si>
  <si>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</si>
  <si>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</si>
  <si>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</si>
  <si>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</si>
  <si>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</si>
  <si>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</si>
  <si>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</si>
  <si>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</si>
  <si>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</si>
  <si>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</si>
  <si>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</si>
  <si>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</si>
  <si>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</si>
  <si>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</si>
  <si>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</si>
  <si>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</si>
  <si>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</si>
  <si>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</si>
  <si>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</si>
  <si>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</si>
  <si>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</si>
  <si>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</si>
  <si>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</si>
  <si>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</si>
  <si>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</si>
  <si>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</si>
  <si>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</si>
  <si>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</si>
  <si>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</si>
  <si>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</si>
  <si>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</si>
  <si>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</si>
  <si>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</si>
  <si>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</si>
  <si>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</si>
  <si>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</si>
  <si>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</si>
  <si>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</si>
  <si>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</si>
  <si>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</si>
  <si>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</si>
  <si>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</si>
  <si>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</si>
  <si>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</si>
  <si>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</si>
  <si>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</si>
  <si>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</si>
  <si>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</si>
  <si>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</si>
  <si>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</si>
  <si>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</si>
  <si>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</si>
  <si>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</si>
  <si>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</si>
  <si>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</si>
  <si>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</si>
  <si>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</si>
  <si>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</si>
  <si>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</si>
  <si>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</si>
  <si>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</si>
  <si>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</si>
  <si>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</si>
  <si>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</si>
  <si>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</si>
  <si>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</si>
  <si>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</si>
  <si>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</si>
  <si>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</si>
  <si>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</si>
  <si>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</si>
  <si>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</si>
  <si>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</si>
  <si>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</si>
  <si>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</si>
  <si>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</si>
  <si>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</si>
  <si>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</si>
  <si>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</si>
  <si>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</si>
  <si>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</si>
  <si>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</si>
  <si>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</si>
  <si>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</si>
  <si>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</si>
  <si>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</si>
  <si>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</si>
  <si>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</si>
  <si>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</si>
  <si>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</si>
  <si>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</si>
  <si>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</si>
  <si>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</si>
  <si>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</si>
  <si>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</si>
  <si>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</si>
  <si>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</si>
  <si>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</si>
  <si>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</si>
  <si>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</si>
  <si>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</si>
  <si>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</si>
  <si>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</si>
  <si>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</si>
  <si>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</si>
  <si>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</si>
  <si>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</si>
  <si>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</si>
  <si>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</si>
  <si>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</si>
  <si>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</si>
  <si>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</si>
  <si>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</si>
  <si>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</si>
  <si>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</si>
  <si>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</si>
  <si>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</si>
  <si>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</si>
  <si>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</si>
  <si>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</si>
  <si>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</si>
  <si>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</si>
  <si>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</si>
  <si>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</si>
  <si>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</si>
  <si>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</si>
  <si>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</si>
  <si>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</si>
  <si>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</si>
  <si>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</si>
  <si>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</si>
  <si>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</si>
  <si>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</si>
  <si>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</si>
  <si>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</si>
  <si>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</si>
  <si>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</si>
  <si>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</si>
  <si>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</si>
  <si>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</si>
  <si>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</si>
  <si>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</si>
  <si>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</si>
  <si>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</si>
  <si>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</si>
  <si>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</si>
  <si>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</si>
  <si>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</si>
  <si>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</si>
  <si>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</si>
  <si>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</si>
  <si>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</si>
  <si>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</si>
  <si>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</si>
  <si>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</si>
  <si>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</si>
  <si>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</si>
  <si>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</si>
  <si>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</si>
  <si>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</si>
  <si>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</si>
  <si>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</si>
  <si>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</si>
  <si>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</si>
  <si>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</si>
  <si>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</si>
  <si>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</si>
  <si>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</si>
  <si>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</si>
  <si>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</si>
  <si>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</si>
  <si>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</si>
  <si>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</si>
  <si>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</si>
  <si>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</si>
  <si>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</si>
  <si>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</si>
  <si>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</si>
  <si>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</si>
  <si>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</si>
  <si>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</si>
  <si>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</si>
  <si>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</si>
  <si>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</si>
  <si>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</si>
  <si>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</si>
  <si>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</si>
  <si>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</si>
  <si>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</si>
  <si>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</si>
  <si>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</si>
  <si>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</si>
  <si>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</si>
  <si>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</si>
  <si>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</si>
  <si>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</si>
  <si>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</si>
  <si>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</si>
  <si>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</si>
  <si>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</si>
  <si>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</si>
  <si>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</si>
  <si>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</si>
  <si>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</si>
  <si>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</si>
  <si>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</si>
  <si>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</si>
  <si>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</si>
  <si>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</si>
  <si>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</si>
  <si>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</si>
  <si>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</si>
  <si>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</si>
  <si>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</si>
  <si>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</si>
  <si>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</si>
  <si>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</si>
  <si>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</si>
  <si>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</si>
  <si>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</si>
  <si>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</si>
  <si>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</si>
  <si>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</si>
  <si>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</si>
  <si>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</si>
  <si>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</si>
  <si>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</si>
  <si>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</si>
  <si>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</si>
  <si>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</si>
  <si>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</si>
  <si>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</si>
  <si>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</si>
  <si>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</si>
  <si>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</si>
  <si>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</si>
  <si>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</si>
  <si>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</si>
  <si>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</si>
  <si>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</si>
  <si>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</si>
  <si>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</si>
  <si>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</si>
  <si>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</si>
  <si>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</si>
  <si>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</si>
  <si>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</si>
  <si>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</si>
  <si>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</si>
  <si>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</si>
  <si>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</si>
  <si>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</si>
  <si>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</si>
  <si>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</si>
  <si>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</si>
  <si>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</si>
  <si>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</si>
  <si>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</si>
  <si>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</si>
  <si>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</si>
  <si>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</si>
  <si>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</si>
  <si>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</si>
  <si>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</si>
  <si>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</si>
  <si>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</si>
  <si>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</si>
  <si>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</si>
  <si>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</si>
  <si>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</si>
  <si>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</si>
  <si>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</si>
  <si>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</si>
  <si>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</si>
  <si>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</si>
  <si>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</si>
  <si>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</si>
  <si>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</si>
  <si>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</si>
  <si>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</si>
  <si>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</si>
  <si>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</si>
  <si>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</si>
  <si>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</si>
  <si>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</si>
  <si>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</si>
  <si>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</si>
  <si>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</si>
  <si>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</si>
  <si>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</si>
  <si>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</si>
  <si>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</si>
  <si>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</si>
  <si>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</si>
  <si>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</si>
  <si>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</si>
  <si>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</si>
  <si>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</si>
  <si>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</si>
  <si>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</si>
  <si>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</si>
  <si>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</si>
  <si>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</si>
  <si>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</si>
  <si>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</si>
  <si>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</si>
  <si>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</si>
  <si>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</si>
  <si>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</si>
  <si>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</si>
  <si>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</si>
  <si>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</si>
  <si>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</si>
  <si>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</si>
  <si>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</si>
  <si>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</si>
  <si>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</si>
  <si>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</si>
  <si>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</si>
  <si>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</si>
  <si>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</si>
  <si>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</si>
  <si>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</si>
  <si>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</si>
  <si>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</si>
  <si>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</si>
  <si>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</si>
  <si>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</si>
  <si>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</si>
  <si>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</si>
  <si>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</si>
  <si>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</si>
  <si>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</si>
  <si>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</si>
  <si>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</si>
  <si>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</si>
  <si>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</si>
  <si>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</si>
  <si>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</si>
  <si>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</si>
  <si>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</si>
  <si>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</si>
  <si>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</si>
  <si>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</si>
  <si>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</si>
  <si>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</si>
  <si>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</si>
  <si>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</si>
  <si>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</si>
  <si>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</si>
  <si>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</si>
  <si>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</si>
  <si>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</si>
  <si>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</si>
  <si>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</si>
  <si>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</si>
  <si>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</si>
  <si>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</si>
  <si>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</si>
  <si>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</si>
  <si>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</si>
  <si>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</si>
  <si>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</si>
  <si>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</si>
  <si>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</si>
  <si>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</si>
  <si>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</si>
  <si>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</si>
  <si>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</si>
  <si>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</si>
  <si>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</si>
  <si>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</si>
  <si>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</si>
  <si>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</si>
  <si>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</si>
  <si>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</si>
  <si>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</si>
  <si>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</si>
  <si>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</si>
  <si>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</si>
  <si>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</si>
  <si>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</si>
  <si>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</si>
  <si>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</si>
  <si>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</si>
  <si>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</si>
  <si>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</si>
  <si>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</si>
  <si>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</si>
  <si>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</si>
  <si>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</si>
  <si>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</si>
  <si>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</si>
  <si>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</si>
  <si>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</si>
  <si>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</si>
  <si>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</si>
  <si>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</si>
  <si>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</si>
  <si>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</si>
  <si>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</si>
  <si>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</si>
  <si>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</si>
  <si>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</si>
  <si>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</si>
  <si>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</si>
  <si>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</si>
  <si>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</si>
  <si>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</si>
  <si>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</si>
  <si>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</si>
  <si>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</si>
  <si>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</si>
  <si>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</si>
  <si>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</si>
  <si>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</si>
  <si>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</si>
  <si>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</si>
  <si>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</si>
  <si>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</si>
  <si>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</si>
  <si>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</si>
  <si>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</si>
  <si>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</si>
  <si>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</si>
  <si>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</si>
  <si>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</si>
  <si>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</si>
  <si>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</si>
  <si>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</si>
  <si>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</si>
  <si>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</si>
  <si>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</si>
  <si>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</si>
  <si>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</si>
  <si>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</si>
  <si>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</si>
  <si>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</si>
  <si>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</si>
  <si>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</si>
  <si>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</si>
  <si>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</si>
  <si>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</si>
  <si>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</si>
  <si>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</si>
  <si>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</si>
  <si>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</si>
  <si>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</si>
  <si>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</si>
  <si>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</si>
  <si>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</si>
  <si>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</si>
  <si>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</si>
  <si>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</si>
  <si>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</si>
  <si>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</si>
  <si>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</si>
  <si>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</si>
  <si>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</si>
  <si>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</si>
  <si>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</si>
  <si>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</si>
  <si>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</si>
  <si>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</si>
  <si>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</si>
  <si>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</si>
  <si>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</si>
  <si>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</si>
  <si>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</si>
  <si>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</si>
  <si>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</si>
  <si>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</si>
  <si>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</si>
  <si>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</si>
  <si>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</si>
  <si>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</si>
  <si>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</si>
  <si>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</si>
  <si>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</si>
  <si>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</si>
  <si>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</si>
  <si>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</si>
  <si>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</si>
  <si>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</si>
  <si>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</si>
  <si>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</si>
  <si>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</si>
  <si>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</si>
  <si>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</si>
  <si>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</si>
  <si>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</si>
  <si>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</si>
  <si>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</si>
  <si>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</si>
  <si>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</si>
  <si>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</si>
  <si>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</si>
  <si>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</si>
  <si>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</si>
  <si>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</si>
  <si>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</si>
  <si>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</si>
  <si>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</si>
  <si>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</si>
  <si>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</si>
  <si>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</si>
  <si>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</si>
  <si>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</si>
  <si>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</si>
  <si>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</si>
  <si>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</si>
  <si>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</si>
  <si>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</si>
  <si>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</si>
  <si>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</si>
  <si>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</si>
  <si>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</si>
  <si>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</si>
  <si>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</si>
  <si>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</si>
  <si>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</si>
  <si>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</si>
  <si>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</si>
  <si>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</si>
  <si>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</si>
  <si>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</si>
  <si>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</si>
  <si>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</si>
  <si>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</si>
  <si>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</si>
  <si>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</si>
  <si>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</si>
  <si>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</si>
  <si>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</si>
  <si>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</si>
  <si>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</si>
  <si>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</si>
  <si>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</si>
  <si>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</si>
  <si>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</si>
  <si>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</si>
  <si>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</si>
  <si>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</si>
  <si>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</si>
  <si>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</si>
  <si>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</si>
  <si>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</si>
  <si>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</si>
  <si>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</si>
  <si>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</si>
  <si>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</si>
  <si>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</si>
  <si>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</si>
  <si>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</si>
  <si>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</si>
  <si>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</si>
  <si>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</si>
  <si>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</si>
  <si>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</si>
  <si>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</si>
  <si>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</si>
  <si>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</si>
  <si>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</si>
  <si>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</si>
  <si>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</si>
  <si>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</si>
  <si>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</si>
  <si>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</si>
  <si>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</si>
  <si>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</si>
  <si>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</si>
  <si>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</si>
  <si>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</si>
  <si>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</si>
  <si>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</si>
  <si>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</si>
  <si>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</si>
  <si>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</si>
  <si>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</si>
  <si>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</si>
  <si>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</si>
  <si>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</si>
  <si>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</si>
  <si>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</si>
  <si>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</si>
  <si>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</si>
  <si>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</si>
  <si>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</si>
  <si>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</si>
  <si>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</si>
  <si>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</si>
  <si>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</si>
  <si>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</si>
  <si>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</si>
  <si>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</si>
  <si>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</si>
  <si>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</si>
  <si>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</si>
  <si>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</si>
  <si>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</si>
  <si>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</si>
  <si>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</si>
  <si>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</si>
  <si>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</si>
  <si>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</si>
  <si>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</si>
  <si>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</si>
  <si>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</si>
  <si>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</si>
  <si>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</si>
  <si>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</si>
  <si>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</si>
  <si>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</si>
  <si>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</si>
  <si>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</si>
  <si>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</si>
  <si>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</si>
  <si>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</si>
  <si>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</si>
  <si>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</si>
  <si>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</si>
  <si>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</si>
  <si>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</si>
  <si>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</si>
  <si>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</si>
  <si>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</si>
  <si>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</si>
  <si>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</si>
  <si>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</si>
  <si>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</si>
  <si>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</si>
  <si>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</si>
  <si>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</si>
  <si>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</si>
  <si>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</si>
  <si>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</si>
  <si>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</si>
  <si>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</si>
  <si>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</si>
  <si>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</si>
  <si>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</si>
  <si>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</si>
  <si>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</si>
  <si>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</si>
  <si>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</si>
  <si>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</si>
  <si>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</si>
  <si>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</si>
  <si>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</si>
  <si>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</si>
  <si>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</si>
  <si>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</si>
  <si>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</si>
  <si>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</si>
  <si>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</si>
  <si>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</si>
  <si>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</si>
  <si>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</si>
  <si>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</si>
  <si>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</si>
  <si>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</si>
  <si>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</si>
  <si>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</si>
  <si>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</si>
  <si>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</si>
  <si>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</si>
  <si>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</si>
  <si>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</si>
  <si>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</si>
  <si>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</si>
  <si>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</si>
  <si>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</si>
  <si>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</si>
  <si>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</si>
  <si>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</si>
  <si>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</si>
  <si>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</si>
  <si>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</si>
  <si>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</si>
  <si>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</si>
  <si>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</si>
  <si>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</si>
  <si>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</si>
  <si>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</si>
  <si>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</si>
  <si>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</si>
  <si>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</si>
  <si>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</si>
  <si>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</si>
  <si>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</si>
  <si>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</si>
  <si>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</si>
  <si>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</si>
  <si>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</si>
  <si>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</si>
  <si>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</si>
  <si>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</si>
  <si>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</si>
  <si>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</si>
  <si>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</si>
  <si>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</si>
  <si>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</si>
  <si>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</si>
  <si>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</si>
  <si>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</si>
  <si>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</si>
  <si>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</si>
  <si>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</si>
  <si>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</si>
  <si>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</si>
  <si>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</si>
  <si>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</si>
  <si>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</si>
  <si>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</si>
  <si>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</si>
  <si>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</si>
  <si>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</si>
  <si>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</si>
  <si>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</si>
  <si>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</si>
  <si>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</si>
  <si>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</si>
  <si>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</si>
  <si>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</si>
  <si>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</si>
  <si>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</si>
  <si>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</si>
  <si>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</si>
  <si>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</si>
  <si>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</si>
  <si>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</si>
  <si>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</si>
  <si>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</si>
  <si>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</si>
  <si>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</si>
  <si>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</si>
  <si>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</si>
  <si>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</si>
  <si>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</si>
  <si>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</si>
  <si>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</si>
  <si>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</si>
  <si>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</si>
  <si>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</si>
  <si>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</si>
  <si>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</si>
  <si>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</si>
  <si>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</si>
  <si>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</si>
  <si>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</si>
  <si>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</si>
  <si>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</si>
  <si>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</si>
  <si>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</si>
  <si>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</si>
  <si>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</si>
  <si>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</si>
  <si>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</si>
  <si>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</si>
  <si>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</si>
  <si>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</si>
  <si>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</si>
  <si>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</si>
  <si>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</si>
  <si>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</si>
  <si>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</si>
  <si>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</si>
  <si>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</si>
  <si>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</si>
  <si>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</si>
  <si>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</si>
  <si>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</si>
  <si>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</si>
  <si>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</si>
  <si>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</si>
  <si>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</si>
  <si>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</si>
  <si>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</si>
  <si>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</si>
  <si>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</si>
  <si>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</si>
  <si>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</si>
  <si>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</si>
  <si>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</si>
  <si>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</si>
  <si>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</si>
  <si>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</si>
  <si>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</si>
  <si>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</si>
  <si>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</si>
  <si>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</si>
  <si>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</si>
  <si>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</si>
  <si>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</si>
  <si>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</si>
  <si>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</si>
  <si>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</si>
  <si>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</si>
  <si>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</si>
  <si>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</si>
  <si>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</si>
  <si>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</si>
  <si>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</si>
  <si>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</si>
  <si>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</si>
  <si>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</si>
  <si>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</si>
  <si>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</si>
  <si>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</si>
  <si>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</si>
  <si>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</si>
  <si>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</si>
  <si>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</si>
  <si>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</si>
  <si>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</si>
  <si>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</si>
  <si>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</si>
  <si>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</si>
  <si>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</si>
  <si>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</si>
  <si>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</si>
  <si>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</si>
  <si>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</si>
  <si>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</si>
  <si>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</si>
  <si>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</si>
  <si>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</si>
  <si>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</si>
  <si>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</si>
  <si>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</si>
  <si>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</si>
  <si>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</si>
  <si>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</si>
  <si>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</si>
  <si>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</si>
  <si>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</si>
  <si>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</si>
  <si>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</si>
  <si>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</si>
  <si>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</si>
  <si>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</si>
  <si>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</si>
  <si>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</si>
  <si>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</si>
  <si>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</si>
  <si>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</si>
  <si>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</si>
  <si>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</si>
  <si>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</si>
  <si>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</si>
  <si>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</si>
  <si>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</si>
  <si>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</si>
  <si>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</si>
  <si>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</si>
  <si>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</si>
  <si>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</si>
  <si>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</si>
  <si>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</si>
  <si>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</si>
  <si>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</si>
  <si>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</si>
  <si>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</si>
  <si>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</si>
  <si>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</si>
  <si>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</si>
  <si>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</si>
  <si>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</si>
  <si>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</si>
  <si>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</si>
  <si>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</si>
  <si>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</si>
  <si>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</si>
  <si>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</si>
  <si>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</si>
  <si>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</si>
  <si>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</si>
  <si>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</si>
  <si>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</si>
  <si>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</si>
  <si>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</si>
  <si>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</si>
  <si>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</si>
  <si>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</si>
  <si>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</si>
  <si>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</si>
  <si>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</si>
  <si>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</si>
  <si>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</si>
  <si>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</si>
  <si>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</si>
  <si>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</si>
  <si>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</si>
  <si>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</si>
  <si>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</si>
  <si>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</si>
  <si>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</si>
  <si>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</si>
  <si>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</si>
  <si>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</si>
  <si>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</si>
  <si>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</si>
  <si>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</si>
  <si>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</si>
  <si>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</si>
  <si>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</si>
  <si>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</si>
  <si>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</si>
  <si>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</si>
  <si>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</si>
  <si>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</si>
  <si>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</si>
  <si>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</si>
  <si>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</si>
  <si>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</si>
  <si>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</si>
  <si>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</si>
  <si>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</si>
  <si>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</si>
  <si>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</si>
  <si>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</si>
  <si>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</si>
  <si>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</si>
  <si>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</si>
  <si>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</si>
  <si>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</si>
  <si>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</si>
  <si>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</si>
  <si>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</si>
  <si>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</si>
  <si>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</si>
  <si>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</si>
  <si>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</si>
  <si>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</si>
  <si>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</si>
  <si>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</si>
  <si>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</si>
  <si>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</si>
  <si>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</si>
  <si>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</si>
  <si>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</si>
  <si>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</si>
  <si>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</si>
  <si>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</si>
  <si>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</si>
  <si>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</si>
  <si>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</si>
  <si>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</si>
  <si>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</si>
  <si>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</si>
  <si>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</si>
  <si>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</si>
  <si>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</si>
  <si>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</si>
  <si>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</si>
  <si>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</si>
  <si>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</si>
  <si>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</si>
  <si>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</si>
  <si>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</si>
  <si>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</si>
  <si>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</si>
  <si>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</si>
  <si>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</si>
  <si>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</si>
  <si>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</si>
  <si>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</si>
  <si>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</si>
  <si>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</si>
  <si>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</si>
  <si>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</si>
  <si>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</si>
  <si>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</si>
  <si>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</si>
  <si>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</si>
  <si>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</si>
  <si>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</si>
  <si>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</si>
  <si>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</si>
  <si>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</si>
  <si>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</si>
  <si>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</si>
  <si>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</si>
  <si>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</si>
  <si>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</si>
  <si>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</si>
  <si>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</si>
  <si>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</si>
  <si>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</si>
  <si>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</si>
  <si>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</si>
  <si>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</si>
  <si>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</si>
  <si>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</si>
  <si>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</si>
  <si>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</si>
  <si>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</si>
  <si>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</si>
  <si>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</si>
  <si>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</si>
  <si>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</si>
  <si>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</si>
  <si>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</si>
  <si>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</si>
  <si>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</si>
  <si>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</si>
  <si>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</si>
  <si>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</si>
  <si>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</si>
  <si>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</si>
  <si>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</si>
  <si>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</si>
  <si>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</si>
  <si>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</si>
  <si>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</si>
  <si>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</si>
  <si>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</si>
  <si>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</si>
  <si>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</si>
  <si>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</si>
  <si>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</si>
  <si>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</si>
  <si>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</si>
  <si>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</si>
  <si>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</si>
  <si>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</si>
  <si>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</si>
  <si>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</si>
  <si>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</si>
  <si>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</si>
  <si>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</si>
  <si>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</si>
  <si>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</si>
  <si>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</si>
  <si>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</si>
  <si>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</si>
  <si>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</si>
  <si>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</si>
  <si>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</si>
  <si>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</si>
  <si>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</si>
  <si>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</si>
  <si>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</si>
  <si>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</si>
  <si>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</si>
  <si>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</si>
  <si>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</si>
  <si>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</si>
  <si>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</si>
  <si>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</si>
  <si>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</si>
  <si>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</si>
  <si>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</si>
  <si>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</si>
  <si>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</si>
  <si>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</si>
  <si>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</si>
  <si>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</si>
  <si>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</si>
  <si>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</si>
  <si>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</si>
  <si>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</si>
  <si>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</si>
  <si>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</si>
  <si>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</si>
  <si>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</si>
  <si>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</si>
  <si>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</si>
  <si>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</si>
  <si>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</si>
  <si>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</si>
  <si>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</si>
  <si>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</si>
  <si>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</si>
  <si>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</si>
  <si>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</si>
  <si>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</si>
  <si>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</si>
  <si>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</si>
  <si>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</si>
  <si>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</si>
  <si>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</si>
  <si>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</si>
  <si>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</si>
  <si>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</si>
  <si>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</si>
  <si>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</si>
  <si>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</si>
  <si>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</si>
  <si>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</si>
  <si>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</si>
  <si>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</si>
  <si>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</si>
  <si>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</si>
  <si>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</si>
  <si>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</si>
  <si>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</si>
  <si>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</si>
  <si>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</si>
  <si>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</si>
  <si>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</si>
  <si>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</si>
  <si>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</si>
  <si>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</si>
  <si>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</si>
  <si>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</si>
  <si>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</si>
  <si>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</si>
  <si>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</si>
  <si>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</si>
  <si>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</si>
  <si>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</si>
  <si>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</si>
  <si>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</si>
  <si>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</si>
  <si>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</si>
  <si>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</si>
  <si>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</si>
  <si>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</si>
  <si>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</si>
  <si>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</si>
  <si>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</si>
  <si>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</si>
  <si>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</si>
  <si>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</si>
  <si>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</si>
  <si>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</si>
  <si>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</si>
  <si>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</si>
  <si>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</si>
  <si>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</si>
  <si>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</si>
  <si>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</si>
  <si>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</si>
  <si>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</si>
  <si>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</si>
  <si>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</si>
  <si>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</si>
  <si>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</si>
  <si>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</si>
  <si>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</si>
  <si>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</si>
  <si>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</si>
  <si>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</si>
  <si>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</si>
  <si>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</si>
  <si>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</si>
  <si>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</si>
  <si>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</si>
  <si>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</si>
  <si>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</si>
  <si>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</si>
  <si>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</si>
  <si>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</si>
  <si>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</si>
  <si>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</si>
  <si>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</si>
  <si>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</si>
  <si>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</si>
  <si>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</si>
  <si>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</si>
  <si>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</si>
  <si>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</si>
  <si>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</si>
  <si>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</si>
  <si>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</si>
  <si>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</si>
  <si>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</si>
  <si>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</si>
  <si>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</si>
  <si>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</si>
  <si>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</si>
  <si>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</si>
  <si>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</si>
  <si>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</si>
  <si>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</si>
  <si>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</si>
  <si>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</si>
  <si>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</si>
  <si>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</si>
  <si>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</si>
  <si>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</si>
  <si>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</si>
  <si>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</si>
  <si>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</si>
  <si>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</si>
  <si>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</si>
  <si>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</si>
  <si>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</si>
  <si>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</si>
  <si>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</si>
  <si>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</si>
  <si>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</si>
  <si>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</si>
  <si>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</si>
  <si>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</si>
  <si>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</si>
  <si>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</si>
  <si>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</si>
  <si>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</si>
  <si>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</si>
  <si>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</si>
  <si>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</si>
  <si>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</si>
  <si>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</si>
  <si>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</si>
  <si>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</si>
  <si>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</si>
  <si>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</si>
  <si>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</si>
  <si>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</si>
  <si>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</si>
  <si>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</si>
  <si>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</si>
  <si>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</si>
  <si>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</si>
  <si>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</si>
  <si>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</si>
  <si>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</si>
  <si>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</si>
  <si>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</si>
  <si>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</si>
  <si>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</si>
  <si>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</si>
  <si>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</si>
  <si>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</si>
  <si>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</si>
  <si>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</si>
  <si>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</si>
  <si>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</si>
  <si>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</si>
  <si>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</si>
  <si>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</si>
  <si>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</si>
  <si>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</si>
  <si>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</si>
  <si>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</si>
  <si>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</si>
  <si>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</si>
  <si>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</si>
  <si>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</si>
  <si>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</si>
  <si>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</si>
  <si>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</si>
  <si>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</si>
  <si>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</si>
  <si>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</si>
  <si>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</si>
  <si>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</si>
  <si>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</si>
  <si>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</si>
  <si>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</si>
  <si>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</si>
  <si>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</si>
  <si>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</si>
  <si>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</si>
  <si>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</si>
  <si>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</si>
  <si>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</si>
  <si>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</si>
  <si>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</si>
  <si>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</si>
  <si>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</si>
  <si>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</si>
  <si>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</si>
  <si>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</si>
  <si>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</si>
  <si>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</si>
  <si>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</si>
  <si>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</si>
  <si>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</si>
  <si>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</si>
  <si>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</si>
  <si>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</si>
  <si>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</si>
  <si>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2015 Life Safety Bonds</t>
  </si>
  <si>
    <t>2016A Life Safety Bonds</t>
  </si>
  <si>
    <t>Dodge Caravan Capital Lease</t>
  </si>
  <si>
    <t>x</t>
  </si>
  <si>
    <t>Marion</t>
  </si>
  <si>
    <t>Patoka Community Unit School District No. 100</t>
  </si>
  <si>
    <t>1220 Kinoka Road</t>
  </si>
  <si>
    <t>drademacher@patokaschool.com</t>
  </si>
  <si>
    <t>David Rademacher</t>
  </si>
  <si>
    <t>618-432-5200</t>
  </si>
  <si>
    <t>618-432-5306</t>
  </si>
  <si>
    <t>Bo V. Thomas, CPA</t>
  </si>
  <si>
    <t>Capital Lease</t>
  </si>
  <si>
    <t>2020A Working Cash Bonds</t>
  </si>
  <si>
    <t>2020B Debt Certificates</t>
  </si>
  <si>
    <t>Debt Certificates</t>
  </si>
  <si>
    <t>Education - Internal Service - Purchased Service</t>
  </si>
  <si>
    <t>DA-COM Corporation</t>
  </si>
  <si>
    <t>Transportation - Pupil Transportation - Purchased Service</t>
  </si>
  <si>
    <t>Lary Landreth</t>
  </si>
  <si>
    <t>Lori Easton</t>
  </si>
  <si>
    <t>Teresa Thalman</t>
  </si>
  <si>
    <t>Tort - General Administration - Purchased Service</t>
  </si>
  <si>
    <t>Bushue Human Resources</t>
  </si>
  <si>
    <t>Kaskaskia Special Education District</t>
  </si>
  <si>
    <t>REVENUES</t>
  </si>
  <si>
    <t>Line 107 - Other Local - Educational</t>
  </si>
  <si>
    <t>Other Reimbursements and Refunds</t>
  </si>
  <si>
    <t>Line 107 - Other Local - Operations &amp; Maint</t>
  </si>
  <si>
    <t>ROE - Pre-K Program Reimbursements</t>
  </si>
  <si>
    <t>Line 107 - Other Local - Transporation</t>
  </si>
  <si>
    <t>EXPENDITURES</t>
  </si>
  <si>
    <t>Page 21, Line 302 - Other Support Services</t>
  </si>
  <si>
    <t>Debt Issuance Cost</t>
  </si>
  <si>
    <t>AUDIT CHECK #8</t>
  </si>
  <si>
    <t>Debt Retired - Short-Term Long-Term Debt 24, Cell H49</t>
  </si>
  <si>
    <t>Capital Lease Principal, Transportation Fund, Line 206</t>
  </si>
  <si>
    <t>Principal Payments - Debt Service Fund, Line 169</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</si>
  <si>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</si>
  <si>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</si>
  <si>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</si>
  <si>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</si>
  <si>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</si>
  <si>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</si>
  <si>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</si>
  <si>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</si>
  <si>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</si>
  <si>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</si>
  <si>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</si>
  <si>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</si>
  <si>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</si>
  <si>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</si>
  <si>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</si>
  <si>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</si>
  <si>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</si>
  <si>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</si>
  <si>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</si>
  <si>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</si>
  <si>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</si>
  <si>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</si>
  <si>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</si>
  <si>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</si>
  <si>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</si>
  <si>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</si>
  <si>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</si>
  <si>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</si>
  <si>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</si>
  <si>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</si>
  <si>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</si>
  <si>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</si>
  <si>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</si>
  <si>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</si>
  <si>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</si>
  <si>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</si>
  <si>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</si>
  <si>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Patoka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</si>
</sst>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u/>
      <sz val="7.5"/>
      <color indexed="12"/>
      <name val="Arial"/>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142" fillId="0" borderId="0">
      <alignment vertical="top"/>
      <protection locked="0"/>
    </xf>
    <xf numFmtId="0" fontId="3" fillId="0" borderId="0"/>
    <xf numFmtId="0" fontId="3" fillId="0" borderId="0"/>
    <xf numFmtId="0" fontId="2" fillId="0" borderId="0"/>
    <xf numFmtId="0" fontId="2" fillId="0" borderId="0"/>
  </cellStyleXfs>
  <cellXfs count="264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0" fillId="0" borderId="0" xfId="0"/>
    <xf numFmtId="0" fontId="57" fillId="0" borderId="0" xfId="0" applyFont="1"/>
    <xf numFmtId="0" fontId="65" fillId="0" borderId="0" xfId="0" applyFont="1"/>
    <xf numFmtId="164" fontId="57" fillId="0" borderId="0" xfId="0" applyNumberFormat="1" applyFont="1"/>
    <xf numFmtId="164" fontId="75" fillId="0" borderId="0" xfId="0" applyNumberFormat="1" applyFont="1"/>
    <xf numFmtId="38" fontId="57" fillId="0" borderId="78" xfId="0" applyNumberFormat="1" applyFont="1" applyBorder="1"/>
    <xf numFmtId="185" fontId="57" fillId="0" borderId="0" xfId="20" applyNumberFormat="1" applyFont="1"/>
    <xf numFmtId="185" fontId="57" fillId="0" borderId="164" xfId="20" applyNumberFormat="1" applyFont="1" applyBorder="1"/>
    <xf numFmtId="0" fontId="0" fillId="0" borderId="0" xfId="0"/>
    <xf numFmtId="0" fontId="57" fillId="0" borderId="0" xfId="0" applyFont="1"/>
    <xf numFmtId="0" fontId="65" fillId="0" borderId="0" xfId="0" applyFont="1"/>
    <xf numFmtId="38" fontId="57" fillId="0" borderId="0" xfId="0" applyNumberFormat="1" applyFont="1"/>
    <xf numFmtId="0" fontId="57" fillId="0" borderId="0" xfId="3" applyFont="1"/>
    <xf numFmtId="0" fontId="57" fillId="0" borderId="0" xfId="0" applyFont="1"/>
    <xf numFmtId="0" fontId="65" fillId="0" borderId="0" xfId="0" applyFont="1"/>
    <xf numFmtId="0" fontId="57" fillId="0" borderId="0" xfId="0" applyFont="1" applyAlignment="1"/>
    <xf numFmtId="164" fontId="57" fillId="0" borderId="0" xfId="0" applyNumberFormat="1" applyFont="1"/>
    <xf numFmtId="0" fontId="10" fillId="0" borderId="0" xfId="3"/>
    <xf numFmtId="0" fontId="57" fillId="0" borderId="0" xfId="3" applyFont="1"/>
    <xf numFmtId="0" fontId="57" fillId="0" borderId="0" xfId="0" applyFont="1"/>
    <xf numFmtId="38" fontId="57" fillId="0" borderId="0" xfId="0" applyNumberFormat="1" applyFont="1"/>
    <xf numFmtId="164" fontId="57" fillId="0" borderId="0" xfId="0" applyNumberFormat="1" applyFont="1"/>
    <xf numFmtId="185" fontId="57" fillId="0" borderId="164" xfId="20" applyNumberFormat="1" applyFont="1" applyBorder="1"/>
    <xf numFmtId="0" fontId="2" fillId="0" borderId="0" xfId="37"/>
    <xf numFmtId="0" fontId="100" fillId="0" borderId="165" xfId="38" applyFont="1" applyBorder="1"/>
    <xf numFmtId="0" fontId="100" fillId="0" borderId="166" xfId="38" applyFont="1" applyBorder="1"/>
    <xf numFmtId="0" fontId="100" fillId="0" borderId="167" xfId="38" applyFont="1" applyBorder="1"/>
    <xf numFmtId="0" fontId="100" fillId="0" borderId="0" xfId="38" applyFont="1" applyBorder="1"/>
    <xf numFmtId="0" fontId="100" fillId="0" borderId="169" xfId="38" applyFont="1" applyBorder="1"/>
    <xf numFmtId="0" fontId="99" fillId="0" borderId="169" xfId="38" applyFont="1" applyBorder="1"/>
    <xf numFmtId="0" fontId="100" fillId="0" borderId="168" xfId="38" applyFont="1" applyBorder="1"/>
    <xf numFmtId="0" fontId="144" fillId="0" borderId="0" xfId="38" applyFont="1" applyBorder="1"/>
    <xf numFmtId="38" fontId="65" fillId="16" borderId="170" xfId="38" applyNumberFormat="1" applyFont="1" applyFill="1" applyBorder="1" applyAlignment="1">
      <alignment horizontal="center"/>
    </xf>
    <xf numFmtId="38" fontId="65" fillId="16" borderId="77" xfId="38" applyNumberFormat="1" applyFont="1" applyFill="1" applyBorder="1" applyAlignment="1">
      <alignment horizontal="center"/>
    </xf>
    <xf numFmtId="38" fontId="65" fillId="26" borderId="77" xfId="38" applyNumberFormat="1" applyFont="1" applyFill="1" applyBorder="1" applyAlignment="1">
      <alignment horizontal="center"/>
    </xf>
    <xf numFmtId="0" fontId="57" fillId="26" borderId="77" xfId="38" applyFont="1" applyFill="1" applyBorder="1"/>
    <xf numFmtId="38" fontId="65" fillId="16" borderId="172" xfId="38" applyNumberFormat="1" applyFont="1" applyFill="1" applyBorder="1" applyAlignment="1">
      <alignment horizontal="center" wrapText="1"/>
    </xf>
    <xf numFmtId="38" fontId="57" fillId="0" borderId="173" xfId="38" applyNumberFormat="1" applyFont="1" applyBorder="1" applyAlignment="1" applyProtection="1">
      <alignment horizontal="center"/>
      <protection locked="0"/>
    </xf>
    <xf numFmtId="38" fontId="57" fillId="0" borderId="174" xfId="38" applyNumberFormat="1" applyFont="1" applyBorder="1" applyAlignment="1" applyProtection="1">
      <alignment horizontal="center"/>
      <protection locked="0"/>
    </xf>
    <xf numFmtId="38" fontId="57" fillId="26" borderId="0" xfId="38" applyNumberFormat="1" applyFont="1" applyFill="1" applyBorder="1" applyAlignment="1">
      <alignment horizontal="center"/>
    </xf>
    <xf numFmtId="0" fontId="57" fillId="0" borderId="173" xfId="38" applyFont="1" applyBorder="1" applyAlignment="1">
      <alignment horizontal="center"/>
    </xf>
    <xf numFmtId="38" fontId="57" fillId="0" borderId="176" xfId="38" applyNumberFormat="1" applyFont="1" applyBorder="1" applyAlignment="1" applyProtection="1">
      <alignment horizontal="center"/>
      <protection locked="0"/>
    </xf>
    <xf numFmtId="38" fontId="57" fillId="0" borderId="177" xfId="38" applyNumberFormat="1" applyFont="1" applyBorder="1" applyAlignment="1" applyProtection="1">
      <alignment horizontal="center"/>
      <protection locked="0"/>
    </xf>
    <xf numFmtId="0" fontId="57" fillId="0" borderId="176" xfId="38" applyFont="1" applyBorder="1" applyAlignment="1">
      <alignment horizontal="center"/>
    </xf>
    <xf numFmtId="38" fontId="57" fillId="0" borderId="179" xfId="38" applyNumberFormat="1" applyFont="1" applyBorder="1" applyAlignment="1" applyProtection="1">
      <alignment horizontal="center"/>
      <protection locked="0"/>
    </xf>
    <xf numFmtId="38" fontId="57" fillId="0" borderId="180" xfId="38" applyNumberFormat="1" applyFont="1" applyBorder="1" applyAlignment="1" applyProtection="1">
      <alignment horizontal="center"/>
      <protection locked="0"/>
    </xf>
    <xf numFmtId="38" fontId="65" fillId="27" borderId="181" xfId="38" applyNumberFormat="1" applyFont="1" applyFill="1" applyBorder="1" applyAlignment="1" applyProtection="1">
      <alignment horizontal="center"/>
      <protection locked="0"/>
    </xf>
    <xf numFmtId="0" fontId="57" fillId="0" borderId="179" xfId="38" applyFont="1" applyBorder="1" applyAlignment="1">
      <alignment horizontal="center"/>
    </xf>
    <xf numFmtId="0" fontId="101" fillId="0" borderId="170" xfId="38" applyFont="1" applyBorder="1" applyAlignment="1">
      <alignment horizontal="center" wrapText="1"/>
    </xf>
    <xf numFmtId="0" fontId="101" fillId="0" borderId="77" xfId="38" applyFont="1" applyBorder="1" applyAlignment="1">
      <alignment horizontal="center" wrapText="1"/>
    </xf>
    <xf numFmtId="0" fontId="57" fillId="26" borderId="77" xfId="38" applyFont="1" applyFill="1" applyBorder="1" applyAlignment="1">
      <alignment horizontal="center"/>
    </xf>
    <xf numFmtId="0" fontId="57" fillId="0" borderId="168" xfId="38" applyFont="1" applyBorder="1"/>
    <xf numFmtId="0" fontId="57" fillId="0" borderId="0" xfId="38" applyFont="1" applyBorder="1"/>
    <xf numFmtId="0" fontId="57" fillId="0" borderId="169" xfId="38" applyFont="1" applyBorder="1"/>
    <xf numFmtId="0" fontId="57" fillId="0" borderId="0" xfId="3" applyNumberFormat="1" applyFont="1" applyBorder="1" applyAlignment="1">
      <alignment horizontal="right" vertical="center" indent="1"/>
    </xf>
    <xf numFmtId="0" fontId="145" fillId="0" borderId="169" xfId="38" applyFont="1" applyBorder="1" applyAlignment="1"/>
    <xf numFmtId="0" fontId="99" fillId="0" borderId="168" xfId="38" applyFont="1" applyBorder="1" applyAlignment="1">
      <alignment wrapText="1"/>
    </xf>
    <xf numFmtId="0" fontId="99" fillId="0" borderId="0" xfId="38" applyFont="1" applyBorder="1" applyAlignment="1">
      <alignment wrapText="1"/>
    </xf>
    <xf numFmtId="0" fontId="88" fillId="0" borderId="0" xfId="38" applyFont="1" applyBorder="1"/>
    <xf numFmtId="0" fontId="57" fillId="0" borderId="168" xfId="38" applyFont="1" applyBorder="1" applyAlignment="1">
      <alignment wrapText="1"/>
    </xf>
    <xf numFmtId="0" fontId="57" fillId="0" borderId="0" xfId="38" applyFont="1" applyBorder="1" applyAlignment="1">
      <alignment wrapText="1"/>
    </xf>
    <xf numFmtId="0" fontId="57" fillId="0" borderId="169" xfId="38" applyFont="1" applyBorder="1" applyAlignment="1">
      <alignment wrapText="1"/>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168" xfId="3" applyNumberFormat="1" applyFont="1" applyBorder="1" applyAlignment="1">
      <alignment vertical="center"/>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0" xfId="3" quotePrefix="1" applyNumberFormat="1" applyFont="1" applyFill="1" applyBorder="1" applyAlignment="1" applyProtection="1">
      <alignment horizontal="left" vertical="top" wrapText="1" indent="2"/>
      <protection hidden="1"/>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Fill="1" applyBorder="1" applyAlignment="1" applyProtection="1">
      <alignment horizontal="left" vertical="top" wrapText="1" indent="2"/>
      <protection hidden="1"/>
    </xf>
    <xf numFmtId="0" fontId="65" fillId="0" borderId="0" xfId="3" applyNumberFormat="1" applyFont="1" applyBorder="1" applyAlignment="1">
      <alignment vertical="center"/>
    </xf>
    <xf numFmtId="0" fontId="79" fillId="0" borderId="0" xfId="3" applyNumberFormat="1" applyFont="1" applyBorder="1" applyAlignment="1">
      <alignment vertical="center"/>
    </xf>
    <xf numFmtId="0" fontId="80" fillId="0" borderId="0" xfId="3" applyFont="1" applyBorder="1" applyAlignment="1">
      <alignment horizontal="center" vertical="center" wrapText="1"/>
    </xf>
    <xf numFmtId="0" fontId="57" fillId="0" borderId="0" xfId="3" applyNumberFormat="1" applyFont="1" applyBorder="1" applyAlignment="1">
      <alignment horizontal="center" wrapText="1"/>
    </xf>
    <xf numFmtId="0" fontId="65" fillId="0" borderId="0" xfId="3" applyNumberFormat="1" applyFont="1" applyBorder="1" applyAlignment="1">
      <alignment horizontal="right"/>
    </xf>
    <xf numFmtId="0" fontId="57" fillId="0" borderId="0" xfId="3" applyNumberFormat="1" applyFont="1" applyBorder="1" applyAlignment="1">
      <alignment horizontal="right" vertical="center"/>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vertical="center"/>
    </xf>
    <xf numFmtId="0" fontId="80" fillId="0" borderId="169" xfId="3" applyNumberFormat="1" applyFont="1" applyBorder="1" applyAlignment="1">
      <alignment vertical="center"/>
    </xf>
    <xf numFmtId="0" fontId="57" fillId="0" borderId="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169" xfId="3" applyNumberFormat="1" applyFont="1" applyFill="1" applyBorder="1" applyAlignment="1" applyProtection="1">
      <alignment vertical="center"/>
      <protection hidden="1"/>
    </xf>
    <xf numFmtId="0" fontId="65" fillId="0" borderId="169" xfId="3" applyNumberFormat="1" applyFont="1" applyBorder="1" applyAlignment="1">
      <alignment vertical="center"/>
    </xf>
    <xf numFmtId="9" fontId="57" fillId="0" borderId="0" xfId="3" applyNumberFormat="1" applyFont="1" applyFill="1" applyBorder="1" applyAlignment="1">
      <alignment horizontal="center" vertical="center" shrinkToFit="1"/>
    </xf>
    <xf numFmtId="0" fontId="57" fillId="0" borderId="0" xfId="3" applyNumberFormat="1" applyFont="1" applyFill="1" applyBorder="1" applyAlignment="1">
      <alignment vertical="center" shrinkToFit="1"/>
    </xf>
    <xf numFmtId="0" fontId="57" fillId="0" borderId="0" xfId="3" applyNumberFormat="1" applyFont="1" applyBorder="1" applyAlignment="1"/>
    <xf numFmtId="0" fontId="57" fillId="0" borderId="169" xfId="3" applyNumberFormat="1"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NumberFormat="1" applyFont="1" applyFill="1" applyBorder="1" applyAlignment="1">
      <alignment vertical="center" shrinkToFit="1"/>
    </xf>
    <xf numFmtId="164" fontId="65" fillId="0" borderId="191"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NumberFormat="1" applyFont="1" applyBorder="1" applyAlignment="1">
      <alignment horizontal="center" vertical="center"/>
    </xf>
    <xf numFmtId="0" fontId="65" fillId="0" borderId="21" xfId="3" applyNumberFormat="1"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0" borderId="2" xfId="3" applyNumberFormat="1" applyFont="1" applyFill="1" applyBorder="1" applyAlignment="1" applyProtection="1">
      <alignment vertical="center" shrinkToFit="1"/>
      <protection locked="0"/>
    </xf>
    <xf numFmtId="164" fontId="65" fillId="0" borderId="191" xfId="3" applyNumberFormat="1" applyFont="1" applyBorder="1" applyAlignment="1">
      <alignment vertical="top"/>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NumberFormat="1" applyFont="1" applyBorder="1" applyAlignment="1">
      <alignment horizontal="left" vertical="center" indent="1"/>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top" indent="1"/>
    </xf>
    <xf numFmtId="0" fontId="65" fillId="0" borderId="125" xfId="3" applyNumberFormat="1" applyFont="1" applyBorder="1" applyAlignment="1">
      <alignment horizontal="center" vertical="center"/>
    </xf>
    <xf numFmtId="0" fontId="65" fillId="0" borderId="125" xfId="38" applyNumberFormat="1" applyFont="1" applyBorder="1" applyAlignment="1">
      <alignment horizontal="center" vertical="center" wrapText="1"/>
    </xf>
    <xf numFmtId="0" fontId="65" fillId="0" borderId="125" xfId="3" applyNumberFormat="1" applyFont="1" applyBorder="1" applyAlignment="1">
      <alignment horizontal="center" vertical="center" wrapText="1"/>
    </xf>
    <xf numFmtId="0" fontId="65" fillId="0" borderId="3" xfId="3" applyNumberFormat="1" applyFont="1" applyBorder="1" applyAlignment="1">
      <alignment horizontal="center" vertical="center"/>
    </xf>
    <xf numFmtId="0" fontId="65" fillId="0" borderId="3" xfId="38"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0" xfId="3" applyNumberFormat="1" applyFont="1" applyBorder="1" applyAlignment="1">
      <alignment horizontal="center" vertical="center"/>
    </xf>
    <xf numFmtId="0" fontId="57" fillId="0" borderId="26"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0" xfId="3" applyNumberFormat="1" applyFont="1" applyFill="1" applyBorder="1" applyAlignment="1">
      <alignment vertical="center"/>
    </xf>
    <xf numFmtId="0" fontId="57" fillId="0" borderId="169" xfId="3" applyNumberFormat="1" applyFont="1" applyFill="1" applyBorder="1" applyAlignment="1">
      <alignment vertical="center"/>
    </xf>
    <xf numFmtId="0" fontId="65" fillId="0" borderId="3" xfId="3" applyNumberFormat="1" applyFont="1" applyFill="1" applyBorder="1" applyAlignment="1" applyProtection="1">
      <alignment horizontal="centerContinuous" vertical="center"/>
      <protection hidden="1"/>
    </xf>
    <xf numFmtId="0" fontId="65" fillId="0" borderId="12" xfId="3" applyNumberFormat="1" applyFont="1" applyFill="1" applyBorder="1" applyAlignment="1" applyProtection="1">
      <alignment horizontal="centerContinuous" vertical="center"/>
      <protection hidden="1"/>
    </xf>
    <xf numFmtId="0" fontId="57" fillId="0" borderId="193" xfId="3" applyNumberFormat="1" applyFont="1" applyBorder="1" applyAlignment="1">
      <alignment vertical="center"/>
    </xf>
    <xf numFmtId="0" fontId="57" fillId="0" borderId="123" xfId="3" applyNumberFormat="1" applyFont="1" applyBorder="1" applyAlignment="1">
      <alignment vertical="center"/>
    </xf>
    <xf numFmtId="0" fontId="57" fillId="22" borderId="124"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92" xfId="3" applyNumberFormat="1" applyFont="1" applyFill="1" applyBorder="1" applyAlignment="1">
      <alignment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65" fillId="22" borderId="193" xfId="3" applyNumberFormat="1" applyFont="1" applyFill="1" applyBorder="1" applyAlignment="1">
      <alignment horizontal="left"/>
    </xf>
    <xf numFmtId="0" fontId="65" fillId="0" borderId="0" xfId="3" applyNumberFormat="1" applyFont="1" applyBorder="1" applyAlignment="1">
      <alignment horizontal="lef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65" fillId="0" borderId="185" xfId="3" applyNumberFormat="1" applyFont="1" applyBorder="1" applyAlignment="1">
      <alignment horizontal="left" vertical="center"/>
    </xf>
    <xf numFmtId="0" fontId="65" fillId="0" borderId="185" xfId="3" applyNumberFormat="1" applyFont="1" applyBorder="1" applyAlignment="1">
      <alignment horizontal="center" vertical="center"/>
    </xf>
    <xf numFmtId="0" fontId="57" fillId="0" borderId="194" xfId="3" applyNumberFormat="1"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3" fillId="0" borderId="166" xfId="37" applyFont="1" applyBorder="1" applyAlignment="1">
      <alignment horizontal="left" vertical="center" wrapText="1"/>
    </xf>
    <xf numFmtId="0" fontId="143" fillId="0" borderId="0" xfId="37" applyFont="1" applyBorder="1" applyAlignment="1">
      <alignment horizontal="left" vertical="center" wrapText="1"/>
    </xf>
    <xf numFmtId="0" fontId="143" fillId="0" borderId="168" xfId="37" applyFont="1" applyBorder="1" applyAlignment="1">
      <alignment horizontal="left" vertical="center" wrapText="1"/>
    </xf>
    <xf numFmtId="0" fontId="101" fillId="0" borderId="0" xfId="38" applyFont="1" applyBorder="1" applyAlignment="1">
      <alignment horizontal="center" vertical="top" wrapText="1"/>
    </xf>
    <xf numFmtId="0" fontId="101" fillId="0" borderId="168" xfId="38" applyFont="1" applyBorder="1" applyAlignment="1">
      <alignment horizontal="center" vertical="top" wrapText="1"/>
    </xf>
    <xf numFmtId="0" fontId="57" fillId="0" borderId="178" xfId="38" applyFont="1" applyBorder="1" applyAlignment="1"/>
    <xf numFmtId="0" fontId="57" fillId="0" borderId="176" xfId="38" applyFont="1" applyBorder="1" applyAlignment="1"/>
    <xf numFmtId="0" fontId="57" fillId="0" borderId="175" xfId="38" applyFont="1" applyBorder="1" applyAlignment="1"/>
    <xf numFmtId="0" fontId="57" fillId="0" borderId="173" xfId="38" applyFont="1" applyBorder="1" applyAlignment="1"/>
    <xf numFmtId="0" fontId="65" fillId="0" borderId="171" xfId="38" applyFont="1" applyBorder="1" applyAlignment="1"/>
    <xf numFmtId="0" fontId="65" fillId="0" borderId="77" xfId="38" applyFont="1" applyBorder="1" applyAlignment="1"/>
    <xf numFmtId="0" fontId="146" fillId="0" borderId="190" xfId="38" applyFont="1" applyBorder="1" applyAlignment="1">
      <alignment horizontal="center"/>
    </xf>
    <xf numFmtId="0" fontId="146" fillId="0" borderId="189" xfId="38" applyFont="1" applyBorder="1" applyAlignment="1">
      <alignment horizontal="center"/>
    </xf>
    <xf numFmtId="0" fontId="146" fillId="0" borderId="188" xfId="38" applyFont="1" applyBorder="1" applyAlignment="1">
      <alignment horizontal="center"/>
    </xf>
    <xf numFmtId="0" fontId="57" fillId="0" borderId="169" xfId="38" applyFont="1" applyBorder="1" applyAlignment="1">
      <alignment wrapText="1"/>
    </xf>
    <xf numFmtId="0" fontId="57" fillId="0" borderId="0" xfId="38" applyFont="1" applyBorder="1" applyAlignment="1">
      <alignment wrapText="1"/>
    </xf>
    <xf numFmtId="0" fontId="57" fillId="0" borderId="168" xfId="38" applyFont="1" applyBorder="1" applyAlignment="1">
      <alignment wrapText="1"/>
    </xf>
    <xf numFmtId="166" fontId="57" fillId="0" borderId="21" xfId="3" applyNumberFormat="1" applyFont="1" applyBorder="1" applyAlignment="1">
      <alignment horizontal="left" vertical="center" indent="1"/>
    </xf>
    <xf numFmtId="166" fontId="57" fillId="0" borderId="186" xfId="3" applyNumberFormat="1" applyFont="1" applyBorder="1" applyAlignment="1">
      <alignment horizontal="left" vertical="center" indent="1"/>
    </xf>
    <xf numFmtId="0" fontId="57" fillId="26" borderId="171" xfId="38" applyFont="1" applyFill="1" applyBorder="1"/>
    <xf numFmtId="0" fontId="57" fillId="26" borderId="77" xfId="38" applyFont="1" applyFill="1" applyBorder="1"/>
    <xf numFmtId="0" fontId="65" fillId="0" borderId="185" xfId="38" applyFont="1" applyBorder="1" applyAlignment="1">
      <alignment horizontal="center" wrapText="1"/>
    </xf>
    <xf numFmtId="0" fontId="65" fillId="0" borderId="184" xfId="38" applyFont="1" applyBorder="1" applyAlignment="1">
      <alignment horizontal="center" wrapText="1"/>
    </xf>
    <xf numFmtId="0" fontId="101" fillId="0" borderId="183" xfId="38" applyFont="1" applyBorder="1" applyAlignment="1">
      <alignment horizontal="center"/>
    </xf>
    <xf numFmtId="0" fontId="101" fillId="0" borderId="78" xfId="38" applyFont="1" applyBorder="1" applyAlignment="1">
      <alignment horizontal="center"/>
    </xf>
    <xf numFmtId="0" fontId="101" fillId="0" borderId="99" xfId="38" applyFont="1" applyBorder="1" applyAlignment="1">
      <alignment horizontal="center"/>
    </xf>
    <xf numFmtId="0" fontId="57" fillId="0" borderId="182" xfId="38" applyFont="1" applyBorder="1" applyAlignment="1"/>
    <xf numFmtId="0" fontId="57" fillId="0" borderId="179" xfId="38" applyFont="1" applyBorder="1" applyAlignment="1"/>
    <xf numFmtId="0" fontId="57" fillId="0" borderId="178" xfId="38" applyFont="1" applyBorder="1" applyAlignment="1">
      <alignment wrapText="1"/>
    </xf>
    <xf numFmtId="0" fontId="57" fillId="0" borderId="176" xfId="38" applyFont="1" applyBorder="1" applyAlignment="1">
      <alignment wrapText="1"/>
    </xf>
    <xf numFmtId="0" fontId="57" fillId="0" borderId="126" xfId="3" applyNumberFormat="1" applyFont="1" applyBorder="1" applyAlignment="1">
      <alignment horizontal="left" vertical="center" indent="1"/>
    </xf>
    <xf numFmtId="0" fontId="57" fillId="0" borderId="187" xfId="3" applyNumberFormat="1" applyFont="1" applyBorder="1" applyAlignment="1">
      <alignment horizontal="left" vertical="center"/>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2"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9">
    <cellStyle name="Comma" xfId="1" builtinId="3"/>
    <cellStyle name="Currency" xfId="20" builtinId="4"/>
    <cellStyle name="Currency 2" xfId="32" xr:uid="{00000000-0005-0000-0000-000002000000}"/>
    <cellStyle name="Hyperlink" xfId="2" builtinId="8"/>
    <cellStyle name="Hyperlink 2" xfId="15" xr:uid="{00000000-0005-0000-0000-000004000000}"/>
    <cellStyle name="Hyperlink 3" xfId="34"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5" xr:uid="{00000000-0005-0000-0000-00000B000000}"/>
    <cellStyle name="Normal 3 2 2 3" xfId="31" xr:uid="{00000000-0005-0000-0000-00000C000000}"/>
    <cellStyle name="Normal 3 2 3" xfId="22" xr:uid="{00000000-0005-0000-0000-00000D000000}"/>
    <cellStyle name="Normal 3 2 4" xfId="28" xr:uid="{00000000-0005-0000-0000-00000E000000}"/>
    <cellStyle name="Normal 3 3" xfId="21" xr:uid="{00000000-0005-0000-0000-00000F000000}"/>
    <cellStyle name="Normal 3 4" xfId="27" xr:uid="{00000000-0005-0000-0000-000010000000}"/>
    <cellStyle name="Normal 4" xfId="16" xr:uid="{00000000-0005-0000-0000-000011000000}"/>
    <cellStyle name="Normal 4 2" xfId="23" xr:uid="{00000000-0005-0000-0000-000012000000}"/>
    <cellStyle name="Normal 4 3" xfId="29" xr:uid="{00000000-0005-0000-0000-000013000000}"/>
    <cellStyle name="Normal 5" xfId="17" xr:uid="{00000000-0005-0000-0000-000014000000}"/>
    <cellStyle name="Normal 5 2" xfId="19" xr:uid="{00000000-0005-0000-0000-000015000000}"/>
    <cellStyle name="Normal 5 2 2" xfId="26" xr:uid="{00000000-0005-0000-0000-000016000000}"/>
    <cellStyle name="Normal 5 3" xfId="24" xr:uid="{00000000-0005-0000-0000-000017000000}"/>
    <cellStyle name="Normal 5 4" xfId="30" xr:uid="{00000000-0005-0000-0000-000018000000}"/>
    <cellStyle name="Normal 6" xfId="33" xr:uid="{00000000-0005-0000-0000-000019000000}"/>
    <cellStyle name="Normal 6 2" xfId="36" xr:uid="{00000000-0005-0000-0000-00001A000000}"/>
    <cellStyle name="Normal 6 3" xfId="38" xr:uid="{00000000-0005-0000-0000-00001B000000}"/>
    <cellStyle name="Normal 7" xfId="35" xr:uid="{00000000-0005-0000-0000-00001C000000}"/>
    <cellStyle name="Normal 8" xfId="37" xr:uid="{00000000-0005-0000-0000-00001D000000}"/>
    <cellStyle name="Normal_AFRPG3" xfId="5" xr:uid="{00000000-0005-0000-0000-00001E000000}"/>
    <cellStyle name="Normal_AFRPG41" xfId="6" xr:uid="{00000000-0005-0000-0000-00001F000000}"/>
    <cellStyle name="Normal_AFRPG47" xfId="7" xr:uid="{00000000-0005-0000-0000-000020000000}"/>
    <cellStyle name="Normal_AFRPG56" xfId="8" xr:uid="{00000000-0005-0000-0000-000021000000}"/>
    <cellStyle name="Normal_AFRPG59" xfId="9" xr:uid="{00000000-0005-0000-0000-000022000000}"/>
    <cellStyle name="Normal_AFRPG63" xfId="10" xr:uid="{00000000-0005-0000-0000-000023000000}"/>
    <cellStyle name="Normal_AFRPG64" xfId="11" xr:uid="{00000000-0005-0000-0000-000024000000}"/>
    <cellStyle name="Normal_COVER" xfId="12" xr:uid="{00000000-0005-0000-0000-000025000000}"/>
    <cellStyle name="Normal_THRESHOLD CALCULATOR v3" xfId="13" xr:uid="{00000000-0005-0000-0000-00002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5</xdr:row>
          <xdr:rowOff>114300</xdr:rowOff>
        </xdr:from>
        <xdr:to>
          <xdr:col>1</xdr:col>
          <xdr:colOff>1171575</xdr:colOff>
          <xdr:row>9</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1">
        <f>+'AFR20'!E4</f>
        <v>44119</v>
      </c>
      <c r="C1" s="2141"/>
      <c r="D1" s="2142"/>
      <c r="I1" s="2100" t="s">
        <v>401</v>
      </c>
      <c r="J1" s="2101"/>
      <c r="K1" s="2101"/>
      <c r="L1" s="2101"/>
      <c r="M1" s="2101"/>
      <c r="N1" s="2101"/>
      <c r="O1" s="2101"/>
      <c r="P1" s="2101"/>
      <c r="Q1" s="2101"/>
      <c r="R1" s="2101"/>
      <c r="S1" s="2101"/>
    </row>
    <row r="2" spans="1:32" ht="12" customHeight="1" x14ac:dyDescent="0.2">
      <c r="A2" s="1830" t="str">
        <f>"Due to ISBE on "</f>
        <v xml:space="preserve">Due to ISBE on </v>
      </c>
      <c r="B2" s="2143">
        <f>+'AFR20'!F4</f>
        <v>44151</v>
      </c>
      <c r="C2" s="2143"/>
      <c r="D2" s="2144"/>
      <c r="I2" s="2102" t="s">
        <v>2005</v>
      </c>
      <c r="J2" s="2101"/>
      <c r="K2" s="2101"/>
      <c r="L2" s="2101"/>
      <c r="M2" s="2101"/>
      <c r="N2" s="2101"/>
      <c r="O2" s="2101"/>
      <c r="P2" s="2101"/>
      <c r="Q2" s="2101"/>
      <c r="R2" s="2101"/>
      <c r="S2" s="2101"/>
    </row>
    <row r="3" spans="1:32" ht="12" customHeight="1" x14ac:dyDescent="0.2">
      <c r="A3" s="1833" t="str">
        <f>"SD/JA"&amp;MID('AFR20'!E2,3,2)</f>
        <v>SD/JA20</v>
      </c>
      <c r="B3" s="151"/>
      <c r="C3" s="151"/>
      <c r="D3" s="152"/>
      <c r="I3" s="2102" t="s">
        <v>52</v>
      </c>
      <c r="J3" s="2101"/>
      <c r="K3" s="2101"/>
      <c r="L3" s="2101"/>
      <c r="M3" s="2101"/>
      <c r="N3" s="2101"/>
      <c r="O3" s="2101"/>
      <c r="P3" s="2101"/>
      <c r="Q3" s="2101"/>
      <c r="R3" s="2101"/>
      <c r="S3" s="2101"/>
    </row>
    <row r="4" spans="1:32" ht="12" customHeight="1" x14ac:dyDescent="0.2">
      <c r="A4" s="37"/>
      <c r="I4" s="2102" t="s">
        <v>520</v>
      </c>
      <c r="J4" s="2101"/>
      <c r="K4" s="2101"/>
      <c r="L4" s="2101"/>
      <c r="M4" s="2101"/>
      <c r="N4" s="2101"/>
      <c r="O4" s="2101"/>
      <c r="P4" s="2101"/>
      <c r="Q4" s="2101"/>
      <c r="R4" s="2101"/>
      <c r="S4" s="2101"/>
    </row>
    <row r="5" spans="1:32" ht="14.1" customHeight="1" x14ac:dyDescent="0.2">
      <c r="B5" s="101" t="s">
        <v>2031</v>
      </c>
      <c r="C5" s="26" t="s">
        <v>903</v>
      </c>
      <c r="D5" s="81"/>
      <c r="E5" s="81"/>
      <c r="H5" s="38"/>
      <c r="I5" s="2110" t="s">
        <v>674</v>
      </c>
      <c r="J5" s="2109"/>
      <c r="K5" s="2109"/>
      <c r="L5" s="2109"/>
      <c r="M5" s="2109"/>
      <c r="N5" s="2109"/>
      <c r="O5" s="2109"/>
      <c r="P5" s="2109"/>
      <c r="Q5" s="2109"/>
      <c r="R5" s="2109"/>
      <c r="S5" s="2109"/>
      <c r="AF5" s="1826"/>
    </row>
    <row r="6" spans="1:32" ht="14.1" customHeight="1" x14ac:dyDescent="0.2">
      <c r="B6" s="101"/>
      <c r="C6" s="26" t="s">
        <v>904</v>
      </c>
      <c r="D6" s="81"/>
      <c r="E6" s="81"/>
      <c r="I6" s="2108" t="s">
        <v>876</v>
      </c>
      <c r="J6" s="2109"/>
      <c r="K6" s="2109"/>
      <c r="L6" s="2109"/>
      <c r="M6" s="2109"/>
      <c r="N6" s="2109"/>
      <c r="O6" s="2109"/>
      <c r="P6" s="2109"/>
      <c r="Q6" s="2109"/>
      <c r="R6" s="2109"/>
      <c r="S6" s="2109"/>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668</v>
      </c>
      <c r="J9" s="2106"/>
      <c r="K9" s="2106"/>
      <c r="L9" s="2106"/>
      <c r="M9" s="2106"/>
      <c r="N9" s="2106"/>
      <c r="O9" s="2106"/>
      <c r="P9" s="2106"/>
      <c r="Q9" s="2106"/>
      <c r="R9" s="2106"/>
      <c r="S9" s="2107"/>
      <c r="T9" s="2158" t="s">
        <v>529</v>
      </c>
      <c r="U9" s="2159"/>
      <c r="V9" s="2159"/>
      <c r="W9" s="2159"/>
      <c r="X9" s="2159"/>
      <c r="Y9" s="2159"/>
      <c r="Z9" s="2159"/>
      <c r="AA9" s="2160"/>
    </row>
    <row r="10" spans="1:32" ht="13.5" customHeight="1" x14ac:dyDescent="0.2">
      <c r="A10" s="2165" t="s">
        <v>669</v>
      </c>
      <c r="B10" s="2166"/>
      <c r="C10" s="2166"/>
      <c r="D10" s="2166"/>
      <c r="E10" s="2166"/>
      <c r="F10" s="2166"/>
      <c r="G10" s="2166"/>
      <c r="H10" s="2167"/>
      <c r="I10" s="29"/>
      <c r="J10" s="30"/>
      <c r="K10" s="28"/>
      <c r="R10" s="30"/>
      <c r="S10" s="30"/>
      <c r="T10" s="2161"/>
      <c r="U10" s="2109"/>
      <c r="V10" s="2109"/>
      <c r="W10" s="2109"/>
      <c r="X10" s="2109"/>
      <c r="Y10" s="2109"/>
      <c r="Z10" s="2109"/>
      <c r="AA10" s="2115"/>
    </row>
    <row r="11" spans="1:32" ht="14.25" customHeight="1" x14ac:dyDescent="0.2">
      <c r="A11" s="2168" t="s">
        <v>948</v>
      </c>
      <c r="B11" s="2169"/>
      <c r="C11" s="2169"/>
      <c r="D11" s="2169"/>
      <c r="E11" s="2169"/>
      <c r="F11" s="2169"/>
      <c r="G11" s="2169"/>
      <c r="H11" s="2170"/>
      <c r="I11" s="27"/>
      <c r="J11" s="71"/>
      <c r="K11" s="27"/>
      <c r="O11" s="144" t="s">
        <v>2031</v>
      </c>
      <c r="P11" s="97" t="s">
        <v>199</v>
      </c>
      <c r="Q11" s="30"/>
      <c r="R11" s="28"/>
      <c r="S11" s="27"/>
      <c r="T11" s="2162"/>
      <c r="U11" s="2163"/>
      <c r="V11" s="2163"/>
      <c r="W11" s="2163"/>
      <c r="X11" s="2163"/>
      <c r="Y11" s="2163"/>
      <c r="Z11" s="2163"/>
      <c r="AA11" s="216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21">
        <v>13058100026</v>
      </c>
      <c r="B13" s="2122"/>
      <c r="C13" s="2122"/>
      <c r="D13" s="2122"/>
      <c r="E13" s="2122"/>
      <c r="F13" s="2122"/>
      <c r="G13" s="2122"/>
      <c r="H13" s="2123"/>
      <c r="I13" s="31"/>
      <c r="J13" s="30"/>
      <c r="K13" s="28"/>
      <c r="L13" s="30"/>
      <c r="M13" s="30"/>
      <c r="N13" s="30"/>
      <c r="O13" s="30"/>
      <c r="P13" s="30"/>
      <c r="Q13" s="30"/>
      <c r="R13" s="30"/>
      <c r="S13" s="30"/>
      <c r="T13" s="2127" t="s">
        <v>2020</v>
      </c>
      <c r="U13" s="2128"/>
      <c r="V13" s="2128"/>
      <c r="W13" s="2128"/>
      <c r="X13" s="2128"/>
      <c r="Y13" s="2129"/>
      <c r="Z13" s="2129"/>
      <c r="AA13" s="2130"/>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24" t="s">
        <v>2032</v>
      </c>
      <c r="B15" s="2125"/>
      <c r="C15" s="2125"/>
      <c r="D15" s="2125"/>
      <c r="E15" s="2125"/>
      <c r="F15" s="2125"/>
      <c r="G15" s="2125"/>
      <c r="H15" s="2126"/>
      <c r="T15" s="2131" t="s">
        <v>2039</v>
      </c>
      <c r="U15" s="2088"/>
      <c r="V15" s="2088"/>
      <c r="W15" s="2088"/>
      <c r="X15" s="2088"/>
      <c r="Y15" s="2132"/>
      <c r="Z15" s="2132"/>
      <c r="AA15" s="213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4" t="s">
        <v>2103</v>
      </c>
      <c r="B17" s="2095"/>
      <c r="C17" s="2095"/>
      <c r="D17" s="2095"/>
      <c r="E17" s="2095"/>
      <c r="F17" s="2095"/>
      <c r="G17" s="2095"/>
      <c r="H17" s="2120"/>
      <c r="T17" s="2138" t="s">
        <v>2021</v>
      </c>
      <c r="U17" s="2139"/>
      <c r="V17" s="2139"/>
      <c r="W17" s="2139"/>
      <c r="X17" s="2139"/>
      <c r="Y17" s="2139"/>
      <c r="Z17" s="2139"/>
      <c r="AA17" s="2140"/>
    </row>
    <row r="18" spans="1:27" ht="13.5" customHeight="1" x14ac:dyDescent="0.2">
      <c r="A18" s="82" t="s">
        <v>526</v>
      </c>
      <c r="B18" s="73"/>
      <c r="C18" s="69"/>
      <c r="D18" s="73"/>
      <c r="E18" s="73"/>
      <c r="F18" s="73"/>
      <c r="G18" s="73"/>
      <c r="H18" s="53"/>
      <c r="I18" s="2119" t="s">
        <v>670</v>
      </c>
      <c r="J18" s="2070"/>
      <c r="K18" s="2070"/>
      <c r="L18" s="2070"/>
      <c r="M18" s="2070"/>
      <c r="N18" s="2070"/>
      <c r="O18" s="2070"/>
      <c r="P18" s="2070"/>
      <c r="Q18" s="2070"/>
      <c r="R18" s="2070"/>
      <c r="S18" s="2071"/>
      <c r="T18" s="82" t="s">
        <v>705</v>
      </c>
      <c r="U18" s="48"/>
      <c r="V18" s="69"/>
      <c r="W18" s="47"/>
      <c r="X18" s="82" t="s">
        <v>263</v>
      </c>
      <c r="Y18" s="78"/>
      <c r="Z18" s="154" t="s">
        <v>671</v>
      </c>
      <c r="AA18" s="44"/>
    </row>
    <row r="19" spans="1:27" ht="13.5" customHeight="1" x14ac:dyDescent="0.2">
      <c r="A19" s="2124" t="s">
        <v>2034</v>
      </c>
      <c r="B19" s="2080"/>
      <c r="C19" s="2080"/>
      <c r="D19" s="2080"/>
      <c r="E19" s="2080"/>
      <c r="F19" s="2080"/>
      <c r="G19" s="2080"/>
      <c r="H19" s="2060"/>
      <c r="I19" s="30"/>
      <c r="J19" s="96"/>
      <c r="K19" s="40"/>
      <c r="L19" s="38"/>
      <c r="M19" s="109" t="s">
        <v>311</v>
      </c>
      <c r="P19" s="27"/>
      <c r="Q19" s="27"/>
      <c r="R19" s="27"/>
      <c r="S19" s="31"/>
      <c r="T19" s="2124" t="s">
        <v>2022</v>
      </c>
      <c r="U19" s="2059"/>
      <c r="V19" s="2059"/>
      <c r="W19" s="2060"/>
      <c r="X19" s="2136" t="s">
        <v>2023</v>
      </c>
      <c r="Y19" s="2137"/>
      <c r="Z19" s="2134">
        <v>62801</v>
      </c>
      <c r="AA19" s="213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58" t="s">
        <v>2033</v>
      </c>
      <c r="B21" s="2059"/>
      <c r="C21" s="2059"/>
      <c r="D21" s="2059"/>
      <c r="E21" s="2059"/>
      <c r="F21" s="2059"/>
      <c r="G21" s="2059"/>
      <c r="H21" s="2060"/>
      <c r="I21" s="2114" t="s">
        <v>672</v>
      </c>
      <c r="J21" s="2109"/>
      <c r="K21" s="2109"/>
      <c r="L21" s="2109"/>
      <c r="M21" s="2109"/>
      <c r="N21" s="2109"/>
      <c r="O21" s="2109"/>
      <c r="P21" s="2109"/>
      <c r="Q21" s="2109"/>
      <c r="R21" s="2109"/>
      <c r="S21" s="2115"/>
      <c r="T21" s="2149" t="s">
        <v>2024</v>
      </c>
      <c r="U21" s="2150"/>
      <c r="V21" s="2150"/>
      <c r="W21" s="2150"/>
      <c r="X21" s="2155" t="s">
        <v>2025</v>
      </c>
      <c r="Y21" s="2156"/>
      <c r="Z21" s="2156"/>
      <c r="AA21" s="2157"/>
    </row>
    <row r="22" spans="1:27" ht="13.5" customHeight="1" x14ac:dyDescent="0.2">
      <c r="A22" s="84" t="s">
        <v>527</v>
      </c>
      <c r="B22" s="56"/>
      <c r="C22" s="56"/>
      <c r="D22" s="56"/>
      <c r="E22" s="56"/>
      <c r="F22" s="56"/>
      <c r="G22" s="56"/>
      <c r="H22" s="57"/>
      <c r="I22" s="2116" t="s">
        <v>1414</v>
      </c>
      <c r="J22" s="2117"/>
      <c r="K22" s="2117"/>
      <c r="L22" s="2117"/>
      <c r="M22" s="2117"/>
      <c r="N22" s="2117"/>
      <c r="O22" s="2117"/>
      <c r="P22" s="2117"/>
      <c r="Q22" s="2117"/>
      <c r="R22" s="2117"/>
      <c r="S22" s="2118"/>
      <c r="T22" s="82" t="s">
        <v>1501</v>
      </c>
      <c r="U22" s="48"/>
      <c r="V22" s="69"/>
      <c r="W22" s="48"/>
      <c r="X22" s="155" t="s">
        <v>1308</v>
      </c>
      <c r="Z22" s="43"/>
      <c r="AA22" s="44"/>
    </row>
    <row r="23" spans="1:27" ht="13.5" customHeight="1" x14ac:dyDescent="0.2">
      <c r="A23" s="2111" t="s">
        <v>2035</v>
      </c>
      <c r="B23" s="2112"/>
      <c r="C23" s="2112"/>
      <c r="D23" s="2112"/>
      <c r="E23" s="2112"/>
      <c r="F23" s="2112"/>
      <c r="G23" s="2112"/>
      <c r="H23" s="2113"/>
      <c r="T23" s="2094" t="s">
        <v>2026</v>
      </c>
      <c r="U23" s="2148"/>
      <c r="V23" s="2148"/>
      <c r="W23" s="2148"/>
      <c r="X23" s="2152">
        <v>44530</v>
      </c>
      <c r="Y23" s="2153"/>
      <c r="Z23" s="2153"/>
      <c r="AA23" s="2154"/>
    </row>
    <row r="24" spans="1:27" ht="14.1" customHeight="1" x14ac:dyDescent="0.2">
      <c r="A24" s="85" t="s">
        <v>671</v>
      </c>
      <c r="B24" s="46"/>
      <c r="C24" s="46"/>
      <c r="D24" s="46"/>
      <c r="E24" s="46"/>
      <c r="F24" s="46"/>
      <c r="G24" s="46"/>
      <c r="H24" s="58"/>
      <c r="J24" s="2081">
        <f>IF(B5="x",IF(AUDITCHECK!D29="AFR form Incomplete.","",IF(AUDITCHECK!D29="Deficit reduction plan is required.","School District must complete a deficit reduction plan in the 2019-2020 Budget",)),"")</f>
        <v>0</v>
      </c>
      <c r="K24" s="2081"/>
      <c r="L24" s="2081"/>
      <c r="M24" s="2081"/>
      <c r="N24" s="2081"/>
      <c r="O24" s="2081"/>
      <c r="P24" s="2081"/>
      <c r="Q24" s="2081"/>
      <c r="R24" s="2081"/>
      <c r="S24" s="2082"/>
      <c r="T24" s="102" t="s">
        <v>527</v>
      </c>
      <c r="U24" s="103"/>
      <c r="V24" s="103"/>
      <c r="W24" s="103"/>
      <c r="X24" s="104"/>
      <c r="Y24" s="104"/>
      <c r="Z24" s="104"/>
      <c r="AA24" s="105"/>
    </row>
    <row r="25" spans="1:27" ht="14.1" customHeight="1" x14ac:dyDescent="0.2">
      <c r="A25" s="2058">
        <v>61875</v>
      </c>
      <c r="B25" s="2059"/>
      <c r="C25" s="2059"/>
      <c r="D25" s="2059"/>
      <c r="E25" s="2059"/>
      <c r="F25" s="2059"/>
      <c r="G25" s="2059"/>
      <c r="H25" s="2060"/>
      <c r="I25" s="110"/>
      <c r="J25" s="2083"/>
      <c r="K25" s="2083"/>
      <c r="L25" s="2083"/>
      <c r="M25" s="2083"/>
      <c r="N25" s="2083"/>
      <c r="O25" s="2083"/>
      <c r="P25" s="2083"/>
      <c r="Q25" s="2083"/>
      <c r="R25" s="2083"/>
      <c r="S25" s="2084"/>
      <c r="T25" s="2145" t="s">
        <v>2027</v>
      </c>
      <c r="U25" s="2146"/>
      <c r="V25" s="2146"/>
      <c r="W25" s="2146"/>
      <c r="X25" s="2146"/>
      <c r="Y25" s="2146"/>
      <c r="Z25" s="2146"/>
      <c r="AA25" s="21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69" t="s">
        <v>1496</v>
      </c>
      <c r="J27" s="2070"/>
      <c r="K27" s="2070"/>
      <c r="L27" s="2070"/>
      <c r="M27" s="2070"/>
      <c r="N27" s="2070"/>
      <c r="O27" s="2070"/>
      <c r="P27" s="2070"/>
      <c r="Q27" s="2070"/>
      <c r="R27" s="2070"/>
      <c r="S27" s="2071"/>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2031</v>
      </c>
      <c r="M29" s="40" t="s">
        <v>99</v>
      </c>
      <c r="N29" s="32" t="s">
        <v>1508</v>
      </c>
      <c r="O29" s="32"/>
      <c r="P29" s="32"/>
      <c r="Q29" s="32"/>
      <c r="R29" s="32"/>
      <c r="S29" s="120"/>
      <c r="T29" s="6"/>
      <c r="U29" s="6"/>
      <c r="V29" s="6"/>
      <c r="W29" s="6"/>
      <c r="X29" s="6"/>
      <c r="Y29" s="6"/>
      <c r="Z29" s="6"/>
      <c r="AA29" s="129"/>
    </row>
    <row r="30" spans="1:27" ht="13.5" customHeight="1" x14ac:dyDescent="0.2">
      <c r="A30" s="149"/>
      <c r="B30" s="133" t="s">
        <v>2031</v>
      </c>
      <c r="C30" s="121" t="s">
        <v>1155</v>
      </c>
      <c r="D30" s="28"/>
      <c r="E30" s="28"/>
      <c r="F30" s="136"/>
      <c r="G30" s="111"/>
      <c r="H30" s="111"/>
      <c r="I30" s="51"/>
      <c r="J30" s="99"/>
      <c r="K30" s="28" t="s">
        <v>571</v>
      </c>
      <c r="L30" s="144" t="s">
        <v>2031</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2031</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2031</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0"/>
      <c r="Q35" s="2059"/>
      <c r="R35" s="205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4" t="s">
        <v>2036</v>
      </c>
      <c r="B38" s="2095"/>
      <c r="C38" s="2095"/>
      <c r="D38" s="2095"/>
      <c r="E38" s="2095"/>
      <c r="F38" s="2059"/>
      <c r="G38" s="2059"/>
      <c r="H38" s="2060"/>
      <c r="I38" s="2087"/>
      <c r="J38" s="2088"/>
      <c r="K38" s="2088"/>
      <c r="L38" s="2088"/>
      <c r="M38" s="2088"/>
      <c r="N38" s="2088"/>
      <c r="O38" s="2088"/>
      <c r="P38" s="2089"/>
      <c r="Q38" s="2089"/>
      <c r="R38" s="2089"/>
      <c r="S38" s="2090"/>
      <c r="T38" s="2131"/>
      <c r="U38" s="2088"/>
      <c r="V38" s="2088"/>
      <c r="W38" s="2088"/>
      <c r="X38" s="2089"/>
      <c r="Y38" s="2089"/>
      <c r="Z38" s="2089"/>
      <c r="AA38" s="2090"/>
    </row>
    <row r="39" spans="1:27" ht="12" customHeight="1" x14ac:dyDescent="0.2">
      <c r="A39" s="2064" t="s">
        <v>527</v>
      </c>
      <c r="B39" s="2065"/>
      <c r="C39" s="69"/>
      <c r="D39" s="66"/>
      <c r="E39" s="66"/>
      <c r="F39" s="76"/>
      <c r="G39" s="66"/>
      <c r="H39" s="53"/>
      <c r="I39" s="2064" t="s">
        <v>527</v>
      </c>
      <c r="J39" s="2065"/>
      <c r="K39" s="2065"/>
      <c r="L39" s="2065"/>
      <c r="M39" s="2065"/>
      <c r="N39" s="64"/>
      <c r="O39" s="69"/>
      <c r="P39" s="69"/>
      <c r="Q39" s="75"/>
      <c r="R39" s="69"/>
      <c r="S39" s="53"/>
      <c r="T39" s="69" t="s">
        <v>527</v>
      </c>
      <c r="U39" s="48"/>
      <c r="V39" s="69"/>
      <c r="W39" s="47"/>
      <c r="X39" s="75"/>
      <c r="Y39" s="43"/>
      <c r="Z39" s="43"/>
      <c r="AA39" s="44"/>
    </row>
    <row r="40" spans="1:27" ht="13.5" customHeight="1" x14ac:dyDescent="0.2">
      <c r="A40" s="2072" t="s">
        <v>2035</v>
      </c>
      <c r="B40" s="2073"/>
      <c r="C40" s="2074"/>
      <c r="D40" s="2074"/>
      <c r="E40" s="2074"/>
      <c r="F40" s="2075"/>
      <c r="G40" s="2075"/>
      <c r="H40" s="2076"/>
      <c r="I40" s="2097"/>
      <c r="J40" s="2098"/>
      <c r="K40" s="2098"/>
      <c r="L40" s="2098"/>
      <c r="M40" s="2098"/>
      <c r="N40" s="2098"/>
      <c r="O40" s="2098"/>
      <c r="P40" s="2098"/>
      <c r="Q40" s="2098"/>
      <c r="R40" s="2098"/>
      <c r="S40" s="2099"/>
      <c r="T40" s="2097"/>
      <c r="U40" s="2151"/>
      <c r="V40" s="2098"/>
      <c r="W40" s="2098"/>
      <c r="X40" s="2098"/>
      <c r="Y40" s="2098"/>
      <c r="Z40" s="2098"/>
      <c r="AA40" s="209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6" t="s">
        <v>2037</v>
      </c>
      <c r="B42" s="2078"/>
      <c r="C42" s="2079"/>
      <c r="D42" s="2077" t="s">
        <v>2038</v>
      </c>
      <c r="E42" s="2078"/>
      <c r="F42" s="2078"/>
      <c r="G42" s="2078"/>
      <c r="H42" s="2079"/>
      <c r="I42" s="2061"/>
      <c r="J42" s="2062"/>
      <c r="K42" s="2062"/>
      <c r="L42" s="2062"/>
      <c r="M42" s="2062"/>
      <c r="N42" s="2062"/>
      <c r="O42" s="2063"/>
      <c r="P42" s="2096"/>
      <c r="Q42" s="2062"/>
      <c r="R42" s="2062"/>
      <c r="S42" s="2063"/>
      <c r="T42" s="2061"/>
      <c r="U42" s="2062"/>
      <c r="V42" s="2062"/>
      <c r="W42" s="2063"/>
      <c r="X42" s="2096"/>
      <c r="Y42" s="2062"/>
      <c r="Z42" s="2062"/>
      <c r="AA42" s="206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1"/>
      <c r="B44" s="2092"/>
      <c r="C44" s="2092"/>
      <c r="D44" s="2092"/>
      <c r="E44" s="2092"/>
      <c r="F44" s="2092"/>
      <c r="G44" s="2092"/>
      <c r="H44" s="2093"/>
      <c r="I44" s="2066"/>
      <c r="J44" s="2067"/>
      <c r="K44" s="2067"/>
      <c r="L44" s="2067"/>
      <c r="M44" s="2067"/>
      <c r="N44" s="2067"/>
      <c r="O44" s="2067"/>
      <c r="P44" s="2067"/>
      <c r="Q44" s="2067"/>
      <c r="R44" s="2067"/>
      <c r="S44" s="2068"/>
      <c r="T44" s="2066"/>
      <c r="U44" s="2085"/>
      <c r="V44" s="2085"/>
      <c r="W44" s="2085"/>
      <c r="X44" s="2085"/>
      <c r="Y44" s="2085"/>
      <c r="Z44" s="2067"/>
      <c r="AA44" s="206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23" sqref="C2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9"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0"/>
      <c r="B3" s="1293"/>
      <c r="C3" s="1294"/>
      <c r="D3" s="1295" t="s">
        <v>254</v>
      </c>
      <c r="E3" s="1294"/>
      <c r="F3" s="1295" t="s">
        <v>255</v>
      </c>
    </row>
    <row r="4" spans="1:8" ht="13.7" customHeight="1" x14ac:dyDescent="0.2">
      <c r="A4" s="579" t="s">
        <v>1146</v>
      </c>
      <c r="B4" s="1720">
        <f>'Revenues 9-14'!C5</f>
        <v>967680</v>
      </c>
      <c r="C4" s="1721"/>
      <c r="D4" s="1722">
        <f>B4-C4</f>
        <v>967680</v>
      </c>
      <c r="E4" s="1721">
        <v>1064282</v>
      </c>
      <c r="F4" s="1722">
        <f>E4-C4</f>
        <v>1064282</v>
      </c>
    </row>
    <row r="5" spans="1:8" ht="13.7" customHeight="1" x14ac:dyDescent="0.2">
      <c r="A5" s="579" t="s">
        <v>864</v>
      </c>
      <c r="B5" s="1723">
        <f>'Revenues 9-14'!D5</f>
        <v>215053</v>
      </c>
      <c r="C5" s="1663"/>
      <c r="D5" s="1724">
        <f t="shared" ref="D5:D18" si="0">B5-C5</f>
        <v>215053</v>
      </c>
      <c r="E5" s="1663">
        <v>236507</v>
      </c>
      <c r="F5" s="1724">
        <f>E5-C5</f>
        <v>236507</v>
      </c>
    </row>
    <row r="6" spans="1:8" ht="13.7" customHeight="1" x14ac:dyDescent="0.2">
      <c r="A6" s="579" t="s">
        <v>407</v>
      </c>
      <c r="B6" s="1723">
        <f>'Revenues 9-14'!E5</f>
        <v>224997</v>
      </c>
      <c r="C6" s="1663"/>
      <c r="D6" s="1724">
        <f t="shared" si="0"/>
        <v>224997</v>
      </c>
      <c r="E6" s="1663">
        <v>309049</v>
      </c>
      <c r="F6" s="1724">
        <f t="shared" ref="F6:F18" si="1">E6-C6</f>
        <v>309049</v>
      </c>
    </row>
    <row r="7" spans="1:8" ht="13.7" customHeight="1" x14ac:dyDescent="0.2">
      <c r="A7" s="579" t="s">
        <v>154</v>
      </c>
      <c r="B7" s="1723">
        <f>'Revenues 9-14'!F5</f>
        <v>86020</v>
      </c>
      <c r="C7" s="1663"/>
      <c r="D7" s="1724">
        <f t="shared" si="0"/>
        <v>86020</v>
      </c>
      <c r="E7" s="1663">
        <v>94603</v>
      </c>
      <c r="F7" s="1724">
        <f t="shared" si="1"/>
        <v>94603</v>
      </c>
    </row>
    <row r="8" spans="1:8" ht="13.7" customHeight="1" x14ac:dyDescent="0.2">
      <c r="A8" s="579" t="s">
        <v>1170</v>
      </c>
      <c r="B8" s="1723">
        <f>'Revenues 9-14'!G5</f>
        <v>31248</v>
      </c>
      <c r="C8" s="1663"/>
      <c r="D8" s="1724">
        <f t="shared" si="0"/>
        <v>31248</v>
      </c>
      <c r="E8" s="1663">
        <v>33777</v>
      </c>
      <c r="F8" s="1724">
        <f t="shared" si="1"/>
        <v>33777</v>
      </c>
    </row>
    <row r="9" spans="1:8" ht="13.7" customHeight="1" x14ac:dyDescent="0.2">
      <c r="A9" s="579" t="s">
        <v>404</v>
      </c>
      <c r="B9" s="1723">
        <f>'Revenues 9-14'!H5</f>
        <v>0</v>
      </c>
      <c r="C9" s="1663"/>
      <c r="D9" s="1724">
        <f t="shared" si="0"/>
        <v>0</v>
      </c>
      <c r="E9" s="1663">
        <v>0</v>
      </c>
      <c r="F9" s="1724">
        <f t="shared" si="1"/>
        <v>0</v>
      </c>
    </row>
    <row r="10" spans="1:8" ht="13.7" customHeight="1" x14ac:dyDescent="0.2">
      <c r="A10" s="579" t="s">
        <v>403</v>
      </c>
      <c r="B10" s="1723">
        <f>'Revenues 9-14'!I5</f>
        <v>21505</v>
      </c>
      <c r="C10" s="1663"/>
      <c r="D10" s="1724">
        <f t="shared" si="0"/>
        <v>21505</v>
      </c>
      <c r="E10" s="1663">
        <v>23651</v>
      </c>
      <c r="F10" s="1724">
        <f t="shared" si="1"/>
        <v>23651</v>
      </c>
    </row>
    <row r="11" spans="1:8" x14ac:dyDescent="0.2">
      <c r="A11" s="579" t="s">
        <v>405</v>
      </c>
      <c r="B11" s="1723">
        <f>'Revenues 9-14'!J5</f>
        <v>151184</v>
      </c>
      <c r="C11" s="1663"/>
      <c r="D11" s="1724">
        <f t="shared" si="0"/>
        <v>151184</v>
      </c>
      <c r="E11" s="1663">
        <v>132527</v>
      </c>
      <c r="F11" s="1724">
        <f t="shared" si="1"/>
        <v>132527</v>
      </c>
    </row>
    <row r="12" spans="1:8" ht="13.7" customHeight="1" x14ac:dyDescent="0.2">
      <c r="A12" s="579" t="s">
        <v>156</v>
      </c>
      <c r="B12" s="1723">
        <f>'Revenues 9-14'!K5</f>
        <v>21506</v>
      </c>
      <c r="C12" s="1663"/>
      <c r="D12" s="1724">
        <f t="shared" si="0"/>
        <v>21506</v>
      </c>
      <c r="E12" s="1663">
        <v>23651</v>
      </c>
      <c r="F12" s="1724">
        <f t="shared" si="1"/>
        <v>23651</v>
      </c>
    </row>
    <row r="13" spans="1:8" ht="13.7" customHeight="1" x14ac:dyDescent="0.2">
      <c r="A13" s="579" t="s">
        <v>929</v>
      </c>
      <c r="B13" s="1723">
        <f>SUM('Revenues 9-14'!C6:D6)</f>
        <v>20639</v>
      </c>
      <c r="C13" s="1663"/>
      <c r="D13" s="1724">
        <f t="shared" si="0"/>
        <v>20639</v>
      </c>
      <c r="E13" s="1663">
        <v>20640</v>
      </c>
      <c r="F13" s="1724">
        <f t="shared" si="1"/>
        <v>20640</v>
      </c>
    </row>
    <row r="14" spans="1:8" ht="13.7" customHeight="1" x14ac:dyDescent="0.2">
      <c r="A14" s="579" t="s">
        <v>406</v>
      </c>
      <c r="B14" s="1723">
        <f>SUM('Revenues 9-14'!C7:D7,'Revenues 9-14'!F7:H7)</f>
        <v>17204</v>
      </c>
      <c r="C14" s="1663"/>
      <c r="D14" s="1724">
        <f t="shared" si="0"/>
        <v>17204</v>
      </c>
      <c r="E14" s="1663">
        <v>18921</v>
      </c>
      <c r="F14" s="1724">
        <f t="shared" si="1"/>
        <v>18921</v>
      </c>
    </row>
    <row r="15" spans="1:8" ht="13.7" customHeight="1" x14ac:dyDescent="0.2">
      <c r="A15" s="579" t="s">
        <v>1149</v>
      </c>
      <c r="B15" s="1723">
        <f>SUM('Revenues 9-14'!D9:E9,'Revenues 9-14'!H9)</f>
        <v>0</v>
      </c>
      <c r="C15" s="1663"/>
      <c r="D15" s="1724">
        <f t="shared" si="0"/>
        <v>0</v>
      </c>
      <c r="E15" s="1663">
        <v>0</v>
      </c>
      <c r="F15" s="1724">
        <f t="shared" si="1"/>
        <v>0</v>
      </c>
    </row>
    <row r="16" spans="1:8" ht="13.7" customHeight="1" x14ac:dyDescent="0.2">
      <c r="A16" s="579" t="s">
        <v>1150</v>
      </c>
      <c r="B16" s="1723">
        <f>'Revenues 9-14'!G8</f>
        <v>21168</v>
      </c>
      <c r="C16" s="1663"/>
      <c r="D16" s="1724">
        <f t="shared" si="0"/>
        <v>21168</v>
      </c>
      <c r="E16" s="1663">
        <v>28744</v>
      </c>
      <c r="F16" s="1724">
        <f t="shared" si="1"/>
        <v>28744</v>
      </c>
    </row>
    <row r="17" spans="1:6" ht="13.7" customHeight="1" x14ac:dyDescent="0.2">
      <c r="A17" s="579" t="s">
        <v>1151</v>
      </c>
      <c r="B17" s="1723">
        <f>'Revenues 9-14'!C10</f>
        <v>0</v>
      </c>
      <c r="C17" s="1663"/>
      <c r="D17" s="1724">
        <f t="shared" si="0"/>
        <v>0</v>
      </c>
      <c r="E17" s="1663">
        <v>0</v>
      </c>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1152</v>
      </c>
      <c r="B19" s="1725">
        <f>SUM(B4:B18)</f>
        <v>1778204</v>
      </c>
      <c r="C19" s="1725">
        <f>SUM(C4:C18)</f>
        <v>0</v>
      </c>
      <c r="D19" s="1725">
        <f>SUM(D4:D18)</f>
        <v>1778204</v>
      </c>
      <c r="E19" s="1725">
        <f>SUM(E4:E18)</f>
        <v>1986352</v>
      </c>
      <c r="F19" s="1725">
        <f>SUM(F4:F18)</f>
        <v>1986352</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44"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B57" sqref="B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1" t="s">
        <v>624</v>
      </c>
      <c r="B1" s="2329"/>
      <c r="C1" s="585"/>
    </row>
    <row r="2" spans="1:7" ht="33.75" x14ac:dyDescent="0.2">
      <c r="A2" s="2336" t="s">
        <v>1781</v>
      </c>
      <c r="B2" s="2337"/>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38" t="s">
        <v>1105</v>
      </c>
      <c r="B3" s="2339"/>
      <c r="C3" s="2332"/>
      <c r="D3" s="2333"/>
      <c r="E3" s="2333"/>
      <c r="F3" s="2334"/>
    </row>
    <row r="4" spans="1:7" ht="12.75" customHeight="1" thickBot="1" x14ac:dyDescent="0.25">
      <c r="A4" s="2326" t="s">
        <v>625</v>
      </c>
      <c r="B4" s="2327"/>
      <c r="C4" s="1655"/>
      <c r="D4" s="1655"/>
      <c r="E4" s="1655"/>
      <c r="F4" s="1731">
        <f>SUM(C4+D4)-E4</f>
        <v>0</v>
      </c>
    </row>
    <row r="5" spans="1:7" ht="15.75" customHeight="1" thickTop="1" x14ac:dyDescent="0.2">
      <c r="A5" s="2330" t="s">
        <v>1102</v>
      </c>
      <c r="B5" s="2325"/>
      <c r="C5" s="2319"/>
      <c r="D5" s="2320"/>
      <c r="E5" s="2320"/>
      <c r="F5" s="232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22" t="s">
        <v>626</v>
      </c>
      <c r="B15" s="2323"/>
      <c r="C15" s="1731">
        <f>SUM(C6:C14)</f>
        <v>0</v>
      </c>
      <c r="D15" s="1731">
        <f>SUM(D6:D14)</f>
        <v>0</v>
      </c>
      <c r="E15" s="1731">
        <f>SUM(E6:E14)</f>
        <v>0</v>
      </c>
      <c r="F15" s="1731">
        <f>SUM(F6:F14)</f>
        <v>0</v>
      </c>
      <c r="G15" s="473"/>
    </row>
    <row r="16" spans="1:7" s="197" customFormat="1" ht="15.75" customHeight="1" thickTop="1" x14ac:dyDescent="0.2">
      <c r="A16" s="2335" t="s">
        <v>1103</v>
      </c>
      <c r="B16" s="2325"/>
      <c r="C16" s="2319"/>
      <c r="D16" s="2320"/>
      <c r="E16" s="2320"/>
      <c r="F16" s="2321"/>
    </row>
    <row r="17" spans="1:11" ht="12.75" customHeight="1" thickBot="1" x14ac:dyDescent="0.25">
      <c r="A17" s="2317" t="s">
        <v>64</v>
      </c>
      <c r="B17" s="2318"/>
      <c r="C17" s="1732"/>
      <c r="D17" s="1663"/>
      <c r="E17" s="1732"/>
      <c r="F17" s="1731">
        <f>SUM(C17+D17)-E17</f>
        <v>0</v>
      </c>
    </row>
    <row r="18" spans="1:11" ht="12.75" customHeight="1" thickTop="1" thickBot="1" x14ac:dyDescent="0.25">
      <c r="A18" s="2317" t="s">
        <v>6</v>
      </c>
      <c r="B18" s="2318"/>
      <c r="C18" s="1732"/>
      <c r="D18" s="1663"/>
      <c r="E18" s="1732"/>
      <c r="F18" s="1731">
        <f>SUM(C18+D18)-E18</f>
        <v>0</v>
      </c>
    </row>
    <row r="19" spans="1:11" ht="12.75" customHeight="1" thickTop="1" thickBot="1" x14ac:dyDescent="0.25">
      <c r="A19" s="2317" t="s">
        <v>384</v>
      </c>
      <c r="B19" s="2318"/>
      <c r="C19" s="1732"/>
      <c r="D19" s="1663"/>
      <c r="E19" s="1732"/>
      <c r="F19" s="1731">
        <f>SUM(C19+D19)-E19</f>
        <v>0</v>
      </c>
    </row>
    <row r="20" spans="1:11" ht="12.75" customHeight="1" thickTop="1" thickBot="1" x14ac:dyDescent="0.25">
      <c r="A20" s="2317" t="s">
        <v>444</v>
      </c>
      <c r="B20" s="2318"/>
      <c r="C20" s="1732"/>
      <c r="D20" s="1663"/>
      <c r="E20" s="1732"/>
      <c r="F20" s="1731">
        <f>SUM(C20+D20)-E20</f>
        <v>0</v>
      </c>
    </row>
    <row r="21" spans="1:11" ht="14.25" thickTop="1" thickBot="1" x14ac:dyDescent="0.25">
      <c r="A21" s="2322" t="s">
        <v>627</v>
      </c>
      <c r="B21" s="2323"/>
      <c r="C21" s="1731">
        <f>SUM(C17:C20)</f>
        <v>0</v>
      </c>
      <c r="D21" s="1731">
        <f>SUM(D17:D20)</f>
        <v>0</v>
      </c>
      <c r="E21" s="1731">
        <f>SUM(E17:E20)</f>
        <v>0</v>
      </c>
      <c r="F21" s="1731">
        <f>SUM(F17:F20)</f>
        <v>0</v>
      </c>
      <c r="G21" s="473"/>
    </row>
    <row r="22" spans="1:11" ht="15.75" customHeight="1" thickTop="1" x14ac:dyDescent="0.2">
      <c r="A22" s="2324" t="s">
        <v>1104</v>
      </c>
      <c r="B22" s="2325"/>
      <c r="C22" s="2319"/>
      <c r="D22" s="2320"/>
      <c r="E22" s="2320"/>
      <c r="F22" s="2321"/>
    </row>
    <row r="23" spans="1:11" ht="13.5" thickBot="1" x14ac:dyDescent="0.25">
      <c r="A23" s="2326" t="s">
        <v>628</v>
      </c>
      <c r="B23" s="2327"/>
      <c r="C23" s="1655"/>
      <c r="D23" s="1655"/>
      <c r="E23" s="1655"/>
      <c r="F23" s="1731">
        <f>SUM(C23+D23)-E23</f>
        <v>0</v>
      </c>
      <c r="G23" s="473"/>
    </row>
    <row r="24" spans="1:11" ht="15.75" customHeight="1" thickTop="1" x14ac:dyDescent="0.2">
      <c r="A24" s="2324" t="s">
        <v>2008</v>
      </c>
      <c r="B24" s="2325"/>
      <c r="C24" s="2319"/>
      <c r="D24" s="2320"/>
      <c r="E24" s="2320"/>
      <c r="F24" s="2321"/>
    </row>
    <row r="25" spans="1:11" ht="13.5" thickBot="1" x14ac:dyDescent="0.25">
      <c r="A25" s="2326" t="s">
        <v>2009</v>
      </c>
      <c r="B25" s="2327"/>
      <c r="C25" s="1655"/>
      <c r="D25" s="1655"/>
      <c r="E25" s="1655"/>
      <c r="F25" s="1731">
        <f>SUM(C25+D25)-E25</f>
        <v>0</v>
      </c>
      <c r="G25" s="473"/>
    </row>
    <row r="26" spans="1:11" ht="15.75" customHeight="1" thickTop="1" x14ac:dyDescent="0.2">
      <c r="A26" s="2330" t="s">
        <v>651</v>
      </c>
      <c r="B26" s="2325"/>
      <c r="C26" s="589"/>
      <c r="D26" s="589"/>
      <c r="E26" s="589"/>
      <c r="F26" s="590"/>
    </row>
    <row r="27" spans="1:11" ht="13.5" thickBot="1" x14ac:dyDescent="0.25">
      <c r="A27" s="2322" t="s">
        <v>1062</v>
      </c>
      <c r="B27" s="2323"/>
      <c r="C27" s="1663"/>
      <c r="D27" s="1663"/>
      <c r="E27" s="1663"/>
      <c r="F27" s="1731">
        <f>SUM(C27+D27)-E27</f>
        <v>0</v>
      </c>
      <c r="G27" s="473"/>
    </row>
    <row r="28" spans="1:11" ht="7.5" customHeight="1" thickTop="1" x14ac:dyDescent="0.2">
      <c r="A28" s="489"/>
    </row>
    <row r="29" spans="1:11" ht="23.25" customHeight="1" x14ac:dyDescent="0.2">
      <c r="A29" s="2328" t="s">
        <v>577</v>
      </c>
      <c r="B29" s="2329"/>
      <c r="C29" s="591"/>
      <c r="D29" s="591"/>
      <c r="E29" s="591"/>
      <c r="F29" s="591"/>
      <c r="G29" s="591"/>
      <c r="H29" s="591"/>
      <c r="I29" s="591"/>
      <c r="J29" s="591"/>
    </row>
    <row r="30" spans="1:11" ht="33.75" x14ac:dyDescent="0.2">
      <c r="A30" s="1296"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2028</v>
      </c>
      <c r="B31" s="595">
        <v>42194</v>
      </c>
      <c r="C31" s="1733">
        <v>249000</v>
      </c>
      <c r="D31" s="1734">
        <v>4</v>
      </c>
      <c r="E31" s="1733">
        <v>149000</v>
      </c>
      <c r="F31" s="1733"/>
      <c r="G31" s="1733"/>
      <c r="H31" s="1733">
        <v>97000</v>
      </c>
      <c r="I31" s="1735">
        <f>((E31+F31)-H31)+G31</f>
        <v>52000</v>
      </c>
      <c r="J31" s="1733">
        <f>I31-I31/I$49*'Assets-Liab 5-6'!E$13</f>
        <v>51557.078652276046</v>
      </c>
      <c r="K31" s="596"/>
    </row>
    <row r="32" spans="1:11" ht="12" customHeight="1" x14ac:dyDescent="0.2">
      <c r="A32" s="594" t="s">
        <v>2029</v>
      </c>
      <c r="B32" s="595">
        <v>42488</v>
      </c>
      <c r="C32" s="1733">
        <v>2690000</v>
      </c>
      <c r="D32" s="1734">
        <v>4</v>
      </c>
      <c r="E32" s="1733">
        <v>2635000</v>
      </c>
      <c r="F32" s="1733"/>
      <c r="G32" s="1733"/>
      <c r="H32" s="1733">
        <v>25000</v>
      </c>
      <c r="I32" s="1735">
        <f>((E32+F32)-H32)+G32</f>
        <v>2610000</v>
      </c>
      <c r="J32" s="1733">
        <f>I32-I32/I$49*'Assets-Liab 5-6'!E$13</f>
        <v>2587768.7554315478</v>
      </c>
      <c r="K32" s="596"/>
    </row>
    <row r="33" spans="1:11" ht="12" customHeight="1" x14ac:dyDescent="0.2">
      <c r="A33" s="594" t="s">
        <v>2030</v>
      </c>
      <c r="B33" s="595">
        <v>43491</v>
      </c>
      <c r="C33" s="1733">
        <v>21165</v>
      </c>
      <c r="D33" s="1734">
        <v>7</v>
      </c>
      <c r="E33" s="1733">
        <v>16911</v>
      </c>
      <c r="F33" s="1733"/>
      <c r="G33" s="1733"/>
      <c r="H33" s="1733">
        <v>3870</v>
      </c>
      <c r="I33" s="1735">
        <f t="shared" ref="I33:I48" si="1">((E33+F33)-H33)+G33</f>
        <v>13041</v>
      </c>
      <c r="J33" s="1733">
        <f>I33-I33/I$49*'Assets-Liab 5-6'!E$13</f>
        <v>12929.920436621767</v>
      </c>
      <c r="K33" s="596"/>
    </row>
    <row r="34" spans="1:11" ht="12" customHeight="1" x14ac:dyDescent="0.2">
      <c r="A34" s="594" t="s">
        <v>2041</v>
      </c>
      <c r="B34" s="595">
        <v>43865</v>
      </c>
      <c r="C34" s="1733">
        <v>1000000</v>
      </c>
      <c r="D34" s="1734">
        <v>1</v>
      </c>
      <c r="E34" s="1733"/>
      <c r="F34" s="1733">
        <v>1000000</v>
      </c>
      <c r="G34" s="1733"/>
      <c r="H34" s="1733"/>
      <c r="I34" s="1735">
        <f t="shared" si="1"/>
        <v>1000000</v>
      </c>
      <c r="J34" s="1733">
        <f>I34-I34/I$49*'Assets-Liab 5-6'!E$13</f>
        <v>991482.28177453938</v>
      </c>
      <c r="K34" s="597"/>
    </row>
    <row r="35" spans="1:11" ht="12" customHeight="1" x14ac:dyDescent="0.2">
      <c r="A35" s="594" t="s">
        <v>2042</v>
      </c>
      <c r="B35" s="595">
        <v>43865</v>
      </c>
      <c r="C35" s="1736">
        <v>510000</v>
      </c>
      <c r="D35" s="1734">
        <v>8</v>
      </c>
      <c r="E35" s="1736"/>
      <c r="F35" s="1736">
        <v>510000</v>
      </c>
      <c r="G35" s="1736"/>
      <c r="H35" s="1736"/>
      <c r="I35" s="1735">
        <f t="shared" si="1"/>
        <v>510000</v>
      </c>
      <c r="J35" s="1733">
        <f>I35-I35/I$49*'Assets-Liab 5-6'!E$13</f>
        <v>505655.96370501508</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261</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4470165</v>
      </c>
      <c r="D49" s="1741"/>
      <c r="E49" s="1735">
        <f t="shared" ref="E49:J49" si="2">SUM(E31:E48)</f>
        <v>2800911</v>
      </c>
      <c r="F49" s="1735">
        <f t="shared" si="2"/>
        <v>1510000</v>
      </c>
      <c r="G49" s="1735">
        <f t="shared" si="2"/>
        <v>0</v>
      </c>
      <c r="H49" s="1735">
        <f t="shared" si="2"/>
        <v>125870</v>
      </c>
      <c r="I49" s="1735">
        <f t="shared" si="2"/>
        <v>4185041</v>
      </c>
      <c r="J49" s="1735">
        <f t="shared" si="2"/>
        <v>4149394</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11" t="s">
        <v>579</v>
      </c>
      <c r="C52" s="2312"/>
      <c r="D52" s="2312"/>
      <c r="E52" s="603" t="s">
        <v>839</v>
      </c>
      <c r="F52" s="2313" t="s">
        <v>2040</v>
      </c>
      <c r="G52" s="2314"/>
      <c r="H52" s="596"/>
      <c r="I52" s="596"/>
      <c r="J52" s="600"/>
    </row>
    <row r="53" spans="1:11" ht="11.25" customHeight="1" x14ac:dyDescent="0.2">
      <c r="A53" s="604" t="s">
        <v>906</v>
      </c>
      <c r="B53" s="605" t="s">
        <v>944</v>
      </c>
      <c r="C53" s="600"/>
      <c r="D53" s="597"/>
      <c r="E53" s="603" t="s">
        <v>493</v>
      </c>
      <c r="F53" s="2315" t="s">
        <v>2043</v>
      </c>
      <c r="G53" s="2316"/>
      <c r="H53" s="596"/>
      <c r="I53" s="596"/>
      <c r="J53" s="600"/>
    </row>
    <row r="54" spans="1:11" ht="11.25" customHeight="1" x14ac:dyDescent="0.2">
      <c r="A54" s="606" t="s">
        <v>907</v>
      </c>
      <c r="B54" s="601" t="s">
        <v>945</v>
      </c>
      <c r="C54" s="600"/>
      <c r="D54" s="597"/>
      <c r="E54" s="603" t="s">
        <v>494</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45" fitToHeight="0"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4" sqref="K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0" t="s">
        <v>850</v>
      </c>
      <c r="B1" s="2341"/>
      <c r="C1" s="2341"/>
      <c r="D1" s="2341"/>
      <c r="E1" s="2341"/>
      <c r="F1" s="2341"/>
      <c r="G1" s="2342"/>
      <c r="H1" s="1297"/>
      <c r="I1" s="614"/>
      <c r="J1" s="400"/>
    </row>
    <row r="2" spans="1:11" ht="26.25" x14ac:dyDescent="0.2">
      <c r="A2" s="2359" t="s">
        <v>1660</v>
      </c>
      <c r="B2" s="2360"/>
      <c r="C2" s="2360"/>
      <c r="D2" s="2360"/>
      <c r="E2" s="2361"/>
      <c r="F2" s="615" t="s">
        <v>897</v>
      </c>
      <c r="G2" s="616" t="s">
        <v>1657</v>
      </c>
      <c r="H2" s="616" t="s">
        <v>406</v>
      </c>
      <c r="I2" s="616" t="s">
        <v>1149</v>
      </c>
      <c r="J2" s="616" t="s">
        <v>1791</v>
      </c>
      <c r="K2" s="616" t="s">
        <v>137</v>
      </c>
    </row>
    <row r="3" spans="1:11" x14ac:dyDescent="0.2">
      <c r="A3" s="2362" t="str">
        <f>"Cash Basis Fund Balance as of July 1, "&amp;'AFR20'!E2-1</f>
        <v>Cash Basis Fund Balance as of July 1, 2019</v>
      </c>
      <c r="B3" s="2363"/>
      <c r="C3" s="2363"/>
      <c r="D3" s="2363"/>
      <c r="E3" s="2364"/>
      <c r="F3" s="617"/>
      <c r="G3" s="1743"/>
      <c r="H3" s="1743"/>
      <c r="I3" s="1743"/>
      <c r="J3" s="1744"/>
      <c r="K3" s="1744">
        <v>-51011</v>
      </c>
    </row>
    <row r="4" spans="1:11" x14ac:dyDescent="0.2">
      <c r="A4" s="2365" t="s">
        <v>365</v>
      </c>
      <c r="B4" s="2366"/>
      <c r="C4" s="2366"/>
      <c r="D4" s="2366"/>
      <c r="E4" s="2312"/>
      <c r="F4" s="620"/>
      <c r="G4" s="1745"/>
      <c r="H4" s="1746"/>
      <c r="I4" s="1745"/>
      <c r="J4" s="1747"/>
      <c r="K4" s="1747"/>
    </row>
    <row r="5" spans="1:11" x14ac:dyDescent="0.2">
      <c r="A5" s="2343" t="s">
        <v>1061</v>
      </c>
      <c r="B5" s="2344"/>
      <c r="C5" s="2344"/>
      <c r="D5" s="2344"/>
      <c r="E5" s="2345"/>
      <c r="F5" s="622" t="s">
        <v>842</v>
      </c>
      <c r="G5" s="1748"/>
      <c r="H5" s="1743">
        <f>+'Revenues 9-14'!C7</f>
        <v>17204</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v>525</v>
      </c>
    </row>
    <row r="8" spans="1:11" x14ac:dyDescent="0.2">
      <c r="A8" s="629" t="s">
        <v>341</v>
      </c>
      <c r="B8" s="630"/>
      <c r="C8" s="630"/>
      <c r="D8" s="630"/>
      <c r="E8" s="631"/>
      <c r="F8" s="622" t="s">
        <v>845</v>
      </c>
      <c r="G8" s="1752"/>
      <c r="H8" s="1752"/>
      <c r="I8" s="1752"/>
      <c r="J8" s="1744">
        <f>+'Revenues 9-14'!H103</f>
        <v>13185</v>
      </c>
      <c r="K8" s="1747"/>
    </row>
    <row r="9" spans="1:11" x14ac:dyDescent="0.2">
      <c r="A9" s="629" t="s">
        <v>137</v>
      </c>
      <c r="B9" s="630"/>
      <c r="C9" s="630"/>
      <c r="D9" s="630"/>
      <c r="E9" s="631"/>
      <c r="F9" s="628" t="s">
        <v>847</v>
      </c>
      <c r="G9" s="1752"/>
      <c r="H9" s="1748"/>
      <c r="I9" s="1748"/>
      <c r="J9" s="1751"/>
      <c r="K9" s="1744">
        <f>+'Revenues 9-14'!C148</f>
        <v>2079</v>
      </c>
    </row>
    <row r="10" spans="1:11" x14ac:dyDescent="0.2">
      <c r="A10" s="2343" t="s">
        <v>1792</v>
      </c>
      <c r="B10" s="2344"/>
      <c r="C10" s="2344"/>
      <c r="D10" s="2344"/>
      <c r="E10" s="2346"/>
      <c r="F10" s="633" t="s">
        <v>856</v>
      </c>
      <c r="G10" s="1752"/>
      <c r="H10" s="1753"/>
      <c r="I10" s="1743"/>
      <c r="J10" s="1744"/>
      <c r="K10" s="1744"/>
    </row>
    <row r="11" spans="1:11" x14ac:dyDescent="0.2">
      <c r="A11" s="2343" t="s">
        <v>159</v>
      </c>
      <c r="B11" s="2344"/>
      <c r="C11" s="2344"/>
      <c r="D11" s="2344"/>
      <c r="E11" s="2345"/>
      <c r="F11" s="622" t="s">
        <v>846</v>
      </c>
      <c r="G11" s="1748"/>
      <c r="H11" s="1743"/>
      <c r="I11" s="1743"/>
      <c r="J11" s="1744"/>
      <c r="K11" s="1750"/>
    </row>
    <row r="12" spans="1:11" ht="13.5" thickBot="1" x14ac:dyDescent="0.25">
      <c r="A12" s="2370" t="s">
        <v>898</v>
      </c>
      <c r="B12" s="2371"/>
      <c r="C12" s="2371"/>
      <c r="D12" s="2371"/>
      <c r="E12" s="2372"/>
      <c r="F12" s="1432"/>
      <c r="G12" s="1754">
        <f>SUM(G5:G11)</f>
        <v>0</v>
      </c>
      <c r="H12" s="1754">
        <f>SUM(H5:H11)</f>
        <v>17204</v>
      </c>
      <c r="I12" s="1754">
        <f>SUM(I5:I11)</f>
        <v>0</v>
      </c>
      <c r="J12" s="1754">
        <f>SUM(J5:J11)</f>
        <v>13185</v>
      </c>
      <c r="K12" s="1754">
        <f>SUM(K5:K11)</f>
        <v>2604</v>
      </c>
    </row>
    <row r="13" spans="1:11" ht="13.5" thickTop="1" x14ac:dyDescent="0.2">
      <c r="A13" s="2367" t="s">
        <v>366</v>
      </c>
      <c r="B13" s="2368"/>
      <c r="C13" s="2368"/>
      <c r="D13" s="2368"/>
      <c r="E13" s="2369"/>
      <c r="F13" s="634"/>
      <c r="G13" s="1755"/>
      <c r="H13" s="1756"/>
      <c r="I13" s="1757"/>
      <c r="J13" s="1757"/>
      <c r="K13" s="1757"/>
    </row>
    <row r="14" spans="1:11" x14ac:dyDescent="0.2">
      <c r="A14" s="2350" t="s">
        <v>452</v>
      </c>
      <c r="B14" s="2350"/>
      <c r="C14" s="2350"/>
      <c r="D14" s="2350"/>
      <c r="E14" s="2351"/>
      <c r="F14" s="635" t="s">
        <v>848</v>
      </c>
      <c r="G14" s="1752"/>
      <c r="H14" s="1743">
        <f>+H5</f>
        <v>17204</v>
      </c>
      <c r="I14" s="1748"/>
      <c r="J14" s="1750"/>
      <c r="K14" s="1744">
        <f>+'Expenditures 15-22'!K17</f>
        <v>17209</v>
      </c>
    </row>
    <row r="15" spans="1:11" x14ac:dyDescent="0.2">
      <c r="A15" s="2344" t="s">
        <v>4</v>
      </c>
      <c r="B15" s="2344"/>
      <c r="C15" s="2344"/>
      <c r="D15" s="2344"/>
      <c r="E15" s="2345"/>
      <c r="F15" s="635" t="s">
        <v>849</v>
      </c>
      <c r="G15" s="1748"/>
      <c r="H15" s="1743"/>
      <c r="I15" s="1743"/>
      <c r="J15" s="1744">
        <f>+J8</f>
        <v>13185</v>
      </c>
      <c r="K15" s="1744"/>
    </row>
    <row r="16" spans="1:11" x14ac:dyDescent="0.2">
      <c r="A16" s="2344" t="s">
        <v>294</v>
      </c>
      <c r="B16" s="2344"/>
      <c r="C16" s="2344"/>
      <c r="D16" s="2344"/>
      <c r="E16" s="2345"/>
      <c r="F16" s="635" t="s">
        <v>916</v>
      </c>
      <c r="G16" s="1749"/>
      <c r="H16" s="1745"/>
      <c r="I16" s="1745"/>
      <c r="J16" s="1747"/>
      <c r="K16" s="1747"/>
    </row>
    <row r="17" spans="1:15" x14ac:dyDescent="0.2">
      <c r="A17" s="2377" t="s">
        <v>928</v>
      </c>
      <c r="B17" s="2377"/>
      <c r="C17" s="2377"/>
      <c r="D17" s="2377"/>
      <c r="E17" s="2378"/>
      <c r="F17" s="636"/>
      <c r="G17" s="1758"/>
      <c r="H17" s="1759"/>
      <c r="I17" s="1759"/>
      <c r="J17" s="1760"/>
      <c r="K17" s="1761"/>
    </row>
    <row r="18" spans="1:15" x14ac:dyDescent="0.2">
      <c r="A18" s="2354" t="s">
        <v>364</v>
      </c>
      <c r="B18" s="2355"/>
      <c r="C18" s="2355"/>
      <c r="D18" s="2355"/>
      <c r="E18" s="2356"/>
      <c r="F18" s="635" t="s">
        <v>925</v>
      </c>
      <c r="G18" s="1752"/>
      <c r="H18" s="1752"/>
      <c r="I18" s="1752"/>
      <c r="J18" s="1744"/>
      <c r="K18" s="1762"/>
    </row>
    <row r="19" spans="1:15" ht="21.75" customHeight="1" x14ac:dyDescent="0.2">
      <c r="A19" s="2352" t="s">
        <v>1788</v>
      </c>
      <c r="B19" s="2352"/>
      <c r="C19" s="2352"/>
      <c r="D19" s="2352"/>
      <c r="E19" s="2353"/>
      <c r="F19" s="635" t="s">
        <v>926</v>
      </c>
      <c r="G19" s="1752"/>
      <c r="H19" s="1752"/>
      <c r="I19" s="1752"/>
      <c r="J19" s="1744"/>
      <c r="K19" s="1762"/>
    </row>
    <row r="20" spans="1:15" x14ac:dyDescent="0.2">
      <c r="A20" s="2354" t="s">
        <v>1793</v>
      </c>
      <c r="B20" s="2355"/>
      <c r="C20" s="2355"/>
      <c r="D20" s="2355"/>
      <c r="E20" s="2356"/>
      <c r="F20" s="635" t="s">
        <v>927</v>
      </c>
      <c r="G20" s="1752"/>
      <c r="H20" s="1752"/>
      <c r="I20" s="1752"/>
      <c r="J20" s="1744"/>
      <c r="K20" s="1762"/>
    </row>
    <row r="21" spans="1:15" ht="13.5" thickBot="1" x14ac:dyDescent="0.25">
      <c r="A21" s="2373" t="s">
        <v>632</v>
      </c>
      <c r="B21" s="2373"/>
      <c r="C21" s="2373"/>
      <c r="D21" s="2373"/>
      <c r="E21" s="2373"/>
      <c r="F21" s="1433"/>
      <c r="G21" s="1759"/>
      <c r="H21" s="1763"/>
      <c r="I21" s="1763"/>
      <c r="J21" s="1764">
        <f>SUM(J18:J20)</f>
        <v>0</v>
      </c>
      <c r="K21" s="1760"/>
    </row>
    <row r="22" spans="1:15" ht="13.5" thickTop="1" x14ac:dyDescent="0.2">
      <c r="A22" s="2344" t="s">
        <v>1794</v>
      </c>
      <c r="B22" s="2344"/>
      <c r="C22" s="2344"/>
      <c r="D22" s="2344"/>
      <c r="E22" s="2345"/>
      <c r="F22" s="635" t="s">
        <v>856</v>
      </c>
      <c r="G22" s="1752"/>
      <c r="H22" s="1743"/>
      <c r="I22" s="1743"/>
      <c r="J22" s="1765"/>
      <c r="K22" s="1744"/>
    </row>
    <row r="23" spans="1:15" ht="13.5" thickBot="1" x14ac:dyDescent="0.25">
      <c r="A23" s="2374" t="s">
        <v>899</v>
      </c>
      <c r="B23" s="2373"/>
      <c r="C23" s="2373"/>
      <c r="D23" s="2373"/>
      <c r="E23" s="2373"/>
      <c r="F23" s="1435"/>
      <c r="G23" s="1754">
        <f>SUM(G14:G16,G21,G22)</f>
        <v>0</v>
      </c>
      <c r="H23" s="1754">
        <f>SUM(H14:H16,H21,H22)</f>
        <v>17204</v>
      </c>
      <c r="I23" s="1754">
        <f>SUM(I14:I16,I21,I22)</f>
        <v>0</v>
      </c>
      <c r="J23" s="1754">
        <f>SUM(J14:J16,J21,J22)</f>
        <v>13185</v>
      </c>
      <c r="K23" s="1754">
        <f>SUM(K14:K16,K21,K22)</f>
        <v>17209</v>
      </c>
      <c r="M23" s="1845"/>
      <c r="N23" s="1845"/>
      <c r="O23" s="1845"/>
    </row>
    <row r="24" spans="1:15" ht="14.25" thickTop="1" thickBot="1" x14ac:dyDescent="0.25">
      <c r="A24" s="2375" t="str">
        <f>"Ending Cash Basis Fund Balance as of June 30, "&amp;'AFR20'!E2</f>
        <v>Ending Cash Basis Fund Balance as of June 30, 2020</v>
      </c>
      <c r="B24" s="2376"/>
      <c r="C24" s="2376"/>
      <c r="D24" s="2376"/>
      <c r="E24" s="2376"/>
      <c r="F24" s="1436"/>
      <c r="G24" s="1766">
        <f>SUM(G3,G12)-G23</f>
        <v>0</v>
      </c>
      <c r="H24" s="1766">
        <f>SUM(H3,H12)-H23</f>
        <v>0</v>
      </c>
      <c r="I24" s="1766">
        <f>SUM(I3,I12)-I23</f>
        <v>0</v>
      </c>
      <c r="J24" s="1766">
        <f>SUM(J3,J12)-J23</f>
        <v>0</v>
      </c>
      <c r="K24" s="1766">
        <f>SUM(K3,K12)-K23</f>
        <v>-65616</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-65616</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7"/>
      <c r="I31" s="2348"/>
      <c r="J31" s="2348"/>
      <c r="K31" s="2348"/>
    </row>
    <row r="32" spans="1:15" x14ac:dyDescent="0.2">
      <c r="A32" s="649"/>
      <c r="B32" s="232"/>
      <c r="C32" s="232"/>
      <c r="D32" s="232"/>
      <c r="E32" s="645"/>
      <c r="F32" s="651" t="s">
        <v>536</v>
      </c>
      <c r="G32" s="618"/>
      <c r="H32" s="2349"/>
      <c r="I32" s="2348"/>
      <c r="J32" s="2348"/>
      <c r="K32" s="2348"/>
    </row>
    <row r="33" spans="1:11" ht="1.5" customHeight="1" x14ac:dyDescent="0.2">
      <c r="A33" s="652" t="s">
        <v>1160</v>
      </c>
      <c r="B33" s="341"/>
      <c r="C33" s="341"/>
      <c r="D33" s="341"/>
      <c r="E33" s="341"/>
      <c r="F33" s="341"/>
      <c r="G33" s="653"/>
      <c r="H33" s="2349"/>
      <c r="I33" s="2348"/>
      <c r="J33" s="2348"/>
      <c r="K33" s="2348"/>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4" t="s">
        <v>537</v>
      </c>
      <c r="B41" s="2357"/>
      <c r="C41" s="2357"/>
      <c r="D41" s="2357"/>
      <c r="E41" s="2357"/>
      <c r="F41" s="235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1789</v>
      </c>
      <c r="B46" s="382" t="s">
        <v>1658</v>
      </c>
    </row>
    <row r="47" spans="1:11" s="663" customFormat="1" ht="12.75" customHeight="1" x14ac:dyDescent="0.2">
      <c r="A47" s="661"/>
      <c r="B47" s="662" t="s">
        <v>1659</v>
      </c>
      <c r="E47" s="662"/>
      <c r="K47" s="664"/>
    </row>
    <row r="48" spans="1:11" ht="12.75" customHeight="1" x14ac:dyDescent="0.2">
      <c r="A48" s="1299"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1877</v>
      </c>
      <c r="B1" s="2382"/>
      <c r="C1" s="2383"/>
      <c r="D1" s="666"/>
      <c r="E1" s="667"/>
      <c r="F1" s="667"/>
      <c r="G1" s="668"/>
      <c r="H1" s="669"/>
      <c r="I1" s="670"/>
      <c r="J1" s="2379"/>
      <c r="K1" s="2380"/>
      <c r="L1" s="2380"/>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4000</v>
      </c>
      <c r="D5" s="1769"/>
      <c r="E5" s="1769"/>
      <c r="F5" s="1764">
        <f>(C5+D5)-E5</f>
        <v>4000</v>
      </c>
      <c r="G5" s="676"/>
      <c r="H5" s="680"/>
      <c r="I5" s="680"/>
      <c r="J5" s="680"/>
      <c r="K5" s="637"/>
      <c r="L5" s="1441">
        <f>F5-K5</f>
        <v>4000</v>
      </c>
    </row>
    <row r="6" spans="1:14" ht="14.25" thickTop="1" thickBot="1" x14ac:dyDescent="0.25">
      <c r="A6" s="629" t="s">
        <v>1108</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1109</v>
      </c>
      <c r="B8" s="679">
        <v>231</v>
      </c>
      <c r="C8" s="1770">
        <v>5760182</v>
      </c>
      <c r="D8" s="1770">
        <v>698369</v>
      </c>
      <c r="E8" s="1770"/>
      <c r="F8" s="1764">
        <f>(C8+D8)-E8</f>
        <v>6458551</v>
      </c>
      <c r="G8" s="681">
        <v>50</v>
      </c>
      <c r="H8" s="619">
        <v>1514784</v>
      </c>
      <c r="I8" s="619">
        <v>100098</v>
      </c>
      <c r="J8" s="619"/>
      <c r="K8" s="1441">
        <f>(H8+I8)-J8</f>
        <v>1614882</v>
      </c>
      <c r="L8" s="1441">
        <f>F8-K8</f>
        <v>4843669</v>
      </c>
    </row>
    <row r="9" spans="1:14" ht="14.25" thickTop="1" thickBot="1" x14ac:dyDescent="0.25">
      <c r="A9" s="629" t="s">
        <v>1110</v>
      </c>
      <c r="B9" s="679">
        <v>232</v>
      </c>
      <c r="C9" s="1744"/>
      <c r="D9" s="1744"/>
      <c r="E9" s="1744"/>
      <c r="F9" s="1764">
        <f>(C9+D9)-E9</f>
        <v>0</v>
      </c>
      <c r="G9" s="681">
        <v>20</v>
      </c>
      <c r="H9" s="619"/>
      <c r="I9" s="619"/>
      <c r="J9" s="619"/>
      <c r="K9" s="1441">
        <f>(H9+I9)-J9</f>
        <v>0</v>
      </c>
      <c r="L9" s="1441">
        <f>F9-K9</f>
        <v>0</v>
      </c>
    </row>
    <row r="10" spans="1:14" ht="24" thickTop="1" thickBot="1" x14ac:dyDescent="0.25">
      <c r="A10" s="682" t="s">
        <v>1111</v>
      </c>
      <c r="B10" s="679">
        <v>240</v>
      </c>
      <c r="C10" s="1771">
        <v>29023</v>
      </c>
      <c r="D10" s="1771">
        <v>17232</v>
      </c>
      <c r="E10" s="1771"/>
      <c r="F10" s="1772">
        <f>(C10+D10)-E10</f>
        <v>46255</v>
      </c>
      <c r="G10" s="681">
        <v>20</v>
      </c>
      <c r="H10" s="683">
        <v>23111</v>
      </c>
      <c r="I10" s="683">
        <v>444</v>
      </c>
      <c r="J10" s="683"/>
      <c r="K10" s="1441">
        <f>(H10+I10)-J10</f>
        <v>23555</v>
      </c>
      <c r="L10" s="1441">
        <f>F10-K10</f>
        <v>22700</v>
      </c>
    </row>
    <row r="11" spans="1:14" ht="13.5" thickTop="1" x14ac:dyDescent="0.2">
      <c r="A11" s="1366" t="s">
        <v>1127</v>
      </c>
      <c r="B11" s="1364">
        <v>250</v>
      </c>
      <c r="C11" s="1751"/>
      <c r="D11" s="1751"/>
      <c r="E11" s="1751"/>
      <c r="F11" s="1750"/>
      <c r="G11" s="681"/>
      <c r="H11" s="632"/>
      <c r="I11" s="632"/>
      <c r="J11" s="632"/>
      <c r="K11" s="624"/>
      <c r="L11" s="624"/>
    </row>
    <row r="12" spans="1:14" ht="13.5" thickBot="1" x14ac:dyDescent="0.25">
      <c r="A12" s="684" t="s">
        <v>1112</v>
      </c>
      <c r="B12" s="679">
        <v>251</v>
      </c>
      <c r="C12" s="1770">
        <v>1155624</v>
      </c>
      <c r="D12" s="1770">
        <v>17395</v>
      </c>
      <c r="E12" s="1770"/>
      <c r="F12" s="1764">
        <f>(C12+D12)-E12</f>
        <v>1173019</v>
      </c>
      <c r="G12" s="681">
        <v>10</v>
      </c>
      <c r="H12" s="619">
        <v>990013</v>
      </c>
      <c r="I12" s="619">
        <v>35690</v>
      </c>
      <c r="J12" s="619"/>
      <c r="K12" s="1441">
        <f>(H12+I12)-J12</f>
        <v>1025703</v>
      </c>
      <c r="L12" s="1441">
        <f>F12-K12</f>
        <v>147316</v>
      </c>
    </row>
    <row r="13" spans="1:14" ht="14.25" thickTop="1" thickBot="1" x14ac:dyDescent="0.25">
      <c r="A13" s="684" t="s">
        <v>1113</v>
      </c>
      <c r="B13" s="679">
        <v>252</v>
      </c>
      <c r="C13" s="1770">
        <v>40620</v>
      </c>
      <c r="D13" s="1770"/>
      <c r="E13" s="1770"/>
      <c r="F13" s="1764">
        <f>(C13+D13)-E13</f>
        <v>40620</v>
      </c>
      <c r="G13" s="681">
        <v>5</v>
      </c>
      <c r="H13" s="619">
        <v>20513</v>
      </c>
      <c r="I13" s="619">
        <v>4233</v>
      </c>
      <c r="J13" s="619"/>
      <c r="K13" s="1441">
        <f>(H13+I13)-J13</f>
        <v>24746</v>
      </c>
      <c r="L13" s="1441">
        <f>F13-K13</f>
        <v>15874</v>
      </c>
    </row>
    <row r="14" spans="1:14" ht="14.25" thickTop="1" thickBot="1" x14ac:dyDescent="0.25">
      <c r="A14" s="684" t="s">
        <v>1114</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524</v>
      </c>
      <c r="B15" s="1364">
        <v>260</v>
      </c>
      <c r="C15" s="1770"/>
      <c r="D15" s="1770">
        <v>254198</v>
      </c>
      <c r="E15" s="1770"/>
      <c r="F15" s="1764">
        <f>(C15+D15)-E15</f>
        <v>254198</v>
      </c>
      <c r="G15" s="685" t="s">
        <v>856</v>
      </c>
      <c r="H15" s="632"/>
      <c r="I15" s="632"/>
      <c r="J15" s="632"/>
      <c r="K15" s="632"/>
      <c r="L15" s="1441">
        <f>F15-K15</f>
        <v>254198</v>
      </c>
    </row>
    <row r="16" spans="1:14" ht="15" customHeight="1" thickTop="1" thickBot="1" x14ac:dyDescent="0.25">
      <c r="A16" s="1437" t="s">
        <v>637</v>
      </c>
      <c r="B16" s="1438">
        <v>200</v>
      </c>
      <c r="C16" s="1764">
        <f>SUM(C3,C5:C6,C8:C10,C12:C15)</f>
        <v>6989449</v>
      </c>
      <c r="D16" s="1764">
        <f>SUM(D3,D5:D6,D8:D10,D12:D15)</f>
        <v>987194</v>
      </c>
      <c r="E16" s="1764">
        <f>SUM(E3,E5:E6,E8:E10,E12:E15)</f>
        <v>0</v>
      </c>
      <c r="F16" s="1764">
        <f>SUM(F3,F5:F6,F8:F10,F12:F15)</f>
        <v>7976643</v>
      </c>
      <c r="G16" s="681"/>
      <c r="H16" s="1434">
        <f>SUM(H3,H6,H8:H10,H12:H14,)</f>
        <v>2548421</v>
      </c>
      <c r="I16" s="1434">
        <f>SUM(I3,I6,I8:I10,I12:I14,)</f>
        <v>140465</v>
      </c>
      <c r="J16" s="1434">
        <f>SUM(J3,J6,J8:J10,J12:J14,)</f>
        <v>0</v>
      </c>
      <c r="K16" s="1434">
        <f>(H16+I16)-J16</f>
        <v>2688886</v>
      </c>
      <c r="L16" s="1434">
        <f>F16-K16</f>
        <v>5287757</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140465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46"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0" activePane="bottomLeft" state="frozen"/>
      <selection activeCell="A47" sqref="A47"/>
      <selection pane="bottomLeft" activeCell="C170" sqref="C1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473</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93"/>
      <c r="B5" s="2394"/>
      <c r="C5" s="2394"/>
      <c r="D5" s="2394"/>
      <c r="E5" s="2394"/>
      <c r="F5" s="2394"/>
    </row>
    <row r="6" spans="1:9" ht="13.5" customHeight="1" thickBot="1" x14ac:dyDescent="0.25">
      <c r="A6" s="2384" t="s">
        <v>1096</v>
      </c>
      <c r="B6" s="2385"/>
      <c r="C6" s="2385"/>
      <c r="D6" s="2385"/>
      <c r="E6" s="2385"/>
      <c r="F6" s="238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2272353</v>
      </c>
      <c r="G8" s="701"/>
    </row>
    <row r="9" spans="1:9" x14ac:dyDescent="0.2">
      <c r="A9" s="705" t="s">
        <v>456</v>
      </c>
      <c r="B9" s="706" t="s">
        <v>1850</v>
      </c>
      <c r="C9" s="707"/>
      <c r="D9" s="705" t="s">
        <v>497</v>
      </c>
      <c r="E9" s="704"/>
      <c r="F9" s="1774">
        <f>'Expenditures 15-22'!K151</f>
        <v>202525</v>
      </c>
      <c r="G9" s="708"/>
    </row>
    <row r="10" spans="1:9" x14ac:dyDescent="0.2">
      <c r="A10" s="705" t="s">
        <v>495</v>
      </c>
      <c r="B10" s="706" t="s">
        <v>1851</v>
      </c>
      <c r="C10" s="707"/>
      <c r="D10" s="705" t="s">
        <v>497</v>
      </c>
      <c r="E10" s="704"/>
      <c r="F10" s="1774">
        <f>'Expenditures 15-22'!K174</f>
        <v>221752</v>
      </c>
      <c r="G10" s="708"/>
    </row>
    <row r="11" spans="1:9" x14ac:dyDescent="0.2">
      <c r="A11" s="705" t="s">
        <v>457</v>
      </c>
      <c r="B11" s="706" t="s">
        <v>1852</v>
      </c>
      <c r="C11" s="707"/>
      <c r="D11" s="705" t="s">
        <v>497</v>
      </c>
      <c r="E11" s="704"/>
      <c r="F11" s="1774">
        <f>'Expenditures 15-22'!K210</f>
        <v>265604</v>
      </c>
      <c r="G11" s="708"/>
    </row>
    <row r="12" spans="1:9" x14ac:dyDescent="0.2">
      <c r="A12" s="705" t="s">
        <v>458</v>
      </c>
      <c r="B12" s="706" t="s">
        <v>1853</v>
      </c>
      <c r="C12" s="707"/>
      <c r="D12" s="705" t="s">
        <v>497</v>
      </c>
      <c r="E12" s="704"/>
      <c r="F12" s="1774">
        <f>'Expenditures 15-22'!K295</f>
        <v>169674</v>
      </c>
      <c r="G12" s="708"/>
    </row>
    <row r="13" spans="1:9" x14ac:dyDescent="0.2">
      <c r="A13" s="705" t="s">
        <v>106</v>
      </c>
      <c r="B13" s="706" t="s">
        <v>1854</v>
      </c>
      <c r="C13" s="707"/>
      <c r="D13" s="705" t="s">
        <v>497</v>
      </c>
      <c r="E13" s="704"/>
      <c r="F13" s="1774">
        <f>'Expenditures 15-22'!K342</f>
        <v>164300</v>
      </c>
      <c r="G13" s="709"/>
    </row>
    <row r="14" spans="1:9" ht="12" customHeight="1" thickBot="1" x14ac:dyDescent="0.25">
      <c r="A14" s="1442"/>
      <c r="B14" s="1443"/>
      <c r="C14" s="1444"/>
      <c r="D14" s="1445" t="s">
        <v>497</v>
      </c>
      <c r="E14" s="1446" t="s">
        <v>951</v>
      </c>
      <c r="F14" s="1775">
        <f>SUM(F8:F13)</f>
        <v>3296208</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2">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1911</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5006</v>
      </c>
      <c r="G52" s="701"/>
    </row>
    <row r="53" spans="1:7" x14ac:dyDescent="0.2">
      <c r="A53" s="705" t="s">
        <v>455</v>
      </c>
      <c r="B53" s="705" t="s">
        <v>1460</v>
      </c>
      <c r="C53" s="724">
        <f>'Expenditures 15-22'!B102</f>
        <v>4000</v>
      </c>
      <c r="D53" s="723" t="str">
        <f>'Expenditures 15-22'!A102</f>
        <v>Total Payments to Other Govt Units</v>
      </c>
      <c r="E53" s="704"/>
      <c r="F53" s="1781">
        <f>'Expenditures 15-22'!K102</f>
        <v>95699</v>
      </c>
      <c r="G53" s="701"/>
    </row>
    <row r="54" spans="1:7" x14ac:dyDescent="0.2">
      <c r="A54" s="705" t="s">
        <v>455</v>
      </c>
      <c r="B54" s="705" t="s">
        <v>1461</v>
      </c>
      <c r="C54" s="724" t="s">
        <v>974</v>
      </c>
      <c r="D54" s="720" t="s">
        <v>1087</v>
      </c>
      <c r="E54" s="704"/>
      <c r="F54" s="1781">
        <f>'Expenditures 15-22'!G114</f>
        <v>0</v>
      </c>
      <c r="G54" s="701"/>
    </row>
    <row r="55" spans="1:7" x14ac:dyDescent="0.2">
      <c r="A55" s="705" t="s">
        <v>455</v>
      </c>
      <c r="B55" s="705" t="s">
        <v>1462</v>
      </c>
      <c r="C55" s="724" t="s">
        <v>974</v>
      </c>
      <c r="D55" s="720" t="s">
        <v>287</v>
      </c>
      <c r="E55" s="704"/>
      <c r="F55" s="1781">
        <f>'Expenditures 15-22'!I114</f>
        <v>0</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1">
        <f>'Expenditures 15-22'!K139</f>
        <v>0</v>
      </c>
      <c r="G57" s="701"/>
    </row>
    <row r="58" spans="1:7" x14ac:dyDescent="0.2">
      <c r="A58" s="705" t="s">
        <v>456</v>
      </c>
      <c r="B58" s="705" t="s">
        <v>1856</v>
      </c>
      <c r="C58" s="721" t="s">
        <v>974</v>
      </c>
      <c r="D58" s="720" t="s">
        <v>1087</v>
      </c>
      <c r="E58" s="704"/>
      <c r="F58" s="1783">
        <f>'Expenditures 15-22'!G151</f>
        <v>23131</v>
      </c>
      <c r="G58" s="701"/>
    </row>
    <row r="59" spans="1:7" x14ac:dyDescent="0.2">
      <c r="A59" s="728" t="s">
        <v>456</v>
      </c>
      <c r="B59" s="692" t="s">
        <v>1857</v>
      </c>
      <c r="C59" s="729" t="s">
        <v>974</v>
      </c>
      <c r="D59" s="692" t="s">
        <v>287</v>
      </c>
      <c r="F59" s="1784">
        <f>'Expenditures 15-22'!I151</f>
        <v>0</v>
      </c>
      <c r="G59" s="701"/>
    </row>
    <row r="60" spans="1:7" x14ac:dyDescent="0.2">
      <c r="A60" s="728" t="s">
        <v>495</v>
      </c>
      <c r="B60" s="692" t="s">
        <v>1858</v>
      </c>
      <c r="C60" s="729">
        <v>4000</v>
      </c>
      <c r="D60" s="692" t="s">
        <v>308</v>
      </c>
      <c r="F60" s="1782">
        <f>'Expenditures 15-22'!K160</f>
        <v>0</v>
      </c>
      <c r="G60" s="701"/>
    </row>
    <row r="61" spans="1:7" x14ac:dyDescent="0.2">
      <c r="A61" s="730" t="s">
        <v>495</v>
      </c>
      <c r="B61" s="730" t="s">
        <v>1859</v>
      </c>
      <c r="C61" s="731" t="str">
        <f>'Expenditures 15-22'!B170</f>
        <v>5300</v>
      </c>
      <c r="D61" s="732" t="s">
        <v>307</v>
      </c>
      <c r="E61" s="715"/>
      <c r="F61" s="1781">
        <f>'Expenditures 15-22'!K170</f>
        <v>0</v>
      </c>
      <c r="G61" s="701"/>
    </row>
    <row r="62" spans="1:7" x14ac:dyDescent="0.2">
      <c r="A62" s="705" t="s">
        <v>457</v>
      </c>
      <c r="B62" s="705" t="s">
        <v>1860</v>
      </c>
      <c r="C62" s="721">
        <f>'Expenditures 15-22'!B185</f>
        <v>3000</v>
      </c>
      <c r="D62" s="712" t="s">
        <v>445</v>
      </c>
      <c r="E62" s="704"/>
      <c r="F62" s="1781">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81">
        <f>'Expenditures 15-22'!K196</f>
        <v>0</v>
      </c>
      <c r="G63" s="701"/>
    </row>
    <row r="64" spans="1:7" x14ac:dyDescent="0.2">
      <c r="A64" s="730" t="s">
        <v>457</v>
      </c>
      <c r="B64" s="730" t="s">
        <v>1862</v>
      </c>
      <c r="C64" s="731" t="str">
        <f>'Expenditures 15-22'!B206</f>
        <v>5300</v>
      </c>
      <c r="D64" s="727" t="s">
        <v>307</v>
      </c>
      <c r="E64" s="704"/>
      <c r="F64" s="1781">
        <f>'Expenditures 15-22'!K206</f>
        <v>3870</v>
      </c>
      <c r="G64" s="701"/>
    </row>
    <row r="65" spans="1:9" x14ac:dyDescent="0.2">
      <c r="A65" s="705" t="s">
        <v>457</v>
      </c>
      <c r="B65" s="705" t="s">
        <v>1863</v>
      </c>
      <c r="C65" s="721" t="s">
        <v>974</v>
      </c>
      <c r="D65" s="720" t="s">
        <v>1087</v>
      </c>
      <c r="E65" s="704"/>
      <c r="F65" s="1781">
        <f>'Expenditures 15-22'!G210</f>
        <v>10467</v>
      </c>
      <c r="G65" s="701"/>
    </row>
    <row r="66" spans="1:9" x14ac:dyDescent="0.2">
      <c r="A66" s="705" t="s">
        <v>457</v>
      </c>
      <c r="B66" s="705" t="s">
        <v>1864</v>
      </c>
      <c r="C66" s="721" t="s">
        <v>974</v>
      </c>
      <c r="D66" s="720" t="s">
        <v>287</v>
      </c>
      <c r="E66" s="704"/>
      <c r="F66" s="1781">
        <f>'Expenditures 15-22'!I210</f>
        <v>0</v>
      </c>
      <c r="G66" s="701"/>
    </row>
    <row r="67" spans="1:9" x14ac:dyDescent="0.2">
      <c r="A67" s="705" t="s">
        <v>458</v>
      </c>
      <c r="B67" s="705" t="s">
        <v>1865</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1867</v>
      </c>
      <c r="C70" s="721">
        <f>'Expenditures 15-22'!B221</f>
        <v>1300</v>
      </c>
      <c r="D70" s="722" t="str">
        <f>'Expenditures 15-22'!A221</f>
        <v>Adult/Continuing Education Programs</v>
      </c>
      <c r="E70" s="704"/>
      <c r="F70" s="1781">
        <f>'Expenditures 15-22'!K221</f>
        <v>0</v>
      </c>
      <c r="G70" s="701"/>
    </row>
    <row r="71" spans="1:9" x14ac:dyDescent="0.2">
      <c r="A71" s="705" t="s">
        <v>458</v>
      </c>
      <c r="B71" s="705" t="s">
        <v>1868</v>
      </c>
      <c r="C71" s="721">
        <f>'Expenditures 15-22'!B224</f>
        <v>1600</v>
      </c>
      <c r="D71" s="722" t="str">
        <f>'Expenditures 15-22'!A224</f>
        <v>Summer School Programs</v>
      </c>
      <c r="E71" s="704"/>
      <c r="F71" s="1781">
        <f>'Expenditures 15-22'!K224</f>
        <v>0</v>
      </c>
      <c r="G71" s="701"/>
    </row>
    <row r="72" spans="1:9" x14ac:dyDescent="0.2">
      <c r="A72" s="705" t="s">
        <v>458</v>
      </c>
      <c r="B72" s="705" t="s">
        <v>1869</v>
      </c>
      <c r="C72" s="721">
        <f>'Expenditures 15-22'!B280</f>
        <v>3000</v>
      </c>
      <c r="D72" s="712" t="s">
        <v>445</v>
      </c>
      <c r="E72" s="704"/>
      <c r="F72" s="1781">
        <f>'Expenditures 15-22'!K280</f>
        <v>0</v>
      </c>
      <c r="G72" s="701"/>
    </row>
    <row r="73" spans="1:9" x14ac:dyDescent="0.2">
      <c r="A73" s="705" t="s">
        <v>458</v>
      </c>
      <c r="B73" s="705" t="s">
        <v>1870</v>
      </c>
      <c r="C73" s="721" t="str">
        <f>'Expenditures 15-22'!B285</f>
        <v>4000</v>
      </c>
      <c r="D73" s="722" t="str">
        <f>'Expenditures 15-22'!A285</f>
        <v>Total Payments to Other Govt Units</v>
      </c>
      <c r="E73" s="704"/>
      <c r="F73" s="1781">
        <f>'Expenditures 15-22'!K285</f>
        <v>0</v>
      </c>
      <c r="G73" s="701"/>
    </row>
    <row r="74" spans="1:9" x14ac:dyDescent="0.2">
      <c r="A74" s="705" t="s">
        <v>432</v>
      </c>
      <c r="B74" s="705" t="s">
        <v>1871</v>
      </c>
      <c r="C74" s="721" t="s">
        <v>854</v>
      </c>
      <c r="D74" s="722" t="s">
        <v>1472</v>
      </c>
      <c r="E74" s="704"/>
      <c r="F74" s="1785">
        <f>'Expenditures 15-22'!K334</f>
        <v>0</v>
      </c>
      <c r="G74" s="701"/>
    </row>
    <row r="75" spans="1:9" x14ac:dyDescent="0.2">
      <c r="A75" s="705" t="s">
        <v>2010</v>
      </c>
      <c r="B75" s="705" t="s">
        <v>2011</v>
      </c>
      <c r="C75" s="721" t="s">
        <v>974</v>
      </c>
      <c r="D75" s="722" t="s">
        <v>1087</v>
      </c>
      <c r="E75" s="704"/>
      <c r="F75" s="1785">
        <f>'Expenditures 15-22'!G342</f>
        <v>0</v>
      </c>
      <c r="G75" s="701"/>
    </row>
    <row r="76" spans="1:9" ht="10.5" customHeight="1" x14ac:dyDescent="0.2">
      <c r="A76" s="701" t="s">
        <v>432</v>
      </c>
      <c r="B76" s="705" t="s">
        <v>2012</v>
      </c>
      <c r="C76" s="711" t="s">
        <v>974</v>
      </c>
      <c r="D76" s="701" t="s">
        <v>287</v>
      </c>
      <c r="E76" s="704"/>
      <c r="F76" s="1785">
        <f>'Expenditures 15-22'!I342</f>
        <v>0</v>
      </c>
      <c r="G76" s="703"/>
    </row>
    <row r="77" spans="1:9" ht="12" thickBot="1" x14ac:dyDescent="0.25">
      <c r="A77" s="1442"/>
      <c r="B77" s="1447"/>
      <c r="C77" s="1444"/>
      <c r="D77" s="1448" t="s">
        <v>2013</v>
      </c>
      <c r="E77" s="1446" t="s">
        <v>951</v>
      </c>
      <c r="F77" s="1786">
        <f>SUM(F18:F76)</f>
        <v>138173</v>
      </c>
      <c r="G77" s="701"/>
    </row>
    <row r="78" spans="1:9" s="728" customFormat="1" ht="12" customHeight="1" thickTop="1" thickBot="1" x14ac:dyDescent="0.25">
      <c r="A78" s="1449"/>
      <c r="B78" s="1447"/>
      <c r="C78" s="1444"/>
      <c r="D78" s="1448" t="s">
        <v>2014</v>
      </c>
      <c r="E78" s="1446"/>
      <c r="F78" s="1787">
        <f>(F14-F77)</f>
        <v>3158035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218.09</v>
      </c>
      <c r="G79" s="733"/>
      <c r="H79" s="705"/>
      <c r="I79" s="705"/>
    </row>
    <row r="80" spans="1:9" s="728" customFormat="1" ht="12" customHeight="1" thickBot="1" x14ac:dyDescent="0.25">
      <c r="A80" s="1451"/>
      <c r="B80" s="1447"/>
      <c r="C80" s="1444"/>
      <c r="D80" s="1448" t="s">
        <v>2015</v>
      </c>
      <c r="E80" s="1446" t="s">
        <v>951</v>
      </c>
      <c r="F80" s="1789">
        <f>IF(F79&gt;0,F78/F79," Complete Line 79")</f>
        <v>14480.420927140171</v>
      </c>
      <c r="G80" s="705"/>
    </row>
    <row r="81" spans="1:7" s="728" customFormat="1" ht="8.25" customHeight="1" thickTop="1" x14ac:dyDescent="0.2">
      <c r="A81" s="734"/>
      <c r="B81" s="705"/>
      <c r="C81" s="707"/>
      <c r="D81" s="735"/>
      <c r="E81" s="704"/>
      <c r="F81" s="1790"/>
      <c r="G81" s="705"/>
    </row>
    <row r="82" spans="1:7" s="728" customFormat="1" ht="12" thickBot="1" x14ac:dyDescent="0.25">
      <c r="A82" s="2384" t="s">
        <v>1097</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39442</v>
      </c>
      <c r="G95" s="745"/>
    </row>
    <row r="96" spans="1:7" x14ac:dyDescent="0.2">
      <c r="A96" s="741" t="s">
        <v>139</v>
      </c>
      <c r="B96" s="741" t="s">
        <v>174</v>
      </c>
      <c r="C96" s="743">
        <v>1700</v>
      </c>
      <c r="D96" s="751" t="str">
        <f>'Revenues 9-14'!A82</f>
        <v>Total District/School Activity Income</v>
      </c>
      <c r="E96" s="739"/>
      <c r="F96" s="1792">
        <f>SUM('Revenues 9-14'!C82,'Revenues 9-14'!D82)</f>
        <v>13612</v>
      </c>
      <c r="G96" s="745"/>
    </row>
    <row r="97" spans="1:7" x14ac:dyDescent="0.2">
      <c r="A97" s="741" t="s">
        <v>455</v>
      </c>
      <c r="B97" s="741" t="s">
        <v>175</v>
      </c>
      <c r="C97" s="743">
        <f>'Revenues 9-14'!B84</f>
        <v>1811</v>
      </c>
      <c r="D97" s="744" t="str">
        <f>'Revenues 9-14'!A84</f>
        <v>Rentals - Regular Textbooks</v>
      </c>
      <c r="E97" s="739"/>
      <c r="F97" s="1792">
        <f>'Revenues 9-14'!C84</f>
        <v>6481</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1912</v>
      </c>
      <c r="C106" s="746">
        <v>3100</v>
      </c>
      <c r="D106" s="752" t="str">
        <f>'Revenues 9-14'!A132</f>
        <v>Total Special Education</v>
      </c>
      <c r="E106" s="739"/>
      <c r="F106" s="1792">
        <f>SUM('Revenues 9-14'!C132:D132,'Revenues 9-14'!F132)</f>
        <v>49587</v>
      </c>
      <c r="G106" s="745"/>
    </row>
    <row r="107" spans="1:7" x14ac:dyDescent="0.2">
      <c r="A107" s="741" t="s">
        <v>667</v>
      </c>
      <c r="B107" s="741" t="s">
        <v>1913</v>
      </c>
      <c r="C107" s="753">
        <v>3200</v>
      </c>
      <c r="D107" s="744" t="str">
        <f>'Revenues 9-14'!A141</f>
        <v>Total Career and Technical Education</v>
      </c>
      <c r="E107" s="739"/>
      <c r="F107" s="1792">
        <f>SUM('Revenues 9-14'!C141,'Revenues 9-14'!D141,'Revenues 9-14'!G141)</f>
        <v>1971</v>
      </c>
      <c r="G107" s="745"/>
    </row>
    <row r="108" spans="1:7" x14ac:dyDescent="0.2">
      <c r="A108" s="754" t="s">
        <v>658</v>
      </c>
      <c r="B108" s="741" t="s">
        <v>1914</v>
      </c>
      <c r="C108" s="753">
        <v>3300</v>
      </c>
      <c r="D108" s="744" t="str">
        <f>'Revenues 9-14'!A145</f>
        <v>Total Bilingual Ed</v>
      </c>
      <c r="E108" s="739"/>
      <c r="F108" s="1792">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2">
        <f>'Revenues 9-14'!C146</f>
        <v>777</v>
      </c>
      <c r="G109" s="745"/>
    </row>
    <row r="110" spans="1:7" x14ac:dyDescent="0.2">
      <c r="A110" s="741" t="s">
        <v>667</v>
      </c>
      <c r="B110" s="741" t="s">
        <v>1916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2">
        <f>SUM('Revenues 9-14'!C148,'Revenues 9-14'!D148)</f>
        <v>2079</v>
      </c>
      <c r="G111" s="745"/>
    </row>
    <row r="112" spans="1:7" x14ac:dyDescent="0.2">
      <c r="A112" s="741" t="s">
        <v>662</v>
      </c>
      <c r="B112" s="741" t="s">
        <v>1918</v>
      </c>
      <c r="C112" s="755">
        <v>3500</v>
      </c>
      <c r="D112" s="744" t="str">
        <f>'Revenues 9-14'!A155</f>
        <v>Total Transportation</v>
      </c>
      <c r="E112" s="739"/>
      <c r="F112" s="1792">
        <f>SUM('Revenues 9-14'!C155,'Revenues 9-14'!D155,'Revenues 9-14'!F155,'Revenues 9-14'!G155)</f>
        <v>155527</v>
      </c>
      <c r="G112" s="745"/>
    </row>
    <row r="113" spans="1:7" x14ac:dyDescent="0.2">
      <c r="A113" s="741" t="s">
        <v>455</v>
      </c>
      <c r="B113" s="741" t="s">
        <v>1919</v>
      </c>
      <c r="C113" s="753">
        <f>'Revenues 9-14'!B156</f>
        <v>3610</v>
      </c>
      <c r="D113" s="744" t="str">
        <f>'Revenues 9-14'!A156</f>
        <v>Learning Improvement - Change Grants</v>
      </c>
      <c r="E113" s="739"/>
      <c r="F113" s="1792">
        <f>'Revenues 9-14'!C156</f>
        <v>0</v>
      </c>
      <c r="G113" s="745"/>
    </row>
    <row r="114" spans="1:7" x14ac:dyDescent="0.2">
      <c r="A114" s="741" t="s">
        <v>662</v>
      </c>
      <c r="B114" s="741" t="s">
        <v>1920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1">
        <f>SUM('Revenues 9-14'!C163:G163)</f>
        <v>0</v>
      </c>
      <c r="G119" s="745"/>
    </row>
    <row r="120" spans="1:7" x14ac:dyDescent="0.2">
      <c r="A120" s="756" t="s">
        <v>500</v>
      </c>
      <c r="B120" s="756" t="s">
        <v>1926</v>
      </c>
      <c r="C120" s="757">
        <f>'Revenues 9-14'!B164</f>
        <v>3815</v>
      </c>
      <c r="D120" s="758" t="str">
        <f>'Revenues 9-14'!A164</f>
        <v>State Charter Schools</v>
      </c>
      <c r="E120" s="739"/>
      <c r="F120" s="1791">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2">
        <f>'Revenues 9-14'!D167</f>
        <v>0</v>
      </c>
      <c r="G121" s="763"/>
    </row>
    <row r="122" spans="1:7" x14ac:dyDescent="0.2">
      <c r="A122" s="760" t="s">
        <v>496</v>
      </c>
      <c r="B122" s="760" t="s">
        <v>1928</v>
      </c>
      <c r="C122" s="761">
        <f>'Revenues 9-14'!B168</f>
        <v>3999</v>
      </c>
      <c r="D122" s="762" t="s">
        <v>539</v>
      </c>
      <c r="E122" s="764"/>
      <c r="F122" s="1792">
        <f>SUM('Revenues 9-14'!C168:G168,'Revenues 9-14'!J168)</f>
        <v>0</v>
      </c>
      <c r="G122" s="763"/>
    </row>
    <row r="123" spans="1:7" x14ac:dyDescent="0.2">
      <c r="A123" s="760" t="s">
        <v>455</v>
      </c>
      <c r="B123" s="760" t="s">
        <v>1929</v>
      </c>
      <c r="C123" s="765">
        <f>'Revenues 9-14'!B177</f>
        <v>4045</v>
      </c>
      <c r="D123" s="762" t="str">
        <f>'Revenues 9-14'!A177 &amp; " (Subtract)"</f>
        <v>Head Start (Subtract)</v>
      </c>
      <c r="E123" s="739"/>
      <c r="F123" s="1792">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1931</v>
      </c>
      <c r="C125" s="765">
        <v>4100</v>
      </c>
      <c r="D125" s="766" t="str">
        <f>'Revenues 9-14'!A188</f>
        <v>Total Title V</v>
      </c>
      <c r="E125" s="739"/>
      <c r="F125" s="1792">
        <f>SUM('Revenues 9-14'!C188,'Revenues 9-14'!D188,'Revenues 9-14'!F188,'Revenues 9-14'!G188)</f>
        <v>17924</v>
      </c>
      <c r="G125" s="763"/>
    </row>
    <row r="126" spans="1:7" x14ac:dyDescent="0.2">
      <c r="A126" s="760" t="s">
        <v>658</v>
      </c>
      <c r="B126" s="760" t="s">
        <v>1932</v>
      </c>
      <c r="C126" s="765">
        <v>4200</v>
      </c>
      <c r="D126" s="762" t="str">
        <f>'Revenues 9-14'!A198</f>
        <v>Total Food Service</v>
      </c>
      <c r="E126" s="739"/>
      <c r="F126" s="1792">
        <f>SUM('Revenues 9-14'!C198,'Revenues 9-14'!G198)</f>
        <v>69961</v>
      </c>
      <c r="G126" s="763"/>
    </row>
    <row r="127" spans="1:7" x14ac:dyDescent="0.2">
      <c r="A127" s="760" t="s">
        <v>662</v>
      </c>
      <c r="B127" s="760" t="s">
        <v>1933</v>
      </c>
      <c r="C127" s="765">
        <v>4300</v>
      </c>
      <c r="D127" s="766" t="str">
        <f>'Revenues 9-14'!A204</f>
        <v>Total Title I</v>
      </c>
      <c r="E127" s="739"/>
      <c r="F127" s="1792">
        <f>SUM('Revenues 9-14'!C204,'Revenues 9-14'!D204,'Revenues 9-14'!F204,'Revenues 9-14'!G204)</f>
        <v>33024</v>
      </c>
      <c r="G127" s="763"/>
    </row>
    <row r="128" spans="1:7" x14ac:dyDescent="0.2">
      <c r="A128" s="760" t="s">
        <v>662</v>
      </c>
      <c r="B128" s="760" t="s">
        <v>1934</v>
      </c>
      <c r="C128" s="765">
        <v>4400</v>
      </c>
      <c r="D128" s="766" t="str">
        <f>'Revenues 9-14'!A209</f>
        <v>Total Title IV</v>
      </c>
      <c r="E128" s="739"/>
      <c r="F128" s="1792">
        <f>SUM('Revenues 9-14'!C209,'Revenues 9-14'!D209,'Revenues 9-14'!F209,'Revenues 9-14'!G209)</f>
        <v>3939</v>
      </c>
      <c r="G128" s="763"/>
    </row>
    <row r="129" spans="1:7" x14ac:dyDescent="0.2">
      <c r="A129" s="760" t="s">
        <v>662</v>
      </c>
      <c r="B129" s="760" t="s">
        <v>1935</v>
      </c>
      <c r="C129" s="765">
        <f>'Revenues 9-14'!B213</f>
        <v>4620</v>
      </c>
      <c r="D129" s="766" t="str">
        <f>'Revenues 9-14'!A213</f>
        <v>Fed - Spec Education - IDEA - Flow Through</v>
      </c>
      <c r="E129" s="739"/>
      <c r="F129" s="1792">
        <f>SUM('Revenues 9-14'!C213:D213,'Revenues 9-14'!F213:G213)</f>
        <v>11886</v>
      </c>
      <c r="G129" s="763"/>
    </row>
    <row r="130" spans="1:7" x14ac:dyDescent="0.2">
      <c r="A130" s="760" t="s">
        <v>662</v>
      </c>
      <c r="B130" s="760" t="s">
        <v>1936</v>
      </c>
      <c r="C130" s="765">
        <f>'Revenues 9-14'!B214</f>
        <v>4625</v>
      </c>
      <c r="D130" s="766" t="str">
        <f>'Revenues 9-14'!A214</f>
        <v>Fed - Spec Education - IDEA - Room &amp; Board</v>
      </c>
      <c r="E130" s="739"/>
      <c r="F130" s="1792">
        <f>SUM('Revenues 9-14'!C214,'Revenues 9-14'!D214,'Revenues 9-14'!F214,'Revenues 9-14'!G214)</f>
        <v>4583</v>
      </c>
      <c r="G130" s="763"/>
    </row>
    <row r="131" spans="1:7" x14ac:dyDescent="0.2">
      <c r="A131" s="760" t="s">
        <v>662</v>
      </c>
      <c r="B131" s="760" t="s">
        <v>1937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1938</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2">
        <v>0</v>
      </c>
      <c r="G139" s="738"/>
    </row>
    <row r="140" spans="1:7" s="703" customFormat="1" hidden="1" x14ac:dyDescent="0.2">
      <c r="A140" s="767" t="s">
        <v>204</v>
      </c>
      <c r="B140" s="767" t="s">
        <v>1945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1953</v>
      </c>
      <c r="C158" s="773" t="s">
        <v>835</v>
      </c>
      <c r="D158" s="774" t="s">
        <v>771</v>
      </c>
      <c r="E158" s="775"/>
      <c r="F158" s="1792">
        <f>SUM(F134:F157)</f>
        <v>0</v>
      </c>
      <c r="G158" s="738"/>
    </row>
    <row r="159" spans="1:7" s="703" customFormat="1" x14ac:dyDescent="0.2">
      <c r="A159" s="771" t="s">
        <v>455</v>
      </c>
      <c r="B159" s="772" t="s">
        <v>1954</v>
      </c>
      <c r="C159" s="773" t="s">
        <v>1412</v>
      </c>
      <c r="D159" s="774" t="s">
        <v>1413</v>
      </c>
      <c r="E159" s="775"/>
      <c r="F159" s="1792">
        <f>SUM('Revenues 9-14'!C253)</f>
        <v>0</v>
      </c>
      <c r="G159" s="738"/>
    </row>
    <row r="160" spans="1:7" s="703" customFormat="1" x14ac:dyDescent="0.2">
      <c r="A160" s="771" t="s">
        <v>496</v>
      </c>
      <c r="B160" s="772" t="s">
        <v>1955</v>
      </c>
      <c r="C160" s="773" t="s">
        <v>1451</v>
      </c>
      <c r="D160" s="774" t="s">
        <v>1452</v>
      </c>
      <c r="E160" s="775"/>
      <c r="F160" s="179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1">
        <f>SUM('Revenues 9-14'!C259,'Revenues 9-14'!D259,'Revenues 9-14'!F259,'Revenues 9-14'!G259)</f>
        <v>4411</v>
      </c>
      <c r="G165" s="763"/>
    </row>
    <row r="166" spans="1:7" x14ac:dyDescent="0.2">
      <c r="A166" s="760" t="s">
        <v>662</v>
      </c>
      <c r="B166" s="760" t="s">
        <v>1961</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2">
        <f>SUM('Revenues 9-14'!C263:D263,'Revenues 9-14'!F263:G263)</f>
        <v>4924</v>
      </c>
      <c r="G169" s="780">
        <v>6320</v>
      </c>
    </row>
    <row r="170" spans="1:7" x14ac:dyDescent="0.2">
      <c r="A170" s="760" t="s">
        <v>662</v>
      </c>
      <c r="B170" s="760" t="s">
        <v>1963</v>
      </c>
      <c r="C170" s="765">
        <f>'Revenues 9-14'!B264</f>
        <v>4992</v>
      </c>
      <c r="D170" s="766" t="str">
        <f>'Revenues 9-14'!A264</f>
        <v>Medicaid Matching Funds - Fee-for-Service Program</v>
      </c>
      <c r="E170" s="739"/>
      <c r="F170" s="1792">
        <f>SUM('Revenues 9-14'!C264:D264,'Revenues 9-14'!F264:G264)</f>
        <v>40730</v>
      </c>
      <c r="G170" s="780"/>
    </row>
    <row r="171" spans="1:7" x14ac:dyDescent="0.2">
      <c r="A171" s="781" t="s">
        <v>662</v>
      </c>
      <c r="B171" s="777" t="s">
        <v>1964</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1887</v>
      </c>
      <c r="C172" s="1530">
        <v>3100</v>
      </c>
      <c r="D172" s="1531" t="s">
        <v>1889</v>
      </c>
      <c r="E172" s="739"/>
      <c r="F172" s="1793">
        <v>68865</v>
      </c>
      <c r="G172" s="760"/>
    </row>
    <row r="173" spans="1:7" x14ac:dyDescent="0.2">
      <c r="A173" s="1528" t="s">
        <v>658</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951</v>
      </c>
      <c r="F175" s="1795">
        <f>SUM(F85:F133,F158:F173)</f>
        <v>529723</v>
      </c>
    </row>
    <row r="176" spans="1:7" ht="12" customHeight="1" x14ac:dyDescent="0.2">
      <c r="A176" s="1442"/>
      <c r="B176" s="1452"/>
      <c r="C176" s="1453"/>
      <c r="D176" s="1454" t="s">
        <v>2016</v>
      </c>
      <c r="E176" s="1455"/>
      <c r="F176" s="1792">
        <f>'PCTC-OEPP 27-28'!F78-F175</f>
        <v>2628312</v>
      </c>
    </row>
    <row r="177" spans="1:9" ht="12" customHeight="1" x14ac:dyDescent="0.2">
      <c r="A177" s="1442"/>
      <c r="B177" s="1452"/>
      <c r="C177" s="1453"/>
      <c r="D177" s="1454" t="s">
        <v>1796</v>
      </c>
      <c r="E177" s="1455"/>
      <c r="F177" s="1792">
        <f>'Cap Outlay Deprec 26'!I18</f>
        <v>140465</v>
      </c>
    </row>
    <row r="178" spans="1:9" ht="12" customHeight="1" x14ac:dyDescent="0.2">
      <c r="A178" s="1442"/>
      <c r="B178" s="1452"/>
      <c r="C178" s="1453"/>
      <c r="D178" s="1454" t="s">
        <v>2017</v>
      </c>
      <c r="E178" s="1455"/>
      <c r="F178" s="1792">
        <f>F176+F177</f>
        <v>2768777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218.09</v>
      </c>
      <c r="G179" s="763"/>
      <c r="I179" s="701"/>
    </row>
    <row r="180" spans="1:9" ht="12" customHeight="1" thickBot="1" x14ac:dyDescent="0.25">
      <c r="A180" s="1442"/>
      <c r="B180" s="1456"/>
      <c r="C180" s="1453"/>
      <c r="D180" s="1454" t="s">
        <v>2019</v>
      </c>
      <c r="E180" s="1455" t="s">
        <v>1530</v>
      </c>
      <c r="F180" s="1797">
        <f>F178/F179</f>
        <v>12695.570635975973</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2"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19" sqref="B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1809</v>
      </c>
      <c r="B1" s="1859"/>
      <c r="C1" s="1860"/>
      <c r="D1" s="1860"/>
      <c r="E1" s="1860"/>
      <c r="F1" s="1860"/>
    </row>
    <row r="2" spans="1:6" x14ac:dyDescent="0.25">
      <c r="A2" s="1862"/>
      <c r="B2" s="1863"/>
      <c r="C2" s="1912" t="s">
        <v>2005</v>
      </c>
      <c r="D2" s="1862"/>
      <c r="E2" s="1862"/>
      <c r="F2" s="1862"/>
    </row>
    <row r="3" spans="1:6" ht="5.25" customHeight="1" x14ac:dyDescent="0.25">
      <c r="A3" s="1864"/>
      <c r="B3" s="1865"/>
      <c r="C3" s="1864"/>
      <c r="D3" s="1864"/>
      <c r="E3" s="1864"/>
      <c r="F3" s="1864"/>
    </row>
    <row r="4" spans="1:6" ht="18.75" customHeight="1" x14ac:dyDescent="0.25">
      <c r="A4" s="2398" t="s">
        <v>1797</v>
      </c>
      <c r="B4" s="2399"/>
      <c r="C4" s="2399"/>
      <c r="D4" s="2399"/>
      <c r="E4" s="2399"/>
      <c r="F4" s="2400"/>
    </row>
    <row r="5" spans="1:6" x14ac:dyDescent="0.25">
      <c r="A5" s="2401"/>
      <c r="B5" s="2402"/>
      <c r="C5" s="2402"/>
      <c r="D5" s="2402"/>
      <c r="E5" s="2402"/>
      <c r="F5" s="2403"/>
    </row>
    <row r="6" spans="1:6" ht="18.75" x14ac:dyDescent="0.25">
      <c r="A6" s="1866" t="s">
        <v>1798</v>
      </c>
      <c r="B6" s="1867"/>
      <c r="C6" s="1868"/>
      <c r="D6" s="1868"/>
      <c r="E6" s="1868"/>
      <c r="F6" s="1869"/>
    </row>
    <row r="7" spans="1:6" ht="47.25" customHeight="1" x14ac:dyDescent="0.25">
      <c r="A7" s="2404" t="s">
        <v>1987</v>
      </c>
      <c r="B7" s="2405"/>
      <c r="C7" s="2405"/>
      <c r="D7" s="2405"/>
      <c r="E7" s="2405"/>
      <c r="F7" s="2406"/>
    </row>
    <row r="8" spans="1:6" ht="20.25" customHeight="1" x14ac:dyDescent="0.25">
      <c r="A8" s="1901" t="s">
        <v>1989</v>
      </c>
      <c r="B8" s="1902"/>
      <c r="C8" s="1902"/>
      <c r="D8" s="1902"/>
      <c r="E8" s="1870"/>
      <c r="F8" s="1871"/>
    </row>
    <row r="9" spans="1:6" ht="18" customHeight="1" x14ac:dyDescent="0.25">
      <c r="A9" s="1872" t="s">
        <v>1986</v>
      </c>
      <c r="B9" s="1874"/>
      <c r="C9" s="1874"/>
      <c r="D9" s="1874"/>
      <c r="E9" s="1870"/>
      <c r="F9" s="1871"/>
    </row>
    <row r="10" spans="1:6" ht="15.75" customHeight="1" x14ac:dyDescent="0.25">
      <c r="A10" s="2407" t="s">
        <v>1983</v>
      </c>
      <c r="B10" s="2408"/>
      <c r="C10" s="2408"/>
      <c r="D10" s="2408"/>
      <c r="E10" s="2408"/>
      <c r="F10" s="2409"/>
    </row>
    <row r="11" spans="1:6" ht="33" customHeight="1" x14ac:dyDescent="0.25">
      <c r="A11" s="2404" t="s">
        <v>1988</v>
      </c>
      <c r="B11" s="2405"/>
      <c r="C11" s="2405"/>
      <c r="D11" s="2405"/>
      <c r="E11" s="2405"/>
      <c r="F11" s="2406"/>
    </row>
    <row r="12" spans="1:6" ht="15" customHeight="1" x14ac:dyDescent="0.25">
      <c r="A12" s="1872" t="s">
        <v>1984</v>
      </c>
      <c r="B12" s="1873"/>
      <c r="C12" s="1874"/>
      <c r="D12" s="1874"/>
      <c r="E12" s="1874"/>
      <c r="F12" s="1875"/>
    </row>
    <row r="13" spans="1:6" ht="17.25" customHeight="1" x14ac:dyDescent="0.25">
      <c r="A13" s="2404" t="s">
        <v>1985</v>
      </c>
      <c r="B13" s="2405"/>
      <c r="C13" s="2405"/>
      <c r="D13" s="2405"/>
      <c r="E13" s="2405"/>
      <c r="F13" s="2406"/>
    </row>
    <row r="14" spans="1:6" ht="15" customHeight="1" x14ac:dyDescent="0.25">
      <c r="A14" s="1872" t="s">
        <v>1802</v>
      </c>
      <c r="B14" s="1873"/>
      <c r="C14" s="1874"/>
      <c r="D14" s="1874"/>
      <c r="E14" s="1874"/>
      <c r="F14" s="1875"/>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76" t="s">
        <v>1803</v>
      </c>
      <c r="B16" s="1877" t="s">
        <v>1804</v>
      </c>
      <c r="C16" s="1876" t="s">
        <v>1805</v>
      </c>
      <c r="D16" s="1878" t="s">
        <v>1806</v>
      </c>
      <c r="E16" s="1878" t="s">
        <v>1807</v>
      </c>
      <c r="F16" s="1878" t="s">
        <v>1808</v>
      </c>
    </row>
    <row r="17" spans="1:7" x14ac:dyDescent="0.25">
      <c r="A17" s="1879" t="s">
        <v>1810</v>
      </c>
      <c r="B17" s="1906" t="s">
        <v>1801</v>
      </c>
      <c r="C17" s="1880" t="s">
        <v>1799</v>
      </c>
      <c r="D17" s="1881">
        <v>500000</v>
      </c>
      <c r="E17" s="1881" t="str">
        <f>IF(D17&lt;25000,D17,"25,000")</f>
        <v>25,000</v>
      </c>
      <c r="F17" s="1882">
        <f>IF(D17&gt;=25000,(D17-E17),"0")</f>
        <v>475000</v>
      </c>
    </row>
    <row r="18" spans="1:7" x14ac:dyDescent="0.25">
      <c r="A18" s="1919" t="s">
        <v>2044</v>
      </c>
      <c r="B18" s="1907">
        <v>102570300</v>
      </c>
      <c r="C18" s="1920" t="s">
        <v>2045</v>
      </c>
      <c r="D18" s="1885">
        <v>15301</v>
      </c>
      <c r="E18" s="1905">
        <f t="shared" ref="E18:E81" si="0">IF(D18&lt;25000,D18,"25,000")</f>
        <v>15301</v>
      </c>
      <c r="F18" s="1905" t="str">
        <f t="shared" ref="F18:F81" si="1">IF(D18&gt;=25000,(D18-E18),"0")</f>
        <v>0</v>
      </c>
      <c r="G18" s="1886"/>
    </row>
    <row r="19" spans="1:7" ht="30" x14ac:dyDescent="0.25">
      <c r="A19" s="1919" t="s">
        <v>2046</v>
      </c>
      <c r="B19" s="1907">
        <v>402550300</v>
      </c>
      <c r="C19" s="1920" t="s">
        <v>2047</v>
      </c>
      <c r="D19" s="1885">
        <v>129134</v>
      </c>
      <c r="E19" s="1905" t="str">
        <f t="shared" si="0"/>
        <v>25,000</v>
      </c>
      <c r="F19" s="1905">
        <f t="shared" si="1"/>
        <v>104134</v>
      </c>
    </row>
    <row r="20" spans="1:7" ht="30" x14ac:dyDescent="0.25">
      <c r="A20" s="1919" t="s">
        <v>2046</v>
      </c>
      <c r="B20" s="1907">
        <v>402550300</v>
      </c>
      <c r="C20" s="1920" t="s">
        <v>2048</v>
      </c>
      <c r="D20" s="1885">
        <v>28933</v>
      </c>
      <c r="E20" s="1905" t="str">
        <f t="shared" si="0"/>
        <v>25,000</v>
      </c>
      <c r="F20" s="1905">
        <f t="shared" si="1"/>
        <v>3933</v>
      </c>
    </row>
    <row r="21" spans="1:7" ht="30" x14ac:dyDescent="0.25">
      <c r="A21" s="1919" t="s">
        <v>2046</v>
      </c>
      <c r="B21" s="1907">
        <v>402550300</v>
      </c>
      <c r="C21" s="1920" t="s">
        <v>2049</v>
      </c>
      <c r="D21" s="1885">
        <v>58184</v>
      </c>
      <c r="E21" s="1905" t="str">
        <f t="shared" si="0"/>
        <v>25,000</v>
      </c>
      <c r="F21" s="1905">
        <f t="shared" si="1"/>
        <v>33184</v>
      </c>
    </row>
    <row r="22" spans="1:7" x14ac:dyDescent="0.25">
      <c r="A22" s="1919" t="s">
        <v>2050</v>
      </c>
      <c r="B22" s="1907">
        <v>802300300</v>
      </c>
      <c r="C22" s="1920" t="s">
        <v>2051</v>
      </c>
      <c r="D22" s="1885">
        <v>5760</v>
      </c>
      <c r="E22" s="1905">
        <f t="shared" si="0"/>
        <v>5760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237312</v>
      </c>
      <c r="E142" s="1892">
        <f>SUM(E18:E141)</f>
        <v>21061</v>
      </c>
      <c r="F142" s="1893">
        <f>SUM(F18:F141)</f>
        <v>141251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D42" sqref="D42:E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1106</v>
      </c>
      <c r="B1" s="1369"/>
      <c r="C1" s="1370"/>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0" t="s">
        <v>1662</v>
      </c>
      <c r="B5" s="2411"/>
      <c r="C5" s="2411"/>
      <c r="D5" s="2411"/>
      <c r="E5" s="2411"/>
      <c r="F5" s="2411"/>
      <c r="G5" s="241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1896</v>
      </c>
      <c r="B10" s="803"/>
      <c r="C10" s="807"/>
      <c r="D10" s="804"/>
      <c r="E10" s="1799">
        <f>+'Expenditures 15-22'!E63+'Expenditures 15-22'!F63-'Revenues 9-14'!C146</f>
        <v>50283</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800">
        <v>11894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1570712</v>
      </c>
      <c r="F19" s="1801"/>
      <c r="G19" s="1803">
        <f>'Expenditures 15-22'!K33-SUM('Expenditures 15-22'!G33,'Expenditures 15-22'!I33)+'Expenditures 15-22'!D229</f>
        <v>1570712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86160</v>
      </c>
      <c r="F21" s="1804"/>
      <c r="G21" s="1807">
        <f>'Expenditures 15-22'!K42-SUM('Expenditures 15-22'!G42,'Expenditures 15-22'!I42)+'Expenditures 15-22'!K120-SUM('Expenditures 15-22'!G120,'Expenditures 15-22'!I120)+'Expenditures 15-22'!K180-SUM('Expenditures 15-22'!G180,'Expenditures 15-22'!I180)+'Expenditures 15-22'!D238</f>
        <v>86160</v>
      </c>
      <c r="H21" s="817"/>
      <c r="I21" s="157"/>
    </row>
    <row r="22" spans="1:9" s="542" customFormat="1" ht="12" customHeight="1" x14ac:dyDescent="0.2">
      <c r="A22" s="824" t="s">
        <v>559</v>
      </c>
      <c r="B22" s="825"/>
      <c r="C22" s="823">
        <v>2200</v>
      </c>
      <c r="D22" s="1804"/>
      <c r="E22" s="1806">
        <f>'Expenditures 15-22'!K47-SUM('Expenditures 15-22'!G47,'Expenditures 15-22'!I47)+'Expenditures 15-22'!D243</f>
        <v>63288</v>
      </c>
      <c r="F22" s="1804"/>
      <c r="G22" s="1807">
        <f>'Expenditures 15-22'!K47-SUM('Expenditures 15-22'!G47,'Expenditures 15-22'!I47)+'Expenditures 15-22'!D243</f>
        <v>63288</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329830</v>
      </c>
      <c r="F23" s="1804"/>
      <c r="G23" s="1806">
        <f>'Expenditures 15-22'!K53-SUM('Expenditures 15-22'!G53,'Expenditures 15-22'!I53)+'Expenditures 15-22'!D257+'Expenditures 15-22'!K330-SUM('Expenditures 15-22'!G330,'Expenditures 15-22'!I330)</f>
        <v>329830</v>
      </c>
      <c r="H23" s="817"/>
      <c r="I23" s="157"/>
    </row>
    <row r="24" spans="1:9" s="542" customFormat="1" ht="12" customHeight="1" x14ac:dyDescent="0.2">
      <c r="A24" s="824" t="s">
        <v>561</v>
      </c>
      <c r="B24" s="825"/>
      <c r="C24" s="823">
        <v>2400</v>
      </c>
      <c r="D24" s="1804"/>
      <c r="E24" s="1806">
        <f>'Expenditures 15-22'!K57-SUM('Expenditures 15-22'!G57,'Expenditures 15-22'!I57)+'Expenditures 15-22'!D261</f>
        <v>161555</v>
      </c>
      <c r="F24" s="1804"/>
      <c r="G24" s="1807">
        <f>'Expenditures 15-22'!K57-SUM('Expenditures 15-22'!G57,'Expenditures 15-22'!I57)+'Expenditures 15-22'!D261</f>
        <v>161555</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70289</v>
      </c>
      <c r="E27" s="1806">
        <f>E8</f>
        <v>0</v>
      </c>
      <c r="F27" s="1806">
        <f>'Expenditures 15-22'!K60-SUM('Expenditures 15-22'!G60,'Expenditures 15-22'!I60)+'Expenditures 15-22'!D264-E8</f>
        <v>70289</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240248</v>
      </c>
      <c r="F28" s="1808">
        <f>'Expenditures 15-22'!K61-SUM('Expenditures 15-22'!G61,'Expenditures 15-22'!I61)+'Expenditures 15-22'!K124-SUM('Expenditures 15-22'!G124,'Expenditures 15-22'!I124)+'Expenditures 15-22'!D266-E9</f>
        <v>240248</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250335</v>
      </c>
      <c r="F29" s="1804"/>
      <c r="G29" s="1807">
        <f>'Expenditures 15-22'!K62-SUM('Expenditures 15-22'!G62,'Expenditures 15-22'!I62)+'Expenditures 15-22'!K125-SUM('Expenditures 15-22'!G125,'Expenditures 15-22'!I125)+'Expenditures 15-22'!K182-SUM('Expenditures 15-22'!G182,'Expenditures 15-22'!I182)+'Expenditures 15-22'!D267</f>
        <v>250335</v>
      </c>
      <c r="H29" s="815"/>
    </row>
    <row r="30" spans="1:9" ht="12" customHeight="1" x14ac:dyDescent="0.2">
      <c r="A30" s="824" t="s">
        <v>100</v>
      </c>
      <c r="B30" s="827"/>
      <c r="C30" s="823">
        <v>2560</v>
      </c>
      <c r="D30" s="1804"/>
      <c r="E30" s="1806">
        <f>'Expenditures 15-22'!K63-SUM('Expenditures 15-22'!G63,'Expenditures 15-22'!I63)+'Expenditures 15-22'!D268-E10</f>
        <v>111079</v>
      </c>
      <c r="F30" s="1804"/>
      <c r="G30" s="1806">
        <f>'Expenditures 15-22'!K63-SUM('Expenditures 15-22'!G63,'Expenditures 15-22'!I63)+'Expenditures 15-22'!D268-E10</f>
        <v>111079</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1429</v>
      </c>
      <c r="F35" s="1804"/>
      <c r="G35" s="1806">
        <f>'Expenditures 15-22'!K69-SUM('Expenditures 15-22'!G69,'Expenditures 15-22'!I69)+'Expenditures 15-22'!D274</f>
        <v>1429</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143</v>
      </c>
      <c r="F38" s="1804"/>
      <c r="G38" s="1806">
        <f>'Expenditures 15-22'!K73-SUM('Expenditures 15-22'!G73,'Expenditures 15-22'!I73)+'Expenditures 15-22'!K128-SUM('Expenditures 15-22'!G128,'Expenditures 15-22'!I128)+'Expenditures 15-22'!K183-SUM('Expenditures 15-22'!G183,'Expenditures 15-22'!I183)+'Expenditures 15-22'!D278</f>
        <v>143</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5006</v>
      </c>
      <c r="F39" s="1804"/>
      <c r="G39" s="1806">
        <f>'Expenditures 15-22'!K75-SUM('Expenditures 15-22'!G75,'Expenditures 15-22'!I75)+'Expenditures 15-22'!K130-SUM('Expenditures 15-22'!G130,'Expenditures 15-22'!I130)+'Expenditures 15-22'!K185-SUM('Expenditures 15-22'!G185,'Expenditures 15-22'!I185)+'Expenditures 15-22'!D280</f>
        <v>5006</v>
      </c>
    </row>
    <row r="40" spans="1:7" ht="12" customHeight="1" x14ac:dyDescent="0.2">
      <c r="A40" s="820" t="s">
        <v>1800</v>
      </c>
      <c r="B40" s="821"/>
      <c r="C40" s="823"/>
      <c r="D40" s="1804"/>
      <c r="E40" s="1808">
        <f>-'Contracts Paid in CY 29'!F142</f>
        <v>-141251</v>
      </c>
      <c r="F40" s="1804"/>
      <c r="G40" s="1808">
        <f>-'Contracts Paid in CY 29'!F142</f>
        <v>-141251</v>
      </c>
    </row>
    <row r="41" spans="1:7" ht="12" customHeight="1" x14ac:dyDescent="0.2">
      <c r="A41" s="828" t="s">
        <v>155</v>
      </c>
      <c r="B41" s="829"/>
      <c r="C41" s="830"/>
      <c r="D41" s="1808">
        <f>SUM(D19:D39)</f>
        <v>70289</v>
      </c>
      <c r="E41" s="1808">
        <f>SUM(E19:E40)</f>
        <v>2678534</v>
      </c>
      <c r="F41" s="1808">
        <f>SUM(F19:F39)</f>
        <v>310537</v>
      </c>
      <c r="G41" s="1808">
        <f>SUM(G19:G40)</f>
        <v>2438286</v>
      </c>
    </row>
    <row r="42" spans="1:7" x14ac:dyDescent="0.2">
      <c r="A42" s="817"/>
      <c r="B42" s="157"/>
      <c r="C42" s="831"/>
      <c r="D42" s="2413" t="s">
        <v>518</v>
      </c>
      <c r="E42" s="2414"/>
      <c r="F42" s="832" t="s">
        <v>519</v>
      </c>
      <c r="G42" s="833"/>
    </row>
    <row r="43" spans="1:7" ht="12" customHeight="1" x14ac:dyDescent="0.2">
      <c r="A43" s="817"/>
      <c r="B43" s="157"/>
      <c r="C43" s="831"/>
      <c r="D43" s="1457" t="s">
        <v>469</v>
      </c>
      <c r="E43" s="1809">
        <f>D41</f>
        <v>70289</v>
      </c>
      <c r="F43" s="1457" t="s">
        <v>469</v>
      </c>
      <c r="G43" s="1809">
        <f>F41</f>
        <v>310537</v>
      </c>
    </row>
    <row r="44" spans="1:7" ht="12" customHeight="1" x14ac:dyDescent="0.2">
      <c r="A44" s="817"/>
      <c r="B44" s="157"/>
      <c r="C44" s="831"/>
      <c r="D44" s="1457" t="s">
        <v>470</v>
      </c>
      <c r="E44" s="1809">
        <f>E41</f>
        <v>2678534</v>
      </c>
      <c r="F44" s="1457" t="s">
        <v>470</v>
      </c>
      <c r="G44" s="1809">
        <f>G41</f>
        <v>2438286</v>
      </c>
    </row>
    <row r="45" spans="1:7" ht="12" customHeight="1" x14ac:dyDescent="0.2">
      <c r="A45" s="817"/>
      <c r="B45" s="157"/>
      <c r="C45" s="157"/>
      <c r="D45" s="1458" t="s">
        <v>998</v>
      </c>
      <c r="E45" s="1810">
        <f>(E43/E44)</f>
        <v>2.6241593349197734E-2</v>
      </c>
      <c r="F45" s="1458" t="s">
        <v>998</v>
      </c>
      <c r="G45" s="1810">
        <f>(G43/G44)</f>
        <v>0.1273587265808851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32" t="s">
        <v>1364</v>
      </c>
      <c r="B1" s="2432"/>
      <c r="C1" s="2432"/>
      <c r="D1" s="2432"/>
      <c r="E1" s="2432"/>
      <c r="F1" s="2432"/>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33" t="s">
        <v>1531</v>
      </c>
      <c r="B5" s="2434"/>
      <c r="C5" s="2435"/>
      <c r="D5" s="2435"/>
      <c r="E5" s="2435"/>
      <c r="F5" s="2435"/>
      <c r="G5" s="1506"/>
      <c r="L5" s="1506"/>
      <c r="M5" s="1854"/>
      <c r="N5" s="1854"/>
      <c r="O5" s="1854"/>
    </row>
    <row r="6" spans="1:15" ht="12" customHeight="1" x14ac:dyDescent="0.25">
      <c r="A6" s="1479"/>
      <c r="B6" s="1480"/>
      <c r="C6" s="2436" t="str">
        <f>COVER!A17</f>
        <v xml:space="preserve"> Patoka CUSD 100</v>
      </c>
      <c r="D6" s="2436"/>
      <c r="E6" s="2436"/>
      <c r="F6" s="1481"/>
      <c r="G6" s="1506"/>
      <c r="L6" s="1506"/>
      <c r="M6" s="1854"/>
      <c r="N6" s="1854"/>
      <c r="O6" s="1854"/>
    </row>
    <row r="7" spans="1:15" ht="11.25" customHeight="1" thickBot="1" x14ac:dyDescent="0.3">
      <c r="A7" s="1479"/>
      <c r="B7" s="1480"/>
      <c r="C7" s="2437">
        <f>COVER!A13</f>
        <v>13058100026</v>
      </c>
      <c r="D7" s="2437"/>
      <c r="E7" s="2437"/>
      <c r="F7" s="1481"/>
      <c r="G7" s="1506"/>
      <c r="L7" s="1506"/>
      <c r="M7" s="1854"/>
      <c r="N7" s="1854"/>
      <c r="O7" s="1854"/>
    </row>
    <row r="8" spans="1:15" ht="25.5" customHeight="1" thickBot="1" x14ac:dyDescent="0.25">
      <c r="A8" s="1518" t="s">
        <v>1876</v>
      </c>
      <c r="B8" s="1482"/>
      <c r="C8" s="1514" t="s">
        <v>1664</v>
      </c>
      <c r="D8" s="1513" t="s">
        <v>1665</v>
      </c>
      <c r="E8" s="1515" t="s">
        <v>1365</v>
      </c>
      <c r="F8" s="1513" t="s">
        <v>1666</v>
      </c>
      <c r="G8" s="1506"/>
      <c r="H8" s="1483" t="b">
        <v>0</v>
      </c>
      <c r="L8" s="1506"/>
      <c r="M8" s="1854"/>
      <c r="N8" s="1854"/>
      <c r="O8" s="1854"/>
    </row>
    <row r="9" spans="1:15" ht="15.75" customHeight="1" x14ac:dyDescent="0.2">
      <c r="A9" s="1484" t="s">
        <v>1527</v>
      </c>
      <c r="B9" s="1485"/>
      <c r="C9" s="1486"/>
      <c r="D9" s="1486"/>
      <c r="E9" s="1487"/>
      <c r="F9" s="1488"/>
      <c r="G9" s="1506"/>
      <c r="L9" s="1506"/>
      <c r="M9" s="1854"/>
      <c r="N9" s="1854"/>
      <c r="O9" s="1854"/>
    </row>
    <row r="10" spans="1:15" ht="27.75" customHeight="1" x14ac:dyDescent="0.2">
      <c r="A10" s="1489" t="s">
        <v>1663</v>
      </c>
      <c r="B10" s="1490"/>
      <c r="C10" s="1491"/>
      <c r="D10" s="1491"/>
      <c r="E10" s="1516" t="s">
        <v>1366</v>
      </c>
      <c r="F10" s="1517" t="s">
        <v>1367</v>
      </c>
      <c r="G10" s="1506"/>
      <c r="L10" s="1506"/>
      <c r="M10" s="1854"/>
      <c r="N10" s="1854"/>
      <c r="O10" s="1854"/>
    </row>
    <row r="11" spans="1:15" ht="12" customHeight="1" x14ac:dyDescent="0.2">
      <c r="A11" s="1492" t="s">
        <v>1368</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1369</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1370</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1371</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1372</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1373</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1374</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1375</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1512</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1513</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1514</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1515</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1516</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1517</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1518</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1519</v>
      </c>
      <c r="B26" s="1493"/>
      <c r="C26" s="1494" t="s">
        <v>2031</v>
      </c>
      <c r="D26" s="1494" t="s">
        <v>2031</v>
      </c>
      <c r="E26" s="1497" t="s">
        <v>2031</v>
      </c>
      <c r="F26" s="1496" t="s">
        <v>2052</v>
      </c>
      <c r="G26" s="1506"/>
      <c r="H26" s="1506">
        <f t="shared" si="0"/>
        <v>5</v>
      </c>
      <c r="I26" s="1506">
        <f t="shared" si="1"/>
        <v>5</v>
      </c>
      <c r="J26" s="1506">
        <f t="shared" si="2"/>
        <v>5</v>
      </c>
      <c r="L26" s="1506"/>
      <c r="M26" s="1854"/>
      <c r="N26" s="1854"/>
      <c r="O26" s="1854"/>
    </row>
    <row r="27" spans="1:15" ht="18.75" x14ac:dyDescent="0.2">
      <c r="A27" s="1492" t="s">
        <v>1520</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1521</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1522</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1523</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1524</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1525</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1526</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1377</v>
      </c>
      <c r="B35" s="1500"/>
      <c r="C35" s="2438"/>
      <c r="D35" s="2438"/>
      <c r="E35" s="2438"/>
      <c r="F35" s="2439"/>
    </row>
    <row r="36" spans="1:15" ht="12" customHeight="1" x14ac:dyDescent="0.2">
      <c r="A36" s="2421"/>
      <c r="B36" s="2422"/>
      <c r="C36" s="2422"/>
      <c r="D36" s="2422"/>
      <c r="E36" s="2422"/>
      <c r="F36" s="2423"/>
    </row>
    <row r="37" spans="1:15" ht="12" customHeight="1" x14ac:dyDescent="0.2">
      <c r="A37" s="2421"/>
      <c r="B37" s="2422"/>
      <c r="C37" s="2422"/>
      <c r="D37" s="2422"/>
      <c r="E37" s="2422"/>
      <c r="F37" s="2423"/>
    </row>
    <row r="38" spans="1:15" ht="12" customHeight="1" x14ac:dyDescent="0.2">
      <c r="A38" s="2424"/>
      <c r="B38" s="2425"/>
      <c r="C38" s="2425"/>
      <c r="D38" s="2425"/>
      <c r="E38" s="2425"/>
      <c r="F38" s="2426"/>
    </row>
    <row r="39" spans="1:15" ht="4.5" hidden="1" customHeight="1" x14ac:dyDescent="0.2">
      <c r="A39" s="1501"/>
      <c r="B39" s="1501"/>
      <c r="C39" s="1501"/>
      <c r="D39" s="1501"/>
      <c r="E39" s="1501"/>
      <c r="F39" s="1501"/>
    </row>
    <row r="40" spans="1:15" s="1498" customFormat="1" ht="12" customHeight="1" x14ac:dyDescent="0.25">
      <c r="A40" s="1502" t="s">
        <v>1376</v>
      </c>
      <c r="B40" s="1503"/>
      <c r="C40" s="2427"/>
      <c r="D40" s="2427"/>
      <c r="E40" s="2427"/>
      <c r="F40" s="2428"/>
      <c r="H40" s="1507"/>
      <c r="I40" s="1507"/>
      <c r="J40" s="1507"/>
      <c r="K40" s="1507"/>
    </row>
    <row r="41" spans="1:15" s="1498" customFormat="1" ht="12" customHeight="1" x14ac:dyDescent="0.25">
      <c r="A41" s="2429"/>
      <c r="B41" s="2430"/>
      <c r="C41" s="2430"/>
      <c r="D41" s="2430"/>
      <c r="E41" s="2430"/>
      <c r="F41" s="2431"/>
      <c r="H41" s="1507"/>
      <c r="I41" s="1507"/>
      <c r="J41" s="1507"/>
      <c r="K41" s="1507"/>
    </row>
    <row r="42" spans="1:15" s="1498" customFormat="1" ht="12" customHeight="1" x14ac:dyDescent="0.25">
      <c r="A42" s="2429"/>
      <c r="B42" s="2430"/>
      <c r="C42" s="2430"/>
      <c r="D42" s="2430"/>
      <c r="E42" s="2430"/>
      <c r="F42" s="2431"/>
      <c r="H42" s="1507"/>
      <c r="I42" s="1507"/>
      <c r="J42" s="1507"/>
      <c r="K42" s="1507"/>
    </row>
    <row r="43" spans="1:15" s="1498" customFormat="1" ht="15" x14ac:dyDescent="0.25">
      <c r="A43" s="2418"/>
      <c r="B43" s="2419"/>
      <c r="C43" s="2419"/>
      <c r="D43" s="2419"/>
      <c r="E43" s="2419"/>
      <c r="F43" s="2420"/>
      <c r="H43" s="1507"/>
      <c r="I43" s="1507"/>
      <c r="J43" s="1507"/>
      <c r="K43" s="1507"/>
    </row>
    <row r="44" spans="1:15" s="1498" customFormat="1" ht="12" hidden="1" customHeight="1" x14ac:dyDescent="0.25">
      <c r="A44" s="2418"/>
      <c r="B44" s="2419"/>
      <c r="C44" s="2419"/>
      <c r="D44" s="2419"/>
      <c r="E44" s="2419"/>
      <c r="F44" s="242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zoomScaleNormal="100" workbookViewId="0">
      <selection activeCell="F15" sqref="F15"/>
    </sheetView>
  </sheetViews>
  <sheetFormatPr defaultColWidth="8.85546875" defaultRowHeight="15" x14ac:dyDescent="0.25"/>
  <cols>
    <col min="1" max="1" width="2.7109375" style="1944" customWidth="1"/>
    <col min="2" max="2" width="3" style="1944" customWidth="1"/>
    <col min="3" max="3" width="38" style="1944" customWidth="1"/>
    <col min="4" max="4" width="7.7109375" style="1944" customWidth="1"/>
    <col min="5" max="5" width="10.7109375" style="1944" customWidth="1"/>
    <col min="6" max="6" width="11" style="1944" customWidth="1"/>
    <col min="7" max="8" width="8.85546875" style="1944"/>
    <col min="9" max="9" width="10.85546875" style="1944" customWidth="1"/>
    <col min="10" max="10" width="12.42578125" style="1944" customWidth="1"/>
    <col min="11" max="11" width="8.85546875" style="1944"/>
    <col min="12" max="12" width="13.140625" style="1944" customWidth="1"/>
    <col min="13" max="13" width="8.85546875" style="1944"/>
    <col min="14" max="14" width="17.85546875" style="1944" customWidth="1"/>
    <col min="15" max="16384" width="8.85546875" style="1944"/>
  </cols>
  <sheetData>
    <row r="1" spans="1:14" x14ac:dyDescent="0.25">
      <c r="A1" s="2057"/>
      <c r="B1" s="2054"/>
      <c r="C1" s="2054"/>
      <c r="D1" s="2054"/>
      <c r="E1" s="2054"/>
      <c r="F1" s="2054"/>
      <c r="G1" s="2056" t="s">
        <v>401</v>
      </c>
      <c r="H1" s="2055"/>
      <c r="I1" s="2054"/>
      <c r="J1" s="2054"/>
      <c r="K1" s="2054"/>
      <c r="L1" s="2054"/>
      <c r="M1" s="2054"/>
      <c r="N1" s="2053"/>
    </row>
    <row r="2" spans="1:14" x14ac:dyDescent="0.25">
      <c r="A2" s="1988"/>
      <c r="B2" s="838"/>
      <c r="C2" s="838"/>
      <c r="D2" s="838"/>
      <c r="E2" s="838"/>
      <c r="F2" s="838"/>
      <c r="G2" s="2049" t="s">
        <v>2004</v>
      </c>
      <c r="H2" s="2052"/>
      <c r="I2" s="838"/>
      <c r="J2" s="838"/>
      <c r="K2" s="838"/>
      <c r="L2" s="838"/>
      <c r="M2" s="838"/>
      <c r="N2" s="1986"/>
    </row>
    <row r="3" spans="1:14" x14ac:dyDescent="0.25">
      <c r="A3" s="1988"/>
      <c r="B3" s="838"/>
      <c r="C3" s="838"/>
      <c r="D3" s="838"/>
      <c r="E3" s="838"/>
      <c r="F3" s="838"/>
      <c r="G3" s="2049" t="s">
        <v>402</v>
      </c>
      <c r="H3" s="838"/>
      <c r="I3" s="838"/>
      <c r="J3" s="838"/>
      <c r="K3" s="838"/>
      <c r="L3" s="838"/>
      <c r="M3" s="838"/>
      <c r="N3" s="1986"/>
    </row>
    <row r="4" spans="1:14" x14ac:dyDescent="0.25">
      <c r="A4" s="1988"/>
      <c r="B4" s="838"/>
      <c r="C4" s="838"/>
      <c r="D4" s="838"/>
      <c r="E4" s="838"/>
      <c r="F4" s="838"/>
      <c r="G4" s="2049" t="s">
        <v>862</v>
      </c>
      <c r="H4" s="838"/>
      <c r="I4" s="838"/>
      <c r="J4" s="838"/>
      <c r="K4" s="838"/>
      <c r="L4" s="838"/>
      <c r="M4" s="838"/>
      <c r="N4" s="1986"/>
    </row>
    <row r="5" spans="1:14" x14ac:dyDescent="0.25">
      <c r="A5" s="1988"/>
      <c r="B5" s="838"/>
      <c r="C5" s="838"/>
      <c r="D5" s="838"/>
      <c r="E5" s="838"/>
      <c r="F5" s="2049"/>
      <c r="G5" s="2049"/>
      <c r="H5" s="838"/>
      <c r="I5" s="838"/>
      <c r="J5" s="838"/>
      <c r="K5" s="838"/>
      <c r="L5" s="838"/>
      <c r="M5" s="838"/>
      <c r="N5" s="1986"/>
    </row>
    <row r="6" spans="1:14" x14ac:dyDescent="0.25">
      <c r="A6" s="2051" t="s">
        <v>666</v>
      </c>
      <c r="B6" s="1376"/>
      <c r="C6" s="1376"/>
      <c r="D6" s="1376"/>
      <c r="E6" s="1377"/>
      <c r="F6" s="2050"/>
      <c r="G6" s="2049"/>
      <c r="H6" s="838"/>
      <c r="I6" s="1975" t="s">
        <v>1020</v>
      </c>
      <c r="J6" s="2483" t="str">
        <f>COVER!A17</f>
        <v xml:space="preserve"> Patoka CUSD 100</v>
      </c>
      <c r="K6" s="2483"/>
      <c r="L6" s="2484"/>
      <c r="M6" s="838"/>
      <c r="N6" s="1986"/>
    </row>
    <row r="7" spans="1:14" x14ac:dyDescent="0.25">
      <c r="A7" s="2485" t="s">
        <v>863</v>
      </c>
      <c r="B7" s="2486"/>
      <c r="C7" s="2486"/>
      <c r="D7" s="2486"/>
      <c r="E7" s="2487"/>
      <c r="F7" s="839"/>
      <c r="G7" s="838"/>
      <c r="H7" s="838"/>
      <c r="I7" s="1975" t="s">
        <v>368</v>
      </c>
      <c r="J7" s="2488">
        <f>COVER!A13</f>
        <v>13058100026</v>
      </c>
      <c r="K7" s="2488"/>
      <c r="L7" s="2488"/>
      <c r="M7" s="838"/>
      <c r="N7" s="1986"/>
    </row>
    <row r="8" spans="1:14" x14ac:dyDescent="0.25">
      <c r="A8" s="2048"/>
      <c r="B8" s="2047"/>
      <c r="C8" s="2047"/>
      <c r="D8" s="2047"/>
      <c r="E8" s="2046"/>
      <c r="F8" s="2045"/>
      <c r="G8" s="1911"/>
      <c r="H8" s="1911"/>
      <c r="I8" s="1911"/>
      <c r="J8" s="1911"/>
      <c r="K8" s="1911"/>
      <c r="L8" s="1911"/>
      <c r="M8" s="838"/>
      <c r="N8" s="1986"/>
    </row>
    <row r="9" spans="1:14" x14ac:dyDescent="0.25">
      <c r="A9" s="2044"/>
      <c r="B9" s="840"/>
      <c r="C9" s="840"/>
      <c r="D9" s="841"/>
      <c r="E9" s="2043" t="s">
        <v>2102</v>
      </c>
      <c r="F9" s="1856"/>
      <c r="G9" s="1856"/>
      <c r="H9" s="1856"/>
      <c r="I9" s="2042" t="s">
        <v>2101</v>
      </c>
      <c r="J9" s="1856"/>
      <c r="K9" s="1856"/>
      <c r="L9" s="1857"/>
      <c r="M9" s="838"/>
      <c r="N9" s="1986"/>
    </row>
    <row r="10" spans="1:14" x14ac:dyDescent="0.25">
      <c r="A10" s="2041"/>
      <c r="B10" s="2040"/>
      <c r="C10" s="2039"/>
      <c r="D10" s="2038"/>
      <c r="E10" s="2037" t="s">
        <v>421</v>
      </c>
      <c r="F10" s="2034" t="s">
        <v>422</v>
      </c>
      <c r="G10" s="2035" t="s">
        <v>428</v>
      </c>
      <c r="H10" s="2036"/>
      <c r="I10" s="2034" t="s">
        <v>421</v>
      </c>
      <c r="J10" s="2034" t="s">
        <v>422</v>
      </c>
      <c r="K10" s="2035" t="s">
        <v>428</v>
      </c>
      <c r="L10" s="2034"/>
      <c r="M10" s="838"/>
      <c r="N10" s="1986"/>
    </row>
    <row r="11" spans="1:14" ht="51" x14ac:dyDescent="0.25">
      <c r="A11" s="2489" t="s">
        <v>477</v>
      </c>
      <c r="B11" s="2490"/>
      <c r="C11" s="2491"/>
      <c r="D11" s="2033" t="s">
        <v>865</v>
      </c>
      <c r="E11" s="2033" t="s">
        <v>64</v>
      </c>
      <c r="F11" s="2033" t="s">
        <v>6</v>
      </c>
      <c r="G11" s="2032" t="s">
        <v>2100</v>
      </c>
      <c r="H11" s="2031" t="s">
        <v>155</v>
      </c>
      <c r="I11" s="2033" t="s">
        <v>64</v>
      </c>
      <c r="J11" s="2033" t="s">
        <v>6</v>
      </c>
      <c r="K11" s="2032" t="s">
        <v>2003</v>
      </c>
      <c r="L11" s="2031" t="s">
        <v>155</v>
      </c>
      <c r="M11" s="838"/>
      <c r="N11" s="1986"/>
    </row>
    <row r="12" spans="1:14" x14ac:dyDescent="0.25">
      <c r="A12" s="2016">
        <v>1</v>
      </c>
      <c r="B12" s="2029" t="s">
        <v>812</v>
      </c>
      <c r="C12" s="842"/>
      <c r="D12" s="2028">
        <v>2320</v>
      </c>
      <c r="E12" s="2027">
        <f>+'Expenditures 15-22'!K50</f>
        <v>136491</v>
      </c>
      <c r="F12" s="2025"/>
      <c r="G12" s="2026">
        <f>G68</f>
        <v>13276</v>
      </c>
      <c r="H12" s="2020">
        <f t="shared" ref="H12:H18" si="0">SUM(E12:G12)</f>
        <v>149767</v>
      </c>
      <c r="I12" s="2021"/>
      <c r="J12" s="2025"/>
      <c r="K12" s="2021"/>
      <c r="L12" s="2020">
        <f t="shared" ref="L12:L18" si="1">SUM(I12:K12)</f>
        <v>0</v>
      </c>
      <c r="M12" s="838"/>
      <c r="N12" s="1986"/>
    </row>
    <row r="13" spans="1:14" x14ac:dyDescent="0.25">
      <c r="A13" s="2016">
        <v>2</v>
      </c>
      <c r="B13" s="2029" t="s">
        <v>42</v>
      </c>
      <c r="C13" s="842"/>
      <c r="D13" s="2028">
        <v>2330</v>
      </c>
      <c r="E13" s="2027">
        <f>+'Expenditures 15-22'!K51</f>
        <v>0</v>
      </c>
      <c r="F13" s="2025"/>
      <c r="G13" s="2026">
        <f>H68</f>
        <v>0</v>
      </c>
      <c r="H13" s="2020">
        <f t="shared" si="0"/>
        <v>0</v>
      </c>
      <c r="I13" s="2021"/>
      <c r="J13" s="2025"/>
      <c r="K13" s="2021"/>
      <c r="L13" s="2020">
        <f t="shared" si="1"/>
        <v>0</v>
      </c>
      <c r="M13" s="838"/>
      <c r="N13" s="1986"/>
    </row>
    <row r="14" spans="1:14" x14ac:dyDescent="0.25">
      <c r="A14" s="2016">
        <v>3</v>
      </c>
      <c r="B14" s="2029" t="s">
        <v>43</v>
      </c>
      <c r="C14" s="842"/>
      <c r="D14" s="2030">
        <v>2490</v>
      </c>
      <c r="E14" s="2027">
        <f>+'Expenditures 15-22'!K56</f>
        <v>0</v>
      </c>
      <c r="F14" s="2025"/>
      <c r="G14" s="2026">
        <f>I68</f>
        <v>0</v>
      </c>
      <c r="H14" s="2020">
        <f t="shared" si="0"/>
        <v>0</v>
      </c>
      <c r="I14" s="2021"/>
      <c r="J14" s="2025"/>
      <c r="K14" s="2021"/>
      <c r="L14" s="2020">
        <f t="shared" si="1"/>
        <v>0</v>
      </c>
      <c r="M14" s="838"/>
      <c r="N14" s="1986"/>
    </row>
    <row r="15" spans="1:14" x14ac:dyDescent="0.25">
      <c r="A15" s="2016">
        <v>4</v>
      </c>
      <c r="B15" s="2029" t="s">
        <v>1060</v>
      </c>
      <c r="C15" s="842"/>
      <c r="D15" s="2028">
        <v>2510</v>
      </c>
      <c r="E15" s="2027">
        <f>+'Expenditures 15-22'!K59</f>
        <v>0</v>
      </c>
      <c r="F15" s="2027">
        <f>+'Expenditures 15-22'!K122</f>
        <v>0</v>
      </c>
      <c r="G15" s="2026">
        <f>J68</f>
        <v>0</v>
      </c>
      <c r="H15" s="2020">
        <f t="shared" si="0"/>
        <v>0</v>
      </c>
      <c r="I15" s="2021"/>
      <c r="J15" s="2021"/>
      <c r="K15" s="2021"/>
      <c r="L15" s="2020">
        <f t="shared" si="1"/>
        <v>0</v>
      </c>
      <c r="M15" s="838"/>
      <c r="N15" s="1986"/>
    </row>
    <row r="16" spans="1:14" x14ac:dyDescent="0.25">
      <c r="A16" s="2016">
        <v>5</v>
      </c>
      <c r="B16" s="2029" t="s">
        <v>101</v>
      </c>
      <c r="C16" s="842"/>
      <c r="D16" s="2028">
        <v>2570</v>
      </c>
      <c r="E16" s="2027">
        <f>+'Expenditures 15-22'!K64</f>
        <v>0</v>
      </c>
      <c r="F16" s="2025"/>
      <c r="G16" s="2026">
        <f>K68</f>
        <v>0</v>
      </c>
      <c r="H16" s="2020">
        <f t="shared" si="0"/>
        <v>0</v>
      </c>
      <c r="I16" s="2021"/>
      <c r="J16" s="2025"/>
      <c r="K16" s="2021"/>
      <c r="L16" s="2020">
        <f t="shared" si="1"/>
        <v>0</v>
      </c>
      <c r="M16" s="838"/>
      <c r="N16" s="1986"/>
    </row>
    <row r="17" spans="1:14" x14ac:dyDescent="0.25">
      <c r="A17" s="2016">
        <v>6</v>
      </c>
      <c r="B17" s="2029" t="s">
        <v>1052</v>
      </c>
      <c r="C17" s="842"/>
      <c r="D17" s="2028">
        <v>2610</v>
      </c>
      <c r="E17" s="2027">
        <f>+'Expenditures 15-22'!K67</f>
        <v>0</v>
      </c>
      <c r="F17" s="2025"/>
      <c r="G17" s="2026">
        <f>L68</f>
        <v>0</v>
      </c>
      <c r="H17" s="2020">
        <f t="shared" si="0"/>
        <v>0</v>
      </c>
      <c r="I17" s="2021"/>
      <c r="J17" s="2025"/>
      <c r="K17" s="2021"/>
      <c r="L17" s="2020">
        <f t="shared" si="1"/>
        <v>0</v>
      </c>
      <c r="M17" s="838"/>
      <c r="N17" s="1986"/>
    </row>
    <row r="18" spans="1:14" ht="28.5" customHeight="1" x14ac:dyDescent="0.25">
      <c r="A18" s="2024">
        <v>7</v>
      </c>
      <c r="B18" s="2492" t="s">
        <v>7</v>
      </c>
      <c r="C18" s="2493"/>
      <c r="D18" s="2494"/>
      <c r="E18" s="2023"/>
      <c r="F18" s="2023"/>
      <c r="G18" s="2021"/>
      <c r="H18" s="2022">
        <f t="shared" si="0"/>
        <v>0</v>
      </c>
      <c r="I18" s="2021"/>
      <c r="J18" s="2021"/>
      <c r="K18" s="2021"/>
      <c r="L18" s="2020">
        <f t="shared" si="1"/>
        <v>0</v>
      </c>
      <c r="M18" s="838"/>
      <c r="N18" s="1986"/>
    </row>
    <row r="19" spans="1:14" ht="15.75" thickBot="1" x14ac:dyDescent="0.3">
      <c r="A19" s="2016">
        <v>8</v>
      </c>
      <c r="B19" s="2019" t="s">
        <v>1152</v>
      </c>
      <c r="C19" s="838"/>
      <c r="D19" s="2018"/>
      <c r="E19" s="2017">
        <f t="shared" ref="E19:L19" si="2">SUM(E12:E17)-E18</f>
        <v>136491</v>
      </c>
      <c r="F19" s="2017">
        <f t="shared" si="2"/>
        <v>0</v>
      </c>
      <c r="G19" s="2017">
        <f t="shared" si="2"/>
        <v>13276</v>
      </c>
      <c r="H19" s="2017">
        <f t="shared" si="2"/>
        <v>149767</v>
      </c>
      <c r="I19" s="2017">
        <f t="shared" si="2"/>
        <v>0</v>
      </c>
      <c r="J19" s="2017">
        <f t="shared" si="2"/>
        <v>0</v>
      </c>
      <c r="K19" s="2017">
        <f t="shared" si="2"/>
        <v>0</v>
      </c>
      <c r="L19" s="2017">
        <f t="shared" si="2"/>
        <v>0</v>
      </c>
      <c r="M19" s="838"/>
      <c r="N19" s="1986"/>
    </row>
    <row r="20" spans="1:14" ht="15.75" thickTop="1" x14ac:dyDescent="0.25">
      <c r="A20" s="2016">
        <v>9</v>
      </c>
      <c r="B20" s="2477" t="s">
        <v>2099</v>
      </c>
      <c r="C20" s="2477"/>
      <c r="D20" s="2478"/>
      <c r="E20" s="2015"/>
      <c r="F20" s="2015"/>
      <c r="G20" s="2015"/>
      <c r="H20" s="2015"/>
      <c r="I20" s="2015"/>
      <c r="J20" s="2015"/>
      <c r="K20" s="2015"/>
      <c r="L20" s="2014" t="str">
        <f>IF(AND(H19&gt;0,L19&gt;0),(((L19-H19)/H19)),"Enter Budget Data")</f>
        <v>Enter Budget Data</v>
      </c>
      <c r="M20" s="838"/>
      <c r="N20" s="1986"/>
    </row>
    <row r="21" spans="1:14" x14ac:dyDescent="0.25">
      <c r="A21" s="2013" t="s">
        <v>194</v>
      </c>
      <c r="B21" s="2012" t="s">
        <v>2098</v>
      </c>
      <c r="C21" s="838"/>
      <c r="D21" s="1998"/>
      <c r="E21" s="1997"/>
      <c r="F21" s="2011"/>
      <c r="G21" s="2011"/>
      <c r="H21" s="2011"/>
      <c r="I21" s="2011"/>
      <c r="J21" s="2011"/>
      <c r="K21" s="2011"/>
      <c r="L21" s="2010"/>
      <c r="M21" s="838"/>
      <c r="N21" s="1986"/>
    </row>
    <row r="22" spans="1:14" x14ac:dyDescent="0.25">
      <c r="A22" s="1988"/>
      <c r="B22" s="2000"/>
      <c r="C22" s="838"/>
      <c r="D22" s="838"/>
      <c r="E22" s="838"/>
      <c r="F22" s="838"/>
      <c r="G22" s="838"/>
      <c r="H22" s="838"/>
      <c r="I22" s="838"/>
      <c r="J22" s="838"/>
      <c r="K22" s="838"/>
      <c r="L22" s="838"/>
      <c r="M22" s="838"/>
      <c r="N22" s="1986"/>
    </row>
    <row r="23" spans="1:14" x14ac:dyDescent="0.25">
      <c r="A23" s="2009" t="s">
        <v>132</v>
      </c>
      <c r="B23" s="2000"/>
      <c r="C23" s="838"/>
      <c r="D23" s="838"/>
      <c r="E23" s="838"/>
      <c r="F23" s="838"/>
      <c r="G23" s="838"/>
      <c r="H23" s="838"/>
      <c r="I23" s="838"/>
      <c r="J23" s="838"/>
      <c r="K23" s="838"/>
      <c r="L23" s="838"/>
      <c r="M23" s="838"/>
      <c r="N23" s="1986"/>
    </row>
    <row r="24" spans="1:14" x14ac:dyDescent="0.25">
      <c r="A24" s="2008" t="s">
        <v>2097</v>
      </c>
      <c r="B24" s="2007"/>
      <c r="C24" s="2006"/>
      <c r="D24" s="2006"/>
      <c r="E24" s="2006"/>
      <c r="F24" s="2006"/>
      <c r="G24" s="2006"/>
      <c r="H24" s="2006"/>
      <c r="I24" s="2006"/>
      <c r="J24" s="2006"/>
      <c r="K24" s="2006"/>
      <c r="L24" s="838"/>
      <c r="M24" s="838"/>
      <c r="N24" s="1986"/>
    </row>
    <row r="25" spans="1:14" x14ac:dyDescent="0.25">
      <c r="A25" s="2008" t="s">
        <v>2096</v>
      </c>
      <c r="B25" s="2007"/>
      <c r="C25" s="2006"/>
      <c r="D25" s="2006"/>
      <c r="E25" s="2006"/>
      <c r="F25" s="2006"/>
      <c r="G25" s="2006"/>
      <c r="H25" s="2006"/>
      <c r="I25" s="2006"/>
      <c r="J25" s="2006"/>
      <c r="K25" s="2006"/>
      <c r="L25" s="838"/>
      <c r="M25" s="838"/>
      <c r="N25" s="1986"/>
    </row>
    <row r="26" spans="1:14" x14ac:dyDescent="0.25">
      <c r="A26" s="2005"/>
      <c r="B26" s="2000"/>
      <c r="C26" s="838"/>
      <c r="D26" s="838"/>
      <c r="E26" s="838"/>
      <c r="F26" s="838"/>
      <c r="G26" s="838"/>
      <c r="H26" s="838"/>
      <c r="I26" s="838"/>
      <c r="J26" s="838"/>
      <c r="K26" s="838"/>
      <c r="L26" s="838"/>
      <c r="M26" s="838"/>
      <c r="N26" s="1986"/>
    </row>
    <row r="27" spans="1:14" x14ac:dyDescent="0.25">
      <c r="A27" s="1988"/>
      <c r="B27" s="2000"/>
      <c r="C27" s="2479"/>
      <c r="D27" s="2479"/>
      <c r="E27" s="843"/>
      <c r="F27" s="2480"/>
      <c r="G27" s="2480"/>
      <c r="H27" s="2480"/>
      <c r="I27" s="838"/>
      <c r="J27" s="838"/>
      <c r="K27" s="838"/>
      <c r="L27" s="838"/>
      <c r="M27" s="838"/>
      <c r="N27" s="1986"/>
    </row>
    <row r="28" spans="1:14" x14ac:dyDescent="0.25">
      <c r="A28" s="1988"/>
      <c r="B28" s="2000"/>
      <c r="C28" s="2004" t="s">
        <v>1025</v>
      </c>
      <c r="D28" s="844"/>
      <c r="E28" s="2003"/>
      <c r="F28" s="2481" t="s">
        <v>1494</v>
      </c>
      <c r="G28" s="2481"/>
      <c r="H28" s="2481"/>
      <c r="I28" s="838"/>
      <c r="J28" s="838"/>
      <c r="K28" s="838"/>
      <c r="L28" s="838"/>
      <c r="M28" s="838"/>
      <c r="N28" s="1986"/>
    </row>
    <row r="29" spans="1:14" x14ac:dyDescent="0.25">
      <c r="A29" s="1988"/>
      <c r="B29" s="2000"/>
      <c r="C29" s="2482"/>
      <c r="D29" s="2482"/>
      <c r="E29" s="845"/>
      <c r="F29" s="2482"/>
      <c r="G29" s="2482"/>
      <c r="H29" s="2482"/>
      <c r="I29" s="838"/>
      <c r="J29" s="838"/>
      <c r="K29" s="838"/>
      <c r="L29" s="838"/>
      <c r="M29" s="838"/>
      <c r="N29" s="1986"/>
    </row>
    <row r="30" spans="1:14" x14ac:dyDescent="0.25">
      <c r="A30" s="1988"/>
      <c r="B30" s="2000"/>
      <c r="C30" s="2002" t="s">
        <v>1546</v>
      </c>
      <c r="D30" s="838"/>
      <c r="E30" s="2001"/>
      <c r="F30" s="2472" t="s">
        <v>1495</v>
      </c>
      <c r="G30" s="2472"/>
      <c r="H30" s="2472"/>
      <c r="I30" s="838"/>
      <c r="J30" s="838"/>
      <c r="K30" s="838"/>
      <c r="L30" s="838"/>
      <c r="M30" s="838"/>
      <c r="N30" s="1986"/>
    </row>
    <row r="31" spans="1:14" x14ac:dyDescent="0.25">
      <c r="A31" s="1988"/>
      <c r="B31" s="2000"/>
      <c r="C31" s="1999"/>
      <c r="D31" s="838"/>
      <c r="E31" s="1998"/>
      <c r="F31" s="1997"/>
      <c r="G31" s="1997"/>
      <c r="H31" s="1997"/>
      <c r="I31" s="838"/>
      <c r="J31" s="838"/>
      <c r="K31" s="838"/>
      <c r="L31" s="838"/>
      <c r="M31" s="838"/>
      <c r="N31" s="1986"/>
    </row>
    <row r="32" spans="1:14" x14ac:dyDescent="0.25">
      <c r="A32" s="1988"/>
      <c r="B32" s="1996" t="s">
        <v>1026</v>
      </c>
      <c r="C32" s="838"/>
      <c r="D32" s="838"/>
      <c r="E32" s="838"/>
      <c r="F32" s="838"/>
      <c r="G32" s="838"/>
      <c r="H32" s="838"/>
      <c r="I32" s="838"/>
      <c r="J32" s="838"/>
      <c r="K32" s="838"/>
      <c r="L32" s="838"/>
      <c r="M32" s="838"/>
      <c r="N32" s="1986"/>
    </row>
    <row r="33" spans="1:14" x14ac:dyDescent="0.25">
      <c r="A33" s="1988"/>
      <c r="B33" s="1995"/>
      <c r="C33" s="838"/>
      <c r="D33" s="838"/>
      <c r="E33" s="838"/>
      <c r="F33" s="838"/>
      <c r="G33" s="838"/>
      <c r="H33" s="838"/>
      <c r="I33" s="838"/>
      <c r="J33" s="838"/>
      <c r="K33" s="838"/>
      <c r="L33" s="838"/>
      <c r="M33" s="838"/>
      <c r="N33" s="1986"/>
    </row>
    <row r="34" spans="1:14" x14ac:dyDescent="0.25">
      <c r="A34" s="1988"/>
      <c r="B34" s="846"/>
      <c r="C34" s="2473" t="s">
        <v>2095</v>
      </c>
      <c r="D34" s="2474"/>
      <c r="E34" s="2474"/>
      <c r="F34" s="2474"/>
      <c r="G34" s="2474"/>
      <c r="H34" s="2474"/>
      <c r="I34" s="2474"/>
      <c r="J34" s="2474"/>
      <c r="K34" s="1994"/>
      <c r="L34" s="838"/>
      <c r="M34" s="838"/>
      <c r="N34" s="1986"/>
    </row>
    <row r="35" spans="1:14" x14ac:dyDescent="0.25">
      <c r="A35" s="1988"/>
      <c r="B35" s="838"/>
      <c r="C35" s="2474"/>
      <c r="D35" s="2474"/>
      <c r="E35" s="2474"/>
      <c r="F35" s="2474"/>
      <c r="G35" s="2474"/>
      <c r="H35" s="2474"/>
      <c r="I35" s="2474"/>
      <c r="J35" s="2474"/>
      <c r="K35" s="1994"/>
      <c r="L35" s="838"/>
      <c r="M35" s="838"/>
      <c r="N35" s="1986"/>
    </row>
    <row r="36" spans="1:14" x14ac:dyDescent="0.25">
      <c r="A36" s="1988"/>
      <c r="B36" s="838"/>
      <c r="C36" s="1992"/>
      <c r="D36" s="838"/>
      <c r="E36" s="838"/>
      <c r="F36" s="838"/>
      <c r="G36" s="838"/>
      <c r="H36" s="838"/>
      <c r="I36" s="838"/>
      <c r="J36" s="838"/>
      <c r="K36" s="838"/>
      <c r="L36" s="838"/>
      <c r="M36" s="838"/>
      <c r="N36" s="1986"/>
    </row>
    <row r="37" spans="1:14" x14ac:dyDescent="0.25">
      <c r="A37" s="1988"/>
      <c r="B37" s="846"/>
      <c r="C37" s="2473" t="s">
        <v>2094</v>
      </c>
      <c r="D37" s="2474"/>
      <c r="E37" s="2474"/>
      <c r="F37" s="2474"/>
      <c r="G37" s="2474"/>
      <c r="H37" s="2474"/>
      <c r="I37" s="2474"/>
      <c r="J37" s="2474"/>
      <c r="K37" s="1994"/>
      <c r="L37" s="1993"/>
      <c r="M37" s="838"/>
      <c r="N37" s="1986"/>
    </row>
    <row r="38" spans="1:14" x14ac:dyDescent="0.25">
      <c r="A38" s="1988"/>
      <c r="B38" s="838"/>
      <c r="C38" s="2474"/>
      <c r="D38" s="2474"/>
      <c r="E38" s="2474"/>
      <c r="F38" s="2474"/>
      <c r="G38" s="2474"/>
      <c r="H38" s="2474"/>
      <c r="I38" s="2474"/>
      <c r="J38" s="2474"/>
      <c r="K38" s="1994"/>
      <c r="L38" s="1993"/>
      <c r="M38" s="838"/>
      <c r="N38" s="1986"/>
    </row>
    <row r="39" spans="1:14" x14ac:dyDescent="0.25">
      <c r="A39" s="1988"/>
      <c r="B39" s="838"/>
      <c r="C39" s="1992"/>
      <c r="D39" s="838"/>
      <c r="E39" s="1990"/>
      <c r="F39" s="1991"/>
      <c r="G39" s="1991"/>
      <c r="H39" s="1990"/>
      <c r="I39" s="838"/>
      <c r="J39" s="838"/>
      <c r="K39" s="838"/>
      <c r="L39" s="838"/>
      <c r="M39" s="838"/>
      <c r="N39" s="1986"/>
    </row>
    <row r="40" spans="1:14" x14ac:dyDescent="0.25">
      <c r="A40" s="1988"/>
      <c r="B40" s="846"/>
      <c r="C40" s="2475" t="s">
        <v>2093</v>
      </c>
      <c r="D40" s="2476"/>
      <c r="E40" s="2476"/>
      <c r="F40" s="2476"/>
      <c r="G40" s="2476"/>
      <c r="H40" s="2476"/>
      <c r="I40" s="2476"/>
      <c r="J40" s="2476"/>
      <c r="K40" s="1989"/>
      <c r="L40" s="838"/>
      <c r="M40" s="838"/>
      <c r="N40" s="1986"/>
    </row>
    <row r="41" spans="1:14" x14ac:dyDescent="0.25">
      <c r="A41" s="1988"/>
      <c r="B41" s="838"/>
      <c r="C41" s="1987"/>
      <c r="D41" s="1987"/>
      <c r="E41" s="1987"/>
      <c r="F41" s="1987"/>
      <c r="G41" s="1987"/>
      <c r="H41" s="1987"/>
      <c r="I41" s="1987"/>
      <c r="J41" s="1987"/>
      <c r="K41" s="1987"/>
      <c r="L41" s="838"/>
      <c r="M41" s="838"/>
      <c r="N41" s="1986"/>
    </row>
    <row r="42" spans="1:14" ht="15.75" thickBot="1" x14ac:dyDescent="0.3">
      <c r="A42" s="1985"/>
      <c r="B42" s="1984"/>
      <c r="C42" s="1984"/>
      <c r="D42" s="1984"/>
      <c r="E42" s="1984"/>
      <c r="F42" s="1984"/>
      <c r="G42" s="1984"/>
      <c r="H42" s="1984"/>
      <c r="I42" s="1984"/>
      <c r="J42" s="1984"/>
      <c r="K42" s="1984"/>
      <c r="L42" s="1984"/>
      <c r="M42" s="1984"/>
      <c r="N42" s="1983"/>
    </row>
    <row r="43" spans="1:14" ht="27" thickBot="1" x14ac:dyDescent="0.45">
      <c r="A43" s="2451" t="s">
        <v>2092</v>
      </c>
      <c r="B43" s="2452"/>
      <c r="C43" s="2452"/>
      <c r="D43" s="2452"/>
      <c r="E43" s="2452"/>
      <c r="F43" s="2452"/>
      <c r="G43" s="2452"/>
      <c r="H43" s="2452"/>
      <c r="I43" s="2452"/>
      <c r="J43" s="2452"/>
      <c r="K43" s="2452"/>
      <c r="L43" s="2452"/>
      <c r="M43" s="2452"/>
      <c r="N43" s="2453"/>
    </row>
    <row r="44" spans="1:14" x14ac:dyDescent="0.25">
      <c r="A44" s="1974"/>
      <c r="B44" s="1973"/>
      <c r="C44" s="1973"/>
      <c r="D44" s="1973"/>
      <c r="E44" s="1973"/>
      <c r="F44" s="1973"/>
      <c r="G44" s="1973"/>
      <c r="H44" s="1973"/>
      <c r="I44" s="1973"/>
      <c r="J44" s="1973"/>
      <c r="K44" s="1973"/>
      <c r="L44" s="1973"/>
      <c r="M44" s="1973"/>
      <c r="N44" s="1972"/>
    </row>
    <row r="45" spans="1:14" x14ac:dyDescent="0.25">
      <c r="A45" s="1974" t="s">
        <v>2091</v>
      </c>
      <c r="B45" s="1973"/>
      <c r="C45" s="1973"/>
      <c r="D45" s="1973"/>
      <c r="E45" s="1973"/>
      <c r="F45" s="1973"/>
      <c r="G45" s="1973"/>
      <c r="H45" s="1973"/>
      <c r="I45" s="1973"/>
      <c r="J45" s="1973"/>
      <c r="K45" s="1973"/>
      <c r="L45" s="1973"/>
      <c r="M45" s="1973"/>
      <c r="N45" s="1972"/>
    </row>
    <row r="46" spans="1:14" x14ac:dyDescent="0.25">
      <c r="A46" s="2454" t="s">
        <v>2090</v>
      </c>
      <c r="B46" s="2455"/>
      <c r="C46" s="2455"/>
      <c r="D46" s="2455"/>
      <c r="E46" s="2455"/>
      <c r="F46" s="2455"/>
      <c r="G46" s="2455"/>
      <c r="H46" s="2455"/>
      <c r="I46" s="2455"/>
      <c r="J46" s="2455"/>
      <c r="K46" s="2455"/>
      <c r="L46" s="2455"/>
      <c r="M46" s="2455"/>
      <c r="N46" s="2456"/>
    </row>
    <row r="47" spans="1:14" x14ac:dyDescent="0.25">
      <c r="A47" s="2454"/>
      <c r="B47" s="2455"/>
      <c r="C47" s="2455"/>
      <c r="D47" s="2455"/>
      <c r="E47" s="2455"/>
      <c r="F47" s="2455"/>
      <c r="G47" s="2455"/>
      <c r="H47" s="2455"/>
      <c r="I47" s="2455"/>
      <c r="J47" s="2455"/>
      <c r="K47" s="2455"/>
      <c r="L47" s="2455"/>
      <c r="M47" s="2455"/>
      <c r="N47" s="2456"/>
    </row>
    <row r="48" spans="1:14" x14ac:dyDescent="0.25">
      <c r="A48" s="1982"/>
      <c r="B48" s="1973"/>
      <c r="C48" s="1973"/>
      <c r="D48" s="1981"/>
      <c r="E48" s="1981"/>
      <c r="F48" s="1981"/>
      <c r="G48" s="1981"/>
      <c r="H48" s="1981"/>
      <c r="I48" s="1981"/>
      <c r="J48" s="1981"/>
      <c r="K48" s="1981"/>
      <c r="L48" s="1981"/>
      <c r="M48" s="1981"/>
      <c r="N48" s="1980"/>
    </row>
    <row r="49" spans="1:14" ht="15.75" x14ac:dyDescent="0.25">
      <c r="A49" s="1976" t="s">
        <v>2089</v>
      </c>
      <c r="B49" s="1979"/>
      <c r="C49" s="1979"/>
      <c r="D49" s="1978"/>
      <c r="E49" s="1978"/>
      <c r="F49" s="1978"/>
      <c r="G49" s="1978"/>
      <c r="H49" s="1978"/>
      <c r="I49" s="1978"/>
      <c r="J49" s="1978"/>
      <c r="K49" s="1978"/>
      <c r="L49" s="1978"/>
      <c r="M49" s="1978"/>
      <c r="N49" s="1977"/>
    </row>
    <row r="50" spans="1:14" x14ac:dyDescent="0.25">
      <c r="A50" s="1976" t="s">
        <v>2088</v>
      </c>
      <c r="B50" s="1973"/>
      <c r="C50" s="1973"/>
      <c r="D50" s="1973"/>
      <c r="E50" s="1973"/>
      <c r="F50" s="1973"/>
      <c r="G50" s="1973"/>
      <c r="H50" s="1973"/>
      <c r="I50" s="1973"/>
      <c r="J50" s="1973"/>
      <c r="K50" s="1973"/>
      <c r="L50" s="1973"/>
      <c r="M50" s="1973"/>
      <c r="N50" s="1972"/>
    </row>
    <row r="51" spans="1:14" x14ac:dyDescent="0.25">
      <c r="A51" s="1974"/>
      <c r="B51" s="1973"/>
      <c r="C51" s="1973"/>
      <c r="D51" s="1973"/>
      <c r="E51" s="1973"/>
      <c r="F51" s="1973"/>
      <c r="G51" s="1973"/>
      <c r="H51" s="1973"/>
      <c r="I51" s="1973"/>
      <c r="J51" s="1973"/>
      <c r="K51" s="1973"/>
      <c r="L51" s="1973"/>
      <c r="M51" s="1973"/>
      <c r="N51" s="1972"/>
    </row>
    <row r="52" spans="1:14" x14ac:dyDescent="0.25">
      <c r="A52" s="1974"/>
      <c r="B52" s="1973"/>
      <c r="C52" s="1973"/>
      <c r="D52" s="1973"/>
      <c r="E52" s="1973"/>
      <c r="F52" s="1973"/>
      <c r="G52" s="1973"/>
      <c r="H52" s="1973"/>
      <c r="I52" s="1973"/>
      <c r="J52" s="1973"/>
      <c r="K52" s="1975" t="s">
        <v>1020</v>
      </c>
      <c r="L52" s="2470" t="str">
        <f>J6</f>
        <v xml:space="preserve"> Patoka CUSD 100</v>
      </c>
      <c r="M52" s="2470"/>
      <c r="N52" s="2471"/>
    </row>
    <row r="53" spans="1:14" x14ac:dyDescent="0.25">
      <c r="A53" s="1974"/>
      <c r="B53" s="1973"/>
      <c r="C53" s="1973"/>
      <c r="D53" s="1973"/>
      <c r="E53" s="1973"/>
      <c r="F53" s="1973"/>
      <c r="G53" s="1973"/>
      <c r="H53" s="1973"/>
      <c r="I53" s="1973"/>
      <c r="J53" s="1973"/>
      <c r="K53" s="1975" t="s">
        <v>368</v>
      </c>
      <c r="L53" s="2457">
        <f>J7</f>
        <v>13058100026</v>
      </c>
      <c r="M53" s="2457"/>
      <c r="N53" s="2458"/>
    </row>
    <row r="54" spans="1:14" ht="15.75" thickBot="1" x14ac:dyDescent="0.3">
      <c r="A54" s="1974"/>
      <c r="B54" s="1973"/>
      <c r="C54" s="1973"/>
      <c r="D54" s="1973"/>
      <c r="E54" s="1973"/>
      <c r="F54" s="1973"/>
      <c r="G54" s="1973"/>
      <c r="H54" s="1973"/>
      <c r="I54" s="1973"/>
      <c r="J54" s="1973"/>
      <c r="K54" s="1973"/>
      <c r="L54" s="1973"/>
      <c r="M54" s="1973"/>
      <c r="N54" s="1972"/>
    </row>
    <row r="55" spans="1:14" x14ac:dyDescent="0.25">
      <c r="A55" s="2459"/>
      <c r="B55" s="2460"/>
      <c r="C55" s="2460"/>
      <c r="D55" s="1956"/>
      <c r="E55" s="1956"/>
      <c r="F55" s="1956"/>
      <c r="G55" s="2461" t="s">
        <v>2087</v>
      </c>
      <c r="H55" s="2461"/>
      <c r="I55" s="2461"/>
      <c r="J55" s="2461"/>
      <c r="K55" s="2461"/>
      <c r="L55" s="2461"/>
      <c r="M55" s="2461"/>
      <c r="N55" s="2462"/>
    </row>
    <row r="56" spans="1:14" ht="77.25" x14ac:dyDescent="0.25">
      <c r="A56" s="2463" t="s">
        <v>2086</v>
      </c>
      <c r="B56" s="2464"/>
      <c r="C56" s="2465"/>
      <c r="D56" s="1970" t="s">
        <v>2085</v>
      </c>
      <c r="E56" s="1970" t="s">
        <v>2084</v>
      </c>
      <c r="F56" s="1971"/>
      <c r="G56" s="1970" t="s">
        <v>2083</v>
      </c>
      <c r="H56" s="1970" t="s">
        <v>2082</v>
      </c>
      <c r="I56" s="1970" t="s">
        <v>2081</v>
      </c>
      <c r="J56" s="1970" t="s">
        <v>2080</v>
      </c>
      <c r="K56" s="1970" t="s">
        <v>2079</v>
      </c>
      <c r="L56" s="1970" t="s">
        <v>2078</v>
      </c>
      <c r="M56" s="1970" t="s">
        <v>2077</v>
      </c>
      <c r="N56" s="1969" t="s">
        <v>2076</v>
      </c>
    </row>
    <row r="57" spans="1:14" ht="24" customHeight="1" x14ac:dyDescent="0.25">
      <c r="A57" s="2466" t="s">
        <v>295</v>
      </c>
      <c r="B57" s="2467"/>
      <c r="C57" s="2467"/>
      <c r="D57" s="1968">
        <v>2361</v>
      </c>
      <c r="E57" s="1967">
        <f>+'Expenditures 15-22'!K319</f>
        <v>0</v>
      </c>
      <c r="F57" s="1960"/>
      <c r="G57" s="1966"/>
      <c r="H57" s="1965"/>
      <c r="I57" s="1965"/>
      <c r="J57" s="1965"/>
      <c r="K57" s="1965"/>
      <c r="L57" s="1965"/>
      <c r="M57" s="1965">
        <f>+E57-G57</f>
        <v>0</v>
      </c>
      <c r="N57" s="1957">
        <f t="shared" ref="N57:N67" si="3">IF((SUM(G57:M57))=E57,SUM(G57:M57),"Column N does not agree with Column E")</f>
        <v>0</v>
      </c>
    </row>
    <row r="58" spans="1:14" ht="24.75" customHeight="1" x14ac:dyDescent="0.25">
      <c r="A58" s="2468" t="s">
        <v>2075</v>
      </c>
      <c r="B58" s="2469"/>
      <c r="C58" s="2469"/>
      <c r="D58" s="1964">
        <v>2362</v>
      </c>
      <c r="E58" s="1967">
        <f>+'Expenditures 15-22'!K320</f>
        <v>0</v>
      </c>
      <c r="F58" s="1960"/>
      <c r="G58" s="1963"/>
      <c r="H58" s="1962"/>
      <c r="I58" s="1962"/>
      <c r="J58" s="1962"/>
      <c r="K58" s="1962"/>
      <c r="L58" s="1962"/>
      <c r="M58" s="1965">
        <f t="shared" ref="M58:M67" si="4">+E58-G58</f>
        <v>0</v>
      </c>
      <c r="N58" s="1957">
        <f t="shared" si="3"/>
        <v>0</v>
      </c>
    </row>
    <row r="59" spans="1:14" ht="24.75" customHeight="1" x14ac:dyDescent="0.25">
      <c r="A59" s="2445" t="s">
        <v>296</v>
      </c>
      <c r="B59" s="2446"/>
      <c r="C59" s="2446"/>
      <c r="D59" s="1964">
        <v>2363</v>
      </c>
      <c r="E59" s="1967">
        <f>+'Expenditures 15-22'!K321</f>
        <v>3956</v>
      </c>
      <c r="F59" s="1960"/>
      <c r="G59" s="1963"/>
      <c r="H59" s="1962"/>
      <c r="I59" s="1962"/>
      <c r="J59" s="1962"/>
      <c r="K59" s="1962"/>
      <c r="L59" s="1962"/>
      <c r="M59" s="1965">
        <f t="shared" si="4"/>
        <v>3956</v>
      </c>
      <c r="N59" s="1957">
        <f t="shared" si="3"/>
        <v>3956</v>
      </c>
    </row>
    <row r="60" spans="1:14" ht="24.75" customHeight="1" x14ac:dyDescent="0.25">
      <c r="A60" s="2445" t="s">
        <v>236</v>
      </c>
      <c r="B60" s="2446"/>
      <c r="C60" s="2446"/>
      <c r="D60" s="1964">
        <v>2364</v>
      </c>
      <c r="E60" s="1967">
        <f>+'Expenditures 15-22'!K322</f>
        <v>34788</v>
      </c>
      <c r="F60" s="1960"/>
      <c r="G60" s="1963"/>
      <c r="H60" s="1962"/>
      <c r="I60" s="1962"/>
      <c r="J60" s="1962"/>
      <c r="K60" s="1962"/>
      <c r="L60" s="1962"/>
      <c r="M60" s="1965">
        <f t="shared" si="4"/>
        <v>34788</v>
      </c>
      <c r="N60" s="1957">
        <f t="shared" si="3"/>
        <v>34788</v>
      </c>
    </row>
    <row r="61" spans="1:14" ht="24.75" customHeight="1" x14ac:dyDescent="0.25">
      <c r="A61" s="2445" t="s">
        <v>696</v>
      </c>
      <c r="B61" s="2446"/>
      <c r="C61" s="2446"/>
      <c r="D61" s="1964">
        <v>2365</v>
      </c>
      <c r="E61" s="1967">
        <f>+'Expenditures 15-22'!K323</f>
        <v>10905</v>
      </c>
      <c r="F61" s="1960"/>
      <c r="G61" s="1963"/>
      <c r="H61" s="1962"/>
      <c r="I61" s="1962"/>
      <c r="J61" s="1962"/>
      <c r="K61" s="1962"/>
      <c r="L61" s="1962"/>
      <c r="M61" s="1965">
        <f t="shared" si="4"/>
        <v>10905</v>
      </c>
      <c r="N61" s="1957">
        <f t="shared" si="3"/>
        <v>10905</v>
      </c>
    </row>
    <row r="62" spans="1:14" ht="24.75" customHeight="1" x14ac:dyDescent="0.25">
      <c r="A62" s="2445" t="s">
        <v>237</v>
      </c>
      <c r="B62" s="2446"/>
      <c r="C62" s="2446"/>
      <c r="D62" s="1964">
        <v>2366</v>
      </c>
      <c r="E62" s="1967">
        <f>+'Expenditures 15-22'!K324</f>
        <v>0</v>
      </c>
      <c r="F62" s="1960"/>
      <c r="G62" s="1963"/>
      <c r="H62" s="1962"/>
      <c r="I62" s="1962"/>
      <c r="J62" s="1962"/>
      <c r="K62" s="1962"/>
      <c r="L62" s="1962"/>
      <c r="M62" s="1965">
        <f t="shared" si="4"/>
        <v>0</v>
      </c>
      <c r="N62" s="1957">
        <f t="shared" si="3"/>
        <v>0</v>
      </c>
    </row>
    <row r="63" spans="1:14" ht="24.75" customHeight="1" x14ac:dyDescent="0.25">
      <c r="A63" s="2468" t="s">
        <v>1021</v>
      </c>
      <c r="B63" s="2469"/>
      <c r="C63" s="2469"/>
      <c r="D63" s="1964">
        <v>2367</v>
      </c>
      <c r="E63" s="1967">
        <f>+'Expenditures 15-22'!K325</f>
        <v>103428</v>
      </c>
      <c r="F63" s="1960"/>
      <c r="G63" s="1963">
        <v>13276</v>
      </c>
      <c r="H63" s="1962"/>
      <c r="I63" s="1962"/>
      <c r="J63" s="1962"/>
      <c r="K63" s="1962"/>
      <c r="L63" s="1962"/>
      <c r="M63" s="1965">
        <f t="shared" si="4"/>
        <v>90152</v>
      </c>
      <c r="N63" s="1957">
        <f t="shared" si="3"/>
        <v>103428</v>
      </c>
    </row>
    <row r="64" spans="1:14" ht="24.75" customHeight="1" x14ac:dyDescent="0.25">
      <c r="A64" s="2445" t="s">
        <v>1022</v>
      </c>
      <c r="B64" s="2446"/>
      <c r="C64" s="2446"/>
      <c r="D64" s="1964">
        <v>2368</v>
      </c>
      <c r="E64" s="1967">
        <f>+'Expenditures 15-22'!K326</f>
        <v>0</v>
      </c>
      <c r="F64" s="1960"/>
      <c r="G64" s="1963"/>
      <c r="H64" s="1962"/>
      <c r="I64" s="1962"/>
      <c r="J64" s="1962"/>
      <c r="K64" s="1962"/>
      <c r="L64" s="1962"/>
      <c r="M64" s="1965">
        <f t="shared" si="4"/>
        <v>0</v>
      </c>
      <c r="N64" s="1957">
        <f t="shared" si="3"/>
        <v>0</v>
      </c>
    </row>
    <row r="65" spans="1:14" ht="24" customHeight="1" x14ac:dyDescent="0.25">
      <c r="A65" s="2445" t="s">
        <v>964</v>
      </c>
      <c r="B65" s="2446"/>
      <c r="C65" s="2446"/>
      <c r="D65" s="1964">
        <v>2369</v>
      </c>
      <c r="E65" s="1967">
        <f>+'Expenditures 15-22'!K327</f>
        <v>11223</v>
      </c>
      <c r="F65" s="1960"/>
      <c r="G65" s="1963"/>
      <c r="H65" s="1962"/>
      <c r="I65" s="1962"/>
      <c r="J65" s="1962"/>
      <c r="K65" s="1962"/>
      <c r="L65" s="1962"/>
      <c r="M65" s="1965">
        <f t="shared" si="4"/>
        <v>11223</v>
      </c>
      <c r="N65" s="1957">
        <f t="shared" si="3"/>
        <v>11223</v>
      </c>
    </row>
    <row r="66" spans="1:14" ht="24.75" customHeight="1" x14ac:dyDescent="0.25">
      <c r="A66" s="2445" t="s">
        <v>468</v>
      </c>
      <c r="B66" s="2446"/>
      <c r="C66" s="2446"/>
      <c r="D66" s="1964">
        <v>2371</v>
      </c>
      <c r="E66" s="1967">
        <f>+'Expenditures 15-22'!K328</f>
        <v>0</v>
      </c>
      <c r="F66" s="1960"/>
      <c r="G66" s="1963"/>
      <c r="H66" s="1962"/>
      <c r="I66" s="1962"/>
      <c r="J66" s="1962"/>
      <c r="K66" s="1962"/>
      <c r="L66" s="1962"/>
      <c r="M66" s="1965">
        <f t="shared" si="4"/>
        <v>0</v>
      </c>
      <c r="N66" s="1957">
        <f t="shared" si="3"/>
        <v>0</v>
      </c>
    </row>
    <row r="67" spans="1:14" ht="24.75" customHeight="1" x14ac:dyDescent="0.25">
      <c r="A67" s="2447" t="s">
        <v>2074</v>
      </c>
      <c r="B67" s="2448"/>
      <c r="C67" s="2448"/>
      <c r="D67" s="1961">
        <v>2372</v>
      </c>
      <c r="E67" s="1967">
        <f>+'Expenditures 15-22'!K329</f>
        <v>0</v>
      </c>
      <c r="F67" s="1960"/>
      <c r="G67" s="1959"/>
      <c r="H67" s="1958"/>
      <c r="I67" s="1958"/>
      <c r="J67" s="1958"/>
      <c r="K67" s="1958"/>
      <c r="L67" s="1958"/>
      <c r="M67" s="1965">
        <f t="shared" si="4"/>
        <v>0</v>
      </c>
      <c r="N67" s="1957">
        <f t="shared" si="3"/>
        <v>0</v>
      </c>
    </row>
    <row r="68" spans="1:14" x14ac:dyDescent="0.25">
      <c r="A68" s="2449" t="s">
        <v>1152</v>
      </c>
      <c r="B68" s="2450"/>
      <c r="C68" s="2450"/>
      <c r="D68" s="1956"/>
      <c r="E68" s="1954">
        <f>SUM(E57:E67)</f>
        <v>164300</v>
      </c>
      <c r="F68" s="1955"/>
      <c r="G68" s="1954">
        <f t="shared" ref="G68:N68" si="5">SUM(G57:G67)</f>
        <v>13276</v>
      </c>
      <c r="H68" s="1954">
        <f t="shared" si="5"/>
        <v>0</v>
      </c>
      <c r="I68" s="1954">
        <f t="shared" si="5"/>
        <v>0</v>
      </c>
      <c r="J68" s="1954">
        <f t="shared" si="5"/>
        <v>0</v>
      </c>
      <c r="K68" s="1954">
        <f t="shared" si="5"/>
        <v>0</v>
      </c>
      <c r="L68" s="1954">
        <f t="shared" si="5"/>
        <v>0</v>
      </c>
      <c r="M68" s="1954">
        <f t="shared" si="5"/>
        <v>151024</v>
      </c>
      <c r="N68" s="1953">
        <f t="shared" si="5"/>
        <v>164300</v>
      </c>
    </row>
    <row r="69" spans="1:14" x14ac:dyDescent="0.25">
      <c r="A69" s="1949"/>
      <c r="B69" s="1948"/>
      <c r="C69" s="1948"/>
      <c r="D69" s="1948"/>
      <c r="E69" s="1948"/>
      <c r="F69" s="1948"/>
      <c r="G69" s="1948"/>
      <c r="H69" s="1952" t="s">
        <v>2073</v>
      </c>
      <c r="I69" s="1948"/>
      <c r="J69" s="1948"/>
      <c r="K69" s="1948"/>
      <c r="L69" s="1952" t="s">
        <v>2072</v>
      </c>
      <c r="M69" s="1948"/>
      <c r="N69" s="1951"/>
    </row>
    <row r="70" spans="1:14" ht="46.5" customHeight="1" x14ac:dyDescent="0.25">
      <c r="A70" s="1950" t="s">
        <v>2071</v>
      </c>
      <c r="B70" s="1948"/>
      <c r="C70" s="1948"/>
      <c r="D70" s="1948"/>
      <c r="E70" s="1948"/>
      <c r="F70" s="1948"/>
      <c r="G70" s="1948"/>
      <c r="H70" s="2441" t="s">
        <v>2070</v>
      </c>
      <c r="I70" s="2441"/>
      <c r="J70" s="2441"/>
      <c r="K70" s="1948"/>
      <c r="L70" s="2441" t="s">
        <v>2069</v>
      </c>
      <c r="M70" s="2441"/>
      <c r="N70" s="2442"/>
    </row>
    <row r="71" spans="1:14" ht="42.75" customHeight="1" x14ac:dyDescent="0.25">
      <c r="A71" s="1949"/>
      <c r="B71" s="1948"/>
      <c r="C71" s="1948"/>
      <c r="D71" s="1948"/>
      <c r="E71" s="1948"/>
      <c r="F71" s="1948"/>
      <c r="G71" s="1948"/>
      <c r="H71" s="2441" t="s">
        <v>2068</v>
      </c>
      <c r="I71" s="2441"/>
      <c r="J71" s="2441"/>
      <c r="K71" s="1948"/>
      <c r="L71" s="2443" t="s">
        <v>2067</v>
      </c>
      <c r="M71" s="2443"/>
      <c r="N71" s="2444"/>
    </row>
    <row r="72" spans="1:14" ht="52.5" customHeight="1" thickBot="1" x14ac:dyDescent="0.3">
      <c r="A72" s="1947"/>
      <c r="B72" s="1946"/>
      <c r="C72" s="1946"/>
      <c r="D72" s="1946"/>
      <c r="E72" s="1946"/>
      <c r="F72" s="1946"/>
      <c r="G72" s="1946"/>
      <c r="H72" s="2440" t="s">
        <v>2066</v>
      </c>
      <c r="I72" s="2440"/>
      <c r="J72" s="2440"/>
      <c r="K72" s="1946"/>
      <c r="L72" s="1946"/>
      <c r="M72" s="1946"/>
      <c r="N72" s="1945"/>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52"/>
  <sheetViews>
    <sheetView showGridLines="0" zoomScale="110" zoomScaleNormal="110" workbookViewId="0">
      <selection activeCell="F18" sqref="F18"/>
    </sheetView>
  </sheetViews>
  <sheetFormatPr defaultColWidth="9.140625" defaultRowHeight="12.75" x14ac:dyDescent="0.2"/>
  <cols>
    <col min="1" max="1" width="3" style="307" customWidth="1"/>
    <col min="2" max="2" width="2.85546875" style="307" customWidth="1"/>
    <col min="3" max="3" width="3.140625" style="307" customWidth="1"/>
    <col min="4" max="16384" width="9.140625" style="307"/>
  </cols>
  <sheetData>
    <row r="2" spans="1:10" x14ac:dyDescent="0.2">
      <c r="A2" s="366" t="s">
        <v>256</v>
      </c>
    </row>
    <row r="3" spans="1:10" x14ac:dyDescent="0.2">
      <c r="A3" s="847"/>
    </row>
    <row r="4" spans="1:10" x14ac:dyDescent="0.2">
      <c r="A4" s="1925" t="s">
        <v>2053</v>
      </c>
      <c r="B4" s="1921"/>
      <c r="C4" s="1921"/>
      <c r="D4" s="1921"/>
      <c r="E4" s="1921"/>
      <c r="F4" s="1921"/>
      <c r="G4" s="1921"/>
      <c r="H4" s="1921"/>
      <c r="I4" s="1921"/>
      <c r="J4" s="1921"/>
    </row>
    <row r="5" spans="1:10" x14ac:dyDescent="0.2">
      <c r="A5" s="1924"/>
      <c r="B5" s="1923" t="s">
        <v>2054</v>
      </c>
      <c r="C5" s="1921"/>
      <c r="D5" s="1921"/>
      <c r="E5" s="1921"/>
      <c r="F5" s="1921"/>
      <c r="G5" s="1921"/>
      <c r="H5" s="1921"/>
      <c r="I5" s="1921"/>
      <c r="J5" s="1921"/>
    </row>
    <row r="6" spans="1:10" x14ac:dyDescent="0.2">
      <c r="A6" s="1924"/>
      <c r="B6" s="1921"/>
      <c r="C6" s="1922" t="s">
        <v>2057</v>
      </c>
      <c r="D6" s="1921"/>
      <c r="E6" s="1921"/>
      <c r="F6" s="1921"/>
      <c r="G6" s="1921"/>
      <c r="H6" s="1921"/>
      <c r="I6" s="1921"/>
      <c r="J6" s="1927">
        <f>1800+4571+1850</f>
        <v>8221</v>
      </c>
    </row>
    <row r="7" spans="1:10" x14ac:dyDescent="0.2">
      <c r="A7" s="1924"/>
      <c r="B7" s="1921"/>
      <c r="C7" s="1922" t="s">
        <v>2055</v>
      </c>
      <c r="D7" s="1921"/>
      <c r="E7" s="1921"/>
      <c r="F7" s="1921"/>
      <c r="G7" s="1921"/>
      <c r="H7" s="1921"/>
      <c r="I7" s="1921"/>
      <c r="J7" s="1926">
        <f>14862-J6</f>
        <v>6641</v>
      </c>
    </row>
    <row r="8" spans="1:10" ht="13.5" thickBot="1" x14ac:dyDescent="0.25">
      <c r="A8" s="1924"/>
      <c r="B8" s="1921"/>
      <c r="C8" s="1921"/>
      <c r="D8" s="1921"/>
      <c r="E8" s="1921"/>
      <c r="F8" s="1921"/>
      <c r="G8" s="1921"/>
      <c r="H8" s="1921"/>
      <c r="I8" s="1921"/>
      <c r="J8" s="1928">
        <f>+'Revenues 9-14'!C107</f>
        <v>14862</v>
      </c>
    </row>
    <row r="9" spans="1:10" ht="13.5" thickTop="1" x14ac:dyDescent="0.2">
      <c r="A9" s="1924"/>
      <c r="B9" s="1921"/>
      <c r="C9" s="1921"/>
      <c r="D9" s="1921"/>
      <c r="E9" s="1921"/>
      <c r="F9" s="1921"/>
      <c r="G9" s="1921"/>
      <c r="H9" s="1921"/>
      <c r="I9" s="1921"/>
      <c r="J9" s="1921"/>
    </row>
    <row r="10" spans="1:10" x14ac:dyDescent="0.2">
      <c r="A10" s="1924"/>
      <c r="B10" s="1923" t="s">
        <v>2056</v>
      </c>
      <c r="C10" s="1921"/>
      <c r="D10" s="1921"/>
      <c r="E10" s="1921"/>
      <c r="F10" s="1921"/>
      <c r="G10" s="1921"/>
      <c r="H10" s="1921"/>
      <c r="I10" s="1921"/>
      <c r="J10" s="1921"/>
    </row>
    <row r="11" spans="1:10" ht="13.5" thickBot="1" x14ac:dyDescent="0.25">
      <c r="A11" s="1924"/>
      <c r="B11" s="1921"/>
      <c r="C11" s="1922" t="s">
        <v>2055</v>
      </c>
      <c r="D11" s="1921"/>
      <c r="E11" s="1921"/>
      <c r="F11" s="1921"/>
      <c r="G11" s="1921"/>
      <c r="H11" s="1921"/>
      <c r="I11" s="1921"/>
      <c r="J11" s="1928">
        <f>+'Revenues 9-14'!D107</f>
        <v>196</v>
      </c>
    </row>
    <row r="12" spans="1:10" ht="13.5" thickTop="1" x14ac:dyDescent="0.2">
      <c r="A12" s="1924"/>
      <c r="B12" s="1921"/>
      <c r="C12" s="1921"/>
      <c r="D12" s="1921"/>
      <c r="E12" s="1921"/>
      <c r="F12" s="1921"/>
      <c r="G12" s="1921"/>
      <c r="H12" s="1921"/>
      <c r="I12" s="1921"/>
      <c r="J12" s="1921"/>
    </row>
    <row r="13" spans="1:10" x14ac:dyDescent="0.2">
      <c r="A13" s="1924"/>
      <c r="B13" s="1923" t="s">
        <v>2058</v>
      </c>
      <c r="C13" s="1921"/>
      <c r="D13" s="1921"/>
      <c r="E13" s="1921"/>
      <c r="F13" s="1921"/>
      <c r="G13" s="1921"/>
      <c r="H13" s="1921"/>
      <c r="I13" s="1921"/>
      <c r="J13" s="1921"/>
    </row>
    <row r="14" spans="1:10" ht="13.5" thickBot="1" x14ac:dyDescent="0.25">
      <c r="A14" s="1924"/>
      <c r="B14" s="1921"/>
      <c r="C14" s="1922" t="s">
        <v>2055</v>
      </c>
      <c r="D14" s="1921"/>
      <c r="E14" s="1921"/>
      <c r="F14" s="1921"/>
      <c r="G14" s="1921"/>
      <c r="H14" s="1921"/>
      <c r="I14" s="1921"/>
      <c r="J14" s="1928">
        <f>+'Revenues 9-14'!F107</f>
        <v>509</v>
      </c>
    </row>
    <row r="15" spans="1:10" ht="13.5" thickTop="1" x14ac:dyDescent="0.2">
      <c r="A15" s="1924"/>
      <c r="B15" s="1921"/>
      <c r="C15" s="1921"/>
      <c r="D15" s="1921"/>
      <c r="E15" s="1921"/>
      <c r="F15" s="1921"/>
      <c r="G15" s="1921"/>
      <c r="H15" s="1921"/>
      <c r="I15" s="1921"/>
      <c r="J15" s="1921"/>
    </row>
    <row r="16" spans="1:10" x14ac:dyDescent="0.2">
      <c r="A16" s="1925" t="s">
        <v>2059</v>
      </c>
    </row>
    <row r="17" spans="1:10" x14ac:dyDescent="0.2">
      <c r="A17" s="847"/>
      <c r="B17" s="1931" t="s">
        <v>2060</v>
      </c>
      <c r="C17" s="1929"/>
      <c r="D17" s="1929"/>
      <c r="E17" s="1929"/>
      <c r="F17" s="1929"/>
      <c r="G17" s="1932"/>
    </row>
    <row r="18" spans="1:10" ht="13.5" thickBot="1" x14ac:dyDescent="0.25">
      <c r="A18" s="847"/>
      <c r="B18" s="1929"/>
      <c r="C18" s="1930" t="s">
        <v>2061</v>
      </c>
      <c r="D18" s="1929"/>
      <c r="E18" s="1929"/>
      <c r="F18" s="1929"/>
      <c r="G18" s="1932"/>
      <c r="J18" s="1928">
        <f>+'Expenditures 15-22'!E302</f>
        <v>28750</v>
      </c>
    </row>
    <row r="19" spans="1:10" ht="13.5" thickTop="1" x14ac:dyDescent="0.2">
      <c r="A19" s="847"/>
    </row>
    <row r="20" spans="1:10" x14ac:dyDescent="0.2">
      <c r="A20" s="1925" t="s">
        <v>2062</v>
      </c>
    </row>
    <row r="21" spans="1:10" x14ac:dyDescent="0.2">
      <c r="A21" s="847"/>
      <c r="B21" s="1931" t="s">
        <v>408</v>
      </c>
    </row>
    <row r="22" spans="1:10" s="1934" customFormat="1" x14ac:dyDescent="0.2">
      <c r="A22" s="1937"/>
      <c r="B22" s="1935"/>
      <c r="C22" s="1936" t="s">
        <v>2065</v>
      </c>
      <c r="J22" s="1941">
        <f>+'Expenditures 15-22'!K169</f>
        <v>122000</v>
      </c>
    </row>
    <row r="23" spans="1:10" x14ac:dyDescent="0.2">
      <c r="A23" s="847"/>
      <c r="C23" s="1933" t="s">
        <v>2064</v>
      </c>
      <c r="J23" s="1941">
        <f>+'Expenditures 15-22'!H206</f>
        <v>3870</v>
      </c>
    </row>
    <row r="24" spans="1:10" s="1940" customFormat="1" ht="13.5" thickBot="1" x14ac:dyDescent="0.25">
      <c r="A24" s="1942"/>
      <c r="C24" s="1939"/>
      <c r="J24" s="1943">
        <f>+J22+J23</f>
        <v>125870</v>
      </c>
    </row>
    <row r="25" spans="1:10" ht="13.5" thickTop="1" x14ac:dyDescent="0.2">
      <c r="A25" s="847"/>
      <c r="C25" s="1938"/>
    </row>
    <row r="26" spans="1:10" ht="13.5" thickBot="1" x14ac:dyDescent="0.25">
      <c r="A26" s="847"/>
      <c r="C26" s="1940" t="s">
        <v>2063</v>
      </c>
      <c r="J26" s="1943">
        <f>+'Short-Term Long-Term Debt 24'!H49</f>
        <v>125870</v>
      </c>
    </row>
    <row r="27" spans="1:10" ht="13.5" thickTop="1" x14ac:dyDescent="0.2">
      <c r="A27" s="847"/>
    </row>
    <row r="28" spans="1:10" x14ac:dyDescent="0.2">
      <c r="A28" s="847"/>
    </row>
    <row r="29" spans="1:10" x14ac:dyDescent="0.2">
      <c r="A29" s="847"/>
    </row>
    <row r="30" spans="1:10" x14ac:dyDescent="0.2">
      <c r="A30" s="847"/>
    </row>
    <row r="31" spans="1:10" x14ac:dyDescent="0.2">
      <c r="A31" s="847"/>
    </row>
    <row r="32" spans="1:10"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c r="B51" s="253" t="str">
        <f>COVER!A17</f>
        <v xml:space="preserve"> Patoka CUSD 100</v>
      </c>
    </row>
    <row r="52" spans="1:2" x14ac:dyDescent="0.2">
      <c r="B52" s="848">
        <f>COVER!A13</f>
        <v>13058100026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69" t="s">
        <v>1596</v>
      </c>
    </row>
    <row r="23" spans="1:5" x14ac:dyDescent="0.2">
      <c r="A23" s="163"/>
      <c r="B23" s="157" t="s">
        <v>1830</v>
      </c>
      <c r="D23" s="162" t="s">
        <v>631</v>
      </c>
      <c r="E23" s="1469"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74" t="s">
        <v>1057</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685</v>
      </c>
      <c r="B40" s="2171"/>
      <c r="C40" s="2171"/>
      <c r="D40" s="2171"/>
      <c r="E40" s="2171"/>
    </row>
    <row r="41" spans="1:5" x14ac:dyDescent="0.2">
      <c r="A41" s="2172" t="s">
        <v>1593</v>
      </c>
      <c r="B41" s="2172"/>
      <c r="C41" s="2172"/>
      <c r="D41" s="2172"/>
      <c r="E41" s="2172"/>
    </row>
    <row r="42" spans="1:5" ht="12.75" customHeight="1" x14ac:dyDescent="0.2">
      <c r="A42" s="2173" t="s">
        <v>1014</v>
      </c>
      <c r="B42" s="2173"/>
      <c r="C42" s="2173"/>
      <c r="D42" s="2173"/>
      <c r="E42" s="2173"/>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1478</v>
      </c>
    </row>
    <row r="15" spans="1:6" x14ac:dyDescent="0.2">
      <c r="A15" s="366" t="s">
        <v>851</v>
      </c>
    </row>
    <row r="16" spans="1:6" s="849" customFormat="1" ht="45" customHeight="1" x14ac:dyDescent="0.2">
      <c r="A16" s="851"/>
      <c r="B16" s="851" t="s">
        <v>1975</v>
      </c>
    </row>
    <row r="17" spans="1:2" ht="6" customHeight="1" x14ac:dyDescent="0.2"/>
    <row r="18" spans="1:2" ht="24.75" customHeight="1" x14ac:dyDescent="0.2">
      <c r="A18" s="2495" t="s">
        <v>1667</v>
      </c>
      <c r="B18" s="249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257175</xdr:colOff>
                <xdr:row>5</xdr:row>
                <xdr:rowOff>114300</xdr:rowOff>
              </from>
              <to>
                <xdr:col>1</xdr:col>
                <xdr:colOff>1171575</xdr:colOff>
                <xdr:row>9</xdr:row>
                <xdr:rowOff>152400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C1"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6" t="s">
        <v>1671</v>
      </c>
      <c r="B1" s="2497"/>
      <c r="C1" s="2497"/>
      <c r="D1" s="2497"/>
      <c r="E1" s="2497"/>
      <c r="F1" s="2498"/>
    </row>
    <row r="2" spans="1:8" ht="45" customHeight="1" x14ac:dyDescent="0.2">
      <c r="A2" s="250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7"/>
      <c r="C2" s="2507"/>
      <c r="D2" s="2507"/>
      <c r="E2" s="2507"/>
      <c r="F2" s="2508"/>
      <c r="G2" s="852"/>
      <c r="H2" s="852"/>
    </row>
    <row r="3" spans="1:8" ht="57" customHeight="1" x14ac:dyDescent="0.2">
      <c r="A3" s="2509" t="s">
        <v>1974</v>
      </c>
      <c r="B3" s="2510"/>
      <c r="C3" s="2510"/>
      <c r="D3" s="2510"/>
      <c r="E3" s="2510"/>
      <c r="F3" s="2511"/>
      <c r="G3" s="852"/>
      <c r="H3" s="852"/>
    </row>
    <row r="4" spans="1:8" ht="14.25" customHeight="1" x14ac:dyDescent="0.2">
      <c r="A4" s="251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6"/>
      <c r="C4" s="2516"/>
      <c r="D4" s="2516"/>
      <c r="E4" s="2516"/>
      <c r="F4" s="2517"/>
      <c r="G4" s="852"/>
      <c r="H4" s="852"/>
    </row>
    <row r="5" spans="1:8" ht="14.25" customHeight="1" x14ac:dyDescent="0.2">
      <c r="A5" s="251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9"/>
      <c r="C5" s="2519"/>
      <c r="D5" s="2519"/>
      <c r="E5" s="2519"/>
      <c r="F5" s="2520"/>
      <c r="G5" s="852"/>
      <c r="H5" s="852"/>
    </row>
    <row r="6" spans="1:8" s="853" customFormat="1" ht="41.25" customHeight="1" x14ac:dyDescent="0.2">
      <c r="A6" s="2512" t="s">
        <v>1672</v>
      </c>
      <c r="B6" s="2513"/>
      <c r="C6" s="2513"/>
      <c r="D6" s="2513"/>
      <c r="E6" s="2513"/>
      <c r="F6" s="2514"/>
    </row>
    <row r="7" spans="1:8" ht="42" customHeight="1" x14ac:dyDescent="0.2">
      <c r="A7" s="854" t="s">
        <v>477</v>
      </c>
      <c r="B7" s="855" t="s">
        <v>1481</v>
      </c>
      <c r="C7" s="855" t="s">
        <v>1482</v>
      </c>
      <c r="D7" s="855" t="s">
        <v>1480</v>
      </c>
      <c r="E7" s="855" t="s">
        <v>1483</v>
      </c>
      <c r="F7" s="855" t="s">
        <v>1352</v>
      </c>
    </row>
    <row r="8" spans="1:8" s="857" customFormat="1" ht="14.25" customHeight="1" x14ac:dyDescent="0.2">
      <c r="A8" s="856" t="s">
        <v>1353</v>
      </c>
      <c r="B8" s="1812">
        <f>'Acct Summary 7-8'!C8</f>
        <v>2301245</v>
      </c>
      <c r="C8" s="1812">
        <f>'Acct Summary 7-8'!D8</f>
        <v>233743</v>
      </c>
      <c r="D8" s="1812">
        <f>'Acct Summary 7-8'!F8</f>
        <v>292182</v>
      </c>
      <c r="E8" s="1812">
        <f>'Acct Summary 7-8'!I8</f>
        <v>23894</v>
      </c>
      <c r="F8" s="1812">
        <f>SUM(B8:E8)</f>
        <v>2851064</v>
      </c>
    </row>
    <row r="9" spans="1:8" s="857" customFormat="1" ht="14.25" customHeight="1" thickBot="1" x14ac:dyDescent="0.25">
      <c r="A9" s="856" t="s">
        <v>1354</v>
      </c>
      <c r="B9" s="1813">
        <f>'Acct Summary 7-8'!C17</f>
        <v>2272353</v>
      </c>
      <c r="C9" s="1813">
        <f>'Acct Summary 7-8'!D17</f>
        <v>202525</v>
      </c>
      <c r="D9" s="1813">
        <f>'Acct Summary 7-8'!F17</f>
        <v>265604</v>
      </c>
      <c r="E9" s="1812"/>
      <c r="F9" s="1812">
        <f>SUM(B9:E9)</f>
        <v>2740482</v>
      </c>
    </row>
    <row r="10" spans="1:8" s="857" customFormat="1" ht="14.25" thickTop="1" thickBot="1" x14ac:dyDescent="0.25">
      <c r="A10" s="858" t="s">
        <v>1355</v>
      </c>
      <c r="B10" s="1814">
        <f>(B8-B9)</f>
        <v>28892</v>
      </c>
      <c r="C10" s="1814">
        <f>(C8-C9)</f>
        <v>31218</v>
      </c>
      <c r="D10" s="1814">
        <f>(D8-D9)</f>
        <v>26578</v>
      </c>
      <c r="E10" s="1813">
        <f>(E8-E9)</f>
        <v>23894</v>
      </c>
      <c r="F10" s="1815">
        <f>SUM(F8-F9)</f>
        <v>110582</v>
      </c>
    </row>
    <row r="11" spans="1:8" s="857" customFormat="1" ht="14.25" thickTop="1" thickBot="1" x14ac:dyDescent="0.25">
      <c r="A11" s="859" t="s">
        <v>1905</v>
      </c>
      <c r="B11" s="1816">
        <f>'Acct Summary 7-8'!C81</f>
        <v>560214</v>
      </c>
      <c r="C11" s="1816">
        <f>'Acct Summary 7-8'!D81</f>
        <v>379798</v>
      </c>
      <c r="D11" s="1816">
        <f>'Acct Summary 7-8'!F81</f>
        <v>62257</v>
      </c>
      <c r="E11" s="1816">
        <f>'Acct Summary 7-8'!I81</f>
        <v>126943</v>
      </c>
      <c r="F11" s="1817">
        <f>SUM(B11:E11)</f>
        <v>1129212</v>
      </c>
    </row>
    <row r="12" spans="1:8" ht="16.5" customHeight="1" thickTop="1" x14ac:dyDescent="0.2">
      <c r="A12" s="860"/>
      <c r="B12" s="861"/>
      <c r="C12" s="2500" t="str">
        <f>IF(AND(F10&lt;0,F11&gt;=0,ABS(F10*3)&gt;ABS(F11)),A16,IF(AND(F10&lt;0,F11&gt;0,ABS(F10*3)&lt;=ABS(F11)),A17,IF(AND(F10&lt;0,F11&lt;0),A16,IF(F11=0,A19,A18))))</f>
        <v>Balanced - no deficit reduction plan is required.</v>
      </c>
      <c r="D12" s="2501"/>
      <c r="E12" s="2501"/>
      <c r="F12" s="2502"/>
    </row>
    <row r="13" spans="1:8" ht="19.5" customHeight="1" x14ac:dyDescent="0.2">
      <c r="A13" s="862"/>
      <c r="B13" s="863"/>
      <c r="C13" s="2500"/>
      <c r="D13" s="2501"/>
      <c r="E13" s="2501"/>
      <c r="F13" s="2502"/>
      <c r="H13" s="852"/>
    </row>
    <row r="14" spans="1:8" ht="19.5" customHeight="1" x14ac:dyDescent="0.2">
      <c r="A14" s="862"/>
      <c r="B14" s="863"/>
      <c r="C14" s="2500"/>
      <c r="D14" s="2501"/>
      <c r="E14" s="2501"/>
      <c r="F14" s="2502"/>
      <c r="H14" s="852"/>
    </row>
    <row r="15" spans="1:8" ht="17.25" customHeight="1" x14ac:dyDescent="0.2">
      <c r="A15" s="862"/>
      <c r="B15" s="863"/>
      <c r="C15" s="2503"/>
      <c r="D15" s="2504"/>
      <c r="E15" s="2504"/>
      <c r="F15" s="2505"/>
      <c r="H15" s="852"/>
    </row>
    <row r="16" spans="1:8" s="288" customFormat="1" ht="51.75" hidden="1" customHeight="1" x14ac:dyDescent="0.2">
      <c r="A16" s="2499" t="s">
        <v>1668</v>
      </c>
      <c r="B16" s="2499"/>
      <c r="C16" s="2499"/>
      <c r="D16" s="2499"/>
      <c r="E16" s="2499"/>
      <c r="F16" s="288" t="s">
        <v>1356</v>
      </c>
    </row>
    <row r="17" spans="1:6" hidden="1" x14ac:dyDescent="0.2">
      <c r="A17" s="294" t="s">
        <v>1669</v>
      </c>
      <c r="F17" s="864"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0" colorId="8" zoomScale="110" zoomScaleNormal="110" workbookViewId="0">
      <selection activeCell="C87" sqref="C8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21" t="s">
        <v>659</v>
      </c>
      <c r="B3" s="2522"/>
      <c r="C3" s="2522"/>
      <c r="D3" s="2523"/>
    </row>
    <row r="4" spans="1:4" x14ac:dyDescent="0.2">
      <c r="A4" s="930" t="s">
        <v>1673</v>
      </c>
      <c r="B4" s="931"/>
      <c r="C4" s="932"/>
      <c r="D4" s="933"/>
    </row>
    <row r="5" spans="1:4" ht="21" customHeight="1" x14ac:dyDescent="0.2">
      <c r="A5" s="926"/>
      <c r="B5" s="927">
        <v>1</v>
      </c>
      <c r="C5" s="928" t="s">
        <v>1976</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32" t="s">
        <v>1489</v>
      </c>
      <c r="D7" s="2533"/>
    </row>
    <row r="8" spans="1:4" s="542" customFormat="1" ht="12.75" x14ac:dyDescent="0.2">
      <c r="A8" s="916"/>
      <c r="B8" s="871"/>
      <c r="C8" s="874" t="s">
        <v>1488</v>
      </c>
      <c r="D8" s="875"/>
    </row>
    <row r="9" spans="1:4" s="542" customFormat="1" ht="14.25" customHeight="1" x14ac:dyDescent="0.2">
      <c r="A9" s="916"/>
      <c r="B9" s="871">
        <f>B7+1</f>
        <v>4</v>
      </c>
      <c r="C9" s="872" t="s">
        <v>1881</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1054</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1490</v>
      </c>
      <c r="D14" s="915"/>
    </row>
    <row r="15" spans="1:4" s="542" customFormat="1" ht="21.75" customHeight="1" x14ac:dyDescent="0.2">
      <c r="A15" s="2524" t="s">
        <v>1000</v>
      </c>
      <c r="B15" s="2525"/>
      <c r="C15" s="2525"/>
      <c r="D15" s="2526"/>
    </row>
    <row r="16" spans="1:4" s="542" customFormat="1" ht="24" customHeight="1" x14ac:dyDescent="0.2">
      <c r="A16" s="2527" t="s">
        <v>657</v>
      </c>
      <c r="B16" s="2528"/>
      <c r="C16" s="2528"/>
      <c r="D16" s="2529"/>
    </row>
    <row r="17" spans="1:10" s="542" customFormat="1" ht="12.75" customHeight="1" x14ac:dyDescent="0.2">
      <c r="A17" s="934" t="s">
        <v>1674</v>
      </c>
      <c r="B17" s="935"/>
      <c r="C17" s="936"/>
      <c r="D17" s="937"/>
    </row>
    <row r="18" spans="1:10" s="542" customFormat="1" ht="12.75" customHeight="1" x14ac:dyDescent="0.2">
      <c r="A18" s="938" t="s">
        <v>1977</v>
      </c>
      <c r="B18" s="939"/>
      <c r="C18" s="940"/>
      <c r="D18" s="941"/>
    </row>
    <row r="19" spans="1:10" ht="6.75" customHeight="1" thickBot="1" x14ac:dyDescent="0.25">
      <c r="A19" s="942"/>
      <c r="B19" s="943"/>
      <c r="C19" s="944"/>
      <c r="D19" s="945"/>
    </row>
    <row r="20" spans="1:10" s="949" customFormat="1" ht="12.75" thickTop="1" x14ac:dyDescent="0.2">
      <c r="A20" s="946"/>
      <c r="B20" s="947" t="s">
        <v>1675</v>
      </c>
      <c r="C20" s="948"/>
      <c r="D20" s="951" t="s">
        <v>704</v>
      </c>
    </row>
    <row r="21" spans="1:10" x14ac:dyDescent="0.2">
      <c r="A21" s="876"/>
      <c r="B21" s="877">
        <v>1</v>
      </c>
      <c r="C21" s="2536" t="s">
        <v>310</v>
      </c>
      <c r="D21" s="2537"/>
    </row>
    <row r="22" spans="1:10" ht="12.75" x14ac:dyDescent="0.2">
      <c r="A22" s="917"/>
      <c r="B22" s="918">
        <v>2</v>
      </c>
      <c r="C22" s="2534" t="s">
        <v>1509</v>
      </c>
      <c r="D22" s="2535"/>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1322</v>
      </c>
      <c r="D24" s="920" t="str">
        <f>IF(COVER!O11="X","OK",IF(AND('Aud Quest 2'!J90=0,'Aud Quest 2'!I77&lt;DATE(2017,12,31)),"ENTER ACCOUNTING INFO",IF(AND('Aud Quest 2'!J90&gt;0,'Aud Quest 2'!I77&lt;DATE(2017,12,31)),"OK")))</f>
        <v>OK</v>
      </c>
    </row>
    <row r="25" spans="1:10" x14ac:dyDescent="0.2">
      <c r="A25" s="878"/>
      <c r="B25" s="879"/>
      <c r="C25" s="880" t="s">
        <v>1511</v>
      </c>
      <c r="D25" s="881" t="str">
        <f>IF(AND(COVER!J29="X",COVER!J30="X",COVER!L30&lt;&gt;"X"),"OK",IF(AND(COVER!J29="X",COVER!J30&lt;&gt;"X",COVER!L30="X"),"OK",IF(AND(COVER!L29="X",COVER!J30&lt;&gt;"X"),"OK","PLEASE CHECK YES or NO.")))</f>
        <v>OK</v>
      </c>
    </row>
    <row r="26" spans="1:10" x14ac:dyDescent="0.2">
      <c r="A26" s="878"/>
      <c r="B26" s="921"/>
      <c r="C26" s="882" t="s">
        <v>1510</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1358</v>
      </c>
      <c r="D29" s="88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38" t="s">
        <v>532</v>
      </c>
      <c r="D43" s="2539"/>
    </row>
    <row r="44" spans="1:12" x14ac:dyDescent="0.2">
      <c r="A44" s="897"/>
      <c r="B44" s="899"/>
      <c r="C44" s="900" t="s">
        <v>1325</v>
      </c>
      <c r="D44" s="901" t="str">
        <f>IF(SUM('Assets-Liab 5-6'!C13)&lt;&gt;SUM('Assets-Liab 5-6'!C41),"ERROR!","OK")</f>
        <v>OK</v>
      </c>
    </row>
    <row r="45" spans="1:12" x14ac:dyDescent="0.2">
      <c r="A45" s="897"/>
      <c r="B45" s="899"/>
      <c r="C45" s="900" t="s">
        <v>1326</v>
      </c>
      <c r="D45" s="901" t="str">
        <f>IF(SUM('Assets-Liab 5-6'!D13)&lt;&gt;SUM('Assets-Liab 5-6'!D41),"ERROR!","OK")</f>
        <v>OK</v>
      </c>
    </row>
    <row r="46" spans="1:12" x14ac:dyDescent="0.2">
      <c r="A46" s="897"/>
      <c r="B46" s="899"/>
      <c r="C46" s="900" t="s">
        <v>1327</v>
      </c>
      <c r="D46" s="901" t="str">
        <f>IF(SUM('Assets-Liab 5-6'!E13)&lt;&gt;SUM('Assets-Liab 5-6'!E41),"ERROR!","OK")</f>
        <v>OK</v>
      </c>
    </row>
    <row r="47" spans="1:12" x14ac:dyDescent="0.2">
      <c r="A47" s="897"/>
      <c r="B47" s="899"/>
      <c r="C47" s="900" t="s">
        <v>1328</v>
      </c>
      <c r="D47" s="901" t="str">
        <f>IF(SUM('Assets-Liab 5-6'!F13)&lt;&gt;SUM('Assets-Liab 5-6'!F41),"ERROR!","OK")</f>
        <v>OK</v>
      </c>
    </row>
    <row r="48" spans="1:12" x14ac:dyDescent="0.2">
      <c r="A48" s="897"/>
      <c r="B48" s="899"/>
      <c r="C48" s="900" t="s">
        <v>1329</v>
      </c>
      <c r="D48" s="901" t="str">
        <f>IF(SUM('Assets-Liab 5-6'!G13)&lt;&gt;SUM('Assets-Liab 5-6'!G41),"ERROR!","OK")</f>
        <v>OK</v>
      </c>
    </row>
    <row r="49" spans="1:4" x14ac:dyDescent="0.2">
      <c r="A49" s="897"/>
      <c r="B49" s="899"/>
      <c r="C49" s="900" t="s">
        <v>1330</v>
      </c>
      <c r="D49" s="901" t="str">
        <f>IF(SUM('Assets-Liab 5-6'!H13)&lt;&gt;SUM('Assets-Liab 5-6'!H41),"ERROR!","OK")</f>
        <v>OK</v>
      </c>
    </row>
    <row r="50" spans="1:4" x14ac:dyDescent="0.2">
      <c r="A50" s="897"/>
      <c r="B50" s="899"/>
      <c r="C50" s="900" t="s">
        <v>1331</v>
      </c>
      <c r="D50" s="901" t="str">
        <f>IF(SUM('Assets-Liab 5-6'!I13)&lt;&gt;SUM('Assets-Liab 5-6'!I41),"ERROR!","OK")</f>
        <v>OK</v>
      </c>
    </row>
    <row r="51" spans="1:4" x14ac:dyDescent="0.2">
      <c r="A51" s="897"/>
      <c r="B51" s="899"/>
      <c r="C51" s="900" t="s">
        <v>1332</v>
      </c>
      <c r="D51" s="901" t="str">
        <f>IF(SUM('Assets-Liab 5-6'!J13)&lt;&gt;SUM('Assets-Liab 5-6'!J41),"ERROR!","OK")</f>
        <v>OK</v>
      </c>
    </row>
    <row r="52" spans="1:4" x14ac:dyDescent="0.2">
      <c r="A52" s="897"/>
      <c r="B52" s="899"/>
      <c r="C52" s="900" t="s">
        <v>1333</v>
      </c>
      <c r="D52" s="901" t="str">
        <f>IF(SUM('Assets-Liab 5-6'!K13)&lt;&gt;SUM('Assets-Liab 5-6'!K41),"ERROR!","OK")</f>
        <v>OK</v>
      </c>
    </row>
    <row r="53" spans="1:4" x14ac:dyDescent="0.2">
      <c r="A53" s="897"/>
      <c r="B53" s="899"/>
      <c r="C53" s="900" t="s">
        <v>1334</v>
      </c>
      <c r="D53" s="901" t="str">
        <f>IF(SUM('Assets-Liab 5-6'!L13)&lt;&gt;('Assets-Liab 5-6'!L41),"ERROR!","OK")</f>
        <v>OK</v>
      </c>
    </row>
    <row r="54" spans="1:4" x14ac:dyDescent="0.2">
      <c r="A54" s="897"/>
      <c r="B54" s="899"/>
      <c r="C54" s="900" t="s">
        <v>1335</v>
      </c>
      <c r="D54" s="901" t="str">
        <f>IF(SUM('Assets-Liab 5-6'!M23)&lt;&gt;('Assets-Liab 5-6'!M41),"ERROR!","OK")</f>
        <v>OK</v>
      </c>
    </row>
    <row r="55" spans="1:4" x14ac:dyDescent="0.2">
      <c r="A55" s="897"/>
      <c r="B55" s="899"/>
      <c r="C55" s="900" t="s">
        <v>1336</v>
      </c>
      <c r="D55" s="901" t="str">
        <f>IF(SUM('Assets-Liab 5-6'!N23)&lt;&gt;('Assets-Liab 5-6'!N41),"ERROR!","OK")</f>
        <v>OK</v>
      </c>
    </row>
    <row r="56" spans="1:4" x14ac:dyDescent="0.2">
      <c r="A56" s="878"/>
      <c r="B56" s="898">
        <f>B43+1</f>
        <v>6</v>
      </c>
      <c r="C56" s="2530" t="s">
        <v>778</v>
      </c>
      <c r="D56" s="2531"/>
    </row>
    <row r="57" spans="1:4" s="894" customFormat="1" x14ac:dyDescent="0.2">
      <c r="A57" s="878"/>
      <c r="B57" s="888"/>
      <c r="C57" s="896" t="s">
        <v>1337</v>
      </c>
      <c r="D57" s="902" t="str">
        <f>IF('Assets-Liab 5-6'!C38+'Assets-Liab 5-6'!C39='Acct Summary 7-8'!C81,"OK","ERROR!")</f>
        <v>OK</v>
      </c>
    </row>
    <row r="58" spans="1:4" x14ac:dyDescent="0.2">
      <c r="A58" s="878"/>
      <c r="B58" s="888"/>
      <c r="C58" s="896" t="s">
        <v>1338</v>
      </c>
      <c r="D58" s="902" t="str">
        <f>IF((('Assets-Liab 5-6'!D38+'Assets-Liab 5-6'!D39) ='Acct Summary 7-8'!D81), "OK", "ERROR!" )</f>
        <v>OK</v>
      </c>
    </row>
    <row r="59" spans="1:4" s="894" customFormat="1" x14ac:dyDescent="0.2">
      <c r="A59" s="878"/>
      <c r="B59" s="888"/>
      <c r="C59" s="896" t="s">
        <v>1339</v>
      </c>
      <c r="D59" s="902" t="str">
        <f>IF((('Assets-Liab 5-6'!E38 + 'Assets-Liab 5-6'!E39) ='Acct Summary 7-8'!E81), "OK", "ERROR!" )</f>
        <v>OK</v>
      </c>
    </row>
    <row r="60" spans="1:4" x14ac:dyDescent="0.2">
      <c r="A60" s="878"/>
      <c r="B60" s="888"/>
      <c r="C60" s="896" t="s">
        <v>1340</v>
      </c>
      <c r="D60" s="902" t="str">
        <f>IF((('Assets-Liab 5-6'!F38 + 'Assets-Liab 5-6'!F39) ='Acct Summary 7-8'!F81), "OK", "ERROR!" )</f>
        <v>OK</v>
      </c>
    </row>
    <row r="61" spans="1:4" ht="12.75" customHeight="1" x14ac:dyDescent="0.2">
      <c r="A61" s="878"/>
      <c r="B61" s="888"/>
      <c r="C61" s="896" t="s">
        <v>1348</v>
      </c>
      <c r="D61" s="902" t="str">
        <f>IF((('Assets-Liab 5-6'!G38 + 'Assets-Liab 5-6'!G39) ='Acct Summary 7-8'!G81), "OK", "ERROR!" )</f>
        <v>OK</v>
      </c>
    </row>
    <row r="62" spans="1:4" x14ac:dyDescent="0.2">
      <c r="A62" s="878"/>
      <c r="B62" s="888"/>
      <c r="C62" s="896" t="s">
        <v>1341</v>
      </c>
      <c r="D62" s="902" t="str">
        <f>IF((('Assets-Liab 5-6'!H38 + 'Assets-Liab 5-6'!H39) ='Acct Summary 7-8'!H81), "OK", "ERROR!" )</f>
        <v>OK</v>
      </c>
    </row>
    <row r="63" spans="1:4" ht="12.75" customHeight="1" x14ac:dyDescent="0.2">
      <c r="A63" s="878"/>
      <c r="B63" s="888"/>
      <c r="C63" s="896" t="s">
        <v>1342</v>
      </c>
      <c r="D63" s="902" t="str">
        <f>IF((('Assets-Liab 5-6'!I38 + 'Assets-Liab 5-6'!I39) ='Acct Summary 7-8'!I81), "OK", "ERROR!" )</f>
        <v>OK</v>
      </c>
    </row>
    <row r="64" spans="1:4" x14ac:dyDescent="0.2">
      <c r="A64" s="878"/>
      <c r="B64" s="888"/>
      <c r="C64" s="896" t="s">
        <v>1343</v>
      </c>
      <c r="D64" s="902" t="str">
        <f>IF((('Assets-Liab 5-6'!J38 + 'Assets-Liab 5-6'!J39) ='Acct Summary 7-8'!J81), "OK", "ERROR!" )</f>
        <v>OK</v>
      </c>
    </row>
    <row r="65" spans="1:4" x14ac:dyDescent="0.2">
      <c r="A65" s="895"/>
      <c r="B65" s="888"/>
      <c r="C65" s="896" t="s">
        <v>1349</v>
      </c>
      <c r="D65" s="902" t="str">
        <f>IF((('Assets-Liab 5-6'!K38 + 'Assets-Liab 5-6'!K39) ='Acct Summary 7-8'!K81), "OK", "ERROR!" )</f>
        <v>OK</v>
      </c>
    </row>
    <row r="66" spans="1:4" x14ac:dyDescent="0.2">
      <c r="A66" s="876"/>
      <c r="B66" s="918">
        <f>B56+1+1</f>
        <v>8</v>
      </c>
      <c r="C66" s="924" t="s">
        <v>1882</v>
      </c>
      <c r="D66" s="903"/>
    </row>
    <row r="67" spans="1:4" x14ac:dyDescent="0.2">
      <c r="A67" s="897"/>
      <c r="B67" s="918"/>
      <c r="C67" s="925" t="s">
        <v>1013</v>
      </c>
      <c r="D67" s="903"/>
    </row>
    <row r="68" spans="1:4" x14ac:dyDescent="0.2">
      <c r="A68" s="878"/>
      <c r="B68" s="888"/>
      <c r="C68" s="880" t="s">
        <v>1883</v>
      </c>
      <c r="D68" s="902" t="str">
        <f>IF('Short-Term Long-Term Debt 24'!F49=SUM(,'Acct Summary 7-8'!C33:K33),"OK","ERROR!")</f>
        <v>OK</v>
      </c>
    </row>
    <row r="69" spans="1:4" x14ac:dyDescent="0.2">
      <c r="A69" s="878"/>
      <c r="B69" s="888"/>
      <c r="C69" s="880" t="s">
        <v>1884</v>
      </c>
      <c r="D69" s="902" t="str">
        <f>IF('Expenditures 15-22'!H170&lt;&gt;'Short-Term Long-Term Debt 24'!H49,"ERROR!","OK")</f>
        <v>ERROR!</v>
      </c>
    </row>
    <row r="70" spans="1:4" x14ac:dyDescent="0.2">
      <c r="A70" s="876"/>
      <c r="B70" s="898">
        <f>B66+1</f>
        <v>9</v>
      </c>
      <c r="C70" s="2530" t="s">
        <v>1676</v>
      </c>
      <c r="D70" s="2531"/>
    </row>
    <row r="71" spans="1:4" x14ac:dyDescent="0.2">
      <c r="A71" s="876"/>
      <c r="B71" s="898"/>
      <c r="C71" s="880" t="s">
        <v>1344</v>
      </c>
      <c r="D71" s="904" t="str">
        <f>IF(SUM('Acct Summary 7-8'!C27:K27) =SUM( 'Acct Summary 7-8'!C49:K49),"OK", "ERROR")</f>
        <v>OK</v>
      </c>
    </row>
    <row r="72" spans="1:4" x14ac:dyDescent="0.2">
      <c r="A72" s="878"/>
      <c r="B72" s="888"/>
      <c r="C72" s="896" t="s">
        <v>1345</v>
      </c>
      <c r="D72" s="902" t="str">
        <f>IF(SUM('Acct Summary 7-8'!C28:K28)=SUM('Acct Summary 7-8'!C50:K50),"OK","ERROR!")</f>
        <v>OK</v>
      </c>
    </row>
    <row r="73" spans="1:4" ht="24" x14ac:dyDescent="0.2">
      <c r="A73" s="905"/>
      <c r="B73" s="888"/>
      <c r="C73" s="896" t="s">
        <v>1677</v>
      </c>
      <c r="D73" s="904" t="str">
        <f>IF(SUM('Acct Summary 7-8'!C42:K42)&gt;=SUM( 'Acct Summary 7-8'!C74:K74),"OK", "ERROR")</f>
        <v>OK</v>
      </c>
    </row>
    <row r="74" spans="1:4" x14ac:dyDescent="0.2">
      <c r="A74" s="876"/>
      <c r="B74" s="898">
        <f>B70+1</f>
        <v>10</v>
      </c>
      <c r="C74" s="892" t="s">
        <v>1885</v>
      </c>
      <c r="D74" s="906"/>
    </row>
    <row r="75" spans="1:4" x14ac:dyDescent="0.2">
      <c r="A75" s="878"/>
      <c r="B75" s="888"/>
      <c r="C75" s="896" t="s">
        <v>1362</v>
      </c>
      <c r="D75" s="902" t="str">
        <f>IF(SUM('Assets-Liab 5-6'!C38:H38)&gt;=SUM('Rest Tax Levies-Tort Im 25'!G25:K25),"OK","ERROR")</f>
        <v>OK</v>
      </c>
    </row>
    <row r="76" spans="1:4" x14ac:dyDescent="0.2">
      <c r="A76" s="878"/>
      <c r="B76" s="888"/>
      <c r="C76" s="896" t="s">
        <v>1403</v>
      </c>
      <c r="D76" s="902" t="str">
        <f>IF(SUM('Assets-Liab 5-6'!C39:K39)&gt;0,"OK","ENTRY IS REQUIRED!")</f>
        <v>OK</v>
      </c>
    </row>
    <row r="77" spans="1:4" x14ac:dyDescent="0.2">
      <c r="A77" s="878"/>
      <c r="B77" s="907">
        <f>B74+1</f>
        <v>11</v>
      </c>
      <c r="C77" s="952" t="s">
        <v>1363</v>
      </c>
      <c r="D77" s="902"/>
    </row>
    <row r="78" spans="1:4" x14ac:dyDescent="0.2">
      <c r="A78" s="878"/>
      <c r="B78" s="888"/>
      <c r="C78" s="896" t="s">
        <v>1990</v>
      </c>
      <c r="D78" s="902" t="str">
        <f>IF(ISNUMBER('Acct Summary 7-8'!C9),"OK","ENTRY IS REQUIRED!")</f>
        <v>OK</v>
      </c>
    </row>
    <row r="79" spans="1:4" x14ac:dyDescent="0.2">
      <c r="A79" s="897"/>
      <c r="B79" s="898">
        <f>B74+1+1</f>
        <v>12</v>
      </c>
      <c r="C79" s="908" t="s">
        <v>1873</v>
      </c>
      <c r="D79" s="909" t="str">
        <f>IF(OR(COVER!$B$6="X",'PCTC-OEPP 27-28'!F79&gt;0),"OK","PLEASE ENTER 9 MO ADA.")</f>
        <v>OK</v>
      </c>
    </row>
    <row r="80" spans="1:4" x14ac:dyDescent="0.2">
      <c r="A80" s="876"/>
      <c r="B80" s="898">
        <v>13</v>
      </c>
      <c r="C80" s="908" t="s">
        <v>1978</v>
      </c>
      <c r="D80" s="909" t="str">
        <f>IF(OR(COVER!$B$6="X",ISNUMBER('PCTC-OEPP 27-28'!F172)),"OK","PLEASE ENTER AMOUNT or 0.")</f>
        <v>OK</v>
      </c>
    </row>
    <row r="81" spans="1:4" x14ac:dyDescent="0.2">
      <c r="A81" s="876"/>
      <c r="B81" s="898">
        <v>14</v>
      </c>
      <c r="C81" s="908" t="s">
        <v>1979</v>
      </c>
      <c r="D81" s="909" t="str">
        <f>IF(OR(COVER!$B$6="X",ISNUMBER('PCTC-OEPP 27-28'!F173)),"OK","PLEASE ENTER AMOUNT or 0.")</f>
        <v>OK</v>
      </c>
    </row>
    <row r="82" spans="1:4" x14ac:dyDescent="0.2">
      <c r="A82" s="876"/>
      <c r="B82" s="898">
        <v>15</v>
      </c>
      <c r="C82" s="908" t="s">
        <v>1886</v>
      </c>
      <c r="D82" s="1900" t="str">
        <f>IF('Contracts Paid in CY 29'!$D$142&gt;0,"OK","PLEASE ENTER CONTRACTS PAID IN CURRENT YEAR.  IF NONE, STATE NO CONTRACTS ON PAGE 29.")</f>
        <v>OK</v>
      </c>
    </row>
    <row r="83" spans="1:4" x14ac:dyDescent="0.2">
      <c r="A83" s="876"/>
      <c r="B83" s="898">
        <v>16</v>
      </c>
      <c r="C83" s="908" t="s">
        <v>1409</v>
      </c>
      <c r="D83" s="901" t="str">
        <f>IF('Shared Outsourced Services 31'!B8="X","OK",IF('Shared Outsourced Services 31'!K34&gt;0,"OK","ENTRY REQUIRED!"))</f>
        <v>OK</v>
      </c>
    </row>
    <row r="84" spans="1:4" x14ac:dyDescent="0.2">
      <c r="A84" s="897"/>
      <c r="B84" s="898">
        <v>17</v>
      </c>
      <c r="C84" s="908" t="s">
        <v>1408</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2" t="s">
        <v>1969</v>
      </c>
      <c r="F1" s="1542" t="s">
        <v>1970</v>
      </c>
      <c r="G1" s="1899" t="s">
        <v>1980</v>
      </c>
    </row>
    <row r="2" spans="1:7" ht="15.75" x14ac:dyDescent="0.25">
      <c r="A2" t="s">
        <v>259</v>
      </c>
      <c r="B2" s="135">
        <f>COVER!A13</f>
        <v>13058100026</v>
      </c>
      <c r="E2" s="1541">
        <v>2020</v>
      </c>
      <c r="F2" s="1541">
        <v>1</v>
      </c>
      <c r="G2" s="1898">
        <v>101000300</v>
      </c>
    </row>
    <row r="3" spans="1:7" ht="15" x14ac:dyDescent="0.25">
      <c r="A3" t="s">
        <v>949</v>
      </c>
      <c r="B3" s="135" t="str">
        <f>COVER!A15</f>
        <v>Marion</v>
      </c>
      <c r="E3" s="1829" t="s">
        <v>1973</v>
      </c>
      <c r="F3" s="1829" t="s">
        <v>1972</v>
      </c>
      <c r="G3" s="1898">
        <v>101000400</v>
      </c>
    </row>
    <row r="4" spans="1:7" ht="15" x14ac:dyDescent="0.25">
      <c r="A4" t="s">
        <v>999</v>
      </c>
      <c r="B4" s="135" t="str">
        <f>COVER!A17</f>
        <v xml:space="preserve"> Patoka CUSD 100</v>
      </c>
      <c r="E4" s="1827">
        <v>44119</v>
      </c>
      <c r="F4" s="1828">
        <v>44151</v>
      </c>
      <c r="G4" s="1898">
        <v>101000600</v>
      </c>
    </row>
    <row r="5" spans="1:7" ht="15" x14ac:dyDescent="0.25">
      <c r="A5" t="s">
        <v>698</v>
      </c>
      <c r="B5" s="135" t="str">
        <f>COVER!A38</f>
        <v>David Rademacher</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CASH</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No</v>
      </c>
      <c r="G12" s="1898">
        <v>202100600</v>
      </c>
    </row>
    <row r="13" spans="1:7" ht="15" x14ac:dyDescent="0.25">
      <c r="A13" s="1" t="s">
        <v>1529</v>
      </c>
      <c r="B13" s="135" t="str">
        <f>IF(COVER!J30="x","Yes",IF(COVER!L30="x","No",0))</f>
        <v>No</v>
      </c>
      <c r="G13" s="1898">
        <v>202100800</v>
      </c>
    </row>
    <row r="14" spans="1:7" ht="15" x14ac:dyDescent="0.25">
      <c r="A14" t="s">
        <v>472</v>
      </c>
      <c r="B14" s="135" t="str">
        <f>IF(COVER!J31="x","Yes",IF(COVER!L31="x","No",0))</f>
        <v>No</v>
      </c>
      <c r="G14" s="1898">
        <v>402100300</v>
      </c>
    </row>
    <row r="15" spans="1:7" ht="15" x14ac:dyDescent="0.25">
      <c r="A15" t="s">
        <v>572</v>
      </c>
      <c r="B15" s="135" t="str">
        <f>COVER!T23</f>
        <v>066-004976</v>
      </c>
      <c r="G15" s="1898">
        <v>402100400</v>
      </c>
    </row>
    <row r="16" spans="1:7" ht="15" x14ac:dyDescent="0.25">
      <c r="A16" t="s">
        <v>418</v>
      </c>
      <c r="B16" s="135" t="str">
        <f>COVER!T13</f>
        <v>Glass &amp; Shuffett, Ltd.</v>
      </c>
      <c r="G16" s="1898">
        <v>402100600</v>
      </c>
    </row>
    <row r="17" spans="1:7" ht="15" x14ac:dyDescent="0.25">
      <c r="A17" t="s">
        <v>877</v>
      </c>
      <c r="B17" s="135" t="str">
        <f>COVER!T15</f>
        <v>Bo V. Thomas, CPA</v>
      </c>
      <c r="G17" s="1898">
        <v>402100800</v>
      </c>
    </row>
    <row r="18" spans="1:7" ht="15" x14ac:dyDescent="0.25">
      <c r="A18" t="s">
        <v>1141</v>
      </c>
      <c r="B18" s="135" t="str">
        <f>COVER!T17</f>
        <v>1819 W. McCord, PO Box 489</v>
      </c>
      <c r="G18" s="1898">
        <v>102200300</v>
      </c>
    </row>
    <row r="19" spans="1:7" ht="15" x14ac:dyDescent="0.25">
      <c r="A19" t="s">
        <v>879</v>
      </c>
      <c r="B19" s="135" t="str">
        <f>COVER!T25</f>
        <v>gandscpa@sbcglobal.net</v>
      </c>
      <c r="G19" s="1898">
        <v>102200400</v>
      </c>
    </row>
    <row r="20" spans="1:7" ht="15" x14ac:dyDescent="0.25">
      <c r="A20" t="s">
        <v>880</v>
      </c>
      <c r="B20" s="135" t="str">
        <f>COVER!T19</f>
        <v>Centralia</v>
      </c>
      <c r="G20" s="1898">
        <v>102200600</v>
      </c>
    </row>
    <row r="21" spans="1:7" ht="15" x14ac:dyDescent="0.25">
      <c r="A21" t="s">
        <v>475</v>
      </c>
      <c r="B21" s="135" t="str">
        <f>COVER!X19</f>
        <v>IL</v>
      </c>
      <c r="G21" s="1898">
        <v>102200800</v>
      </c>
    </row>
    <row r="22" spans="1:7" ht="15" x14ac:dyDescent="0.25">
      <c r="A22" t="s">
        <v>881</v>
      </c>
      <c r="B22" s="135">
        <f>COVER!Z19</f>
        <v>62801</v>
      </c>
      <c r="G22" s="1898">
        <v>102300300</v>
      </c>
    </row>
    <row r="23" spans="1:7" ht="15" x14ac:dyDescent="0.25">
      <c r="A23" t="s">
        <v>1143</v>
      </c>
      <c r="B23" s="135" t="str">
        <f>COVER!T21</f>
        <v>618-532-5683</v>
      </c>
      <c r="G23" s="1898">
        <v>102300400</v>
      </c>
    </row>
    <row r="24" spans="1:7" ht="15" x14ac:dyDescent="0.25">
      <c r="A24" t="s">
        <v>1142</v>
      </c>
      <c r="B24" s="135">
        <f>COVER!Y21</f>
        <v>0</v>
      </c>
      <c r="G24" s="1898">
        <v>102300600</v>
      </c>
    </row>
    <row r="25" spans="1:7" ht="15" x14ac:dyDescent="0.25">
      <c r="A25" t="s">
        <v>755</v>
      </c>
      <c r="B25" s="135" t="str">
        <f>COVER!B34</f>
        <v>x</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0</v>
      </c>
      <c r="G49" s="1898">
        <v>102540800</v>
      </c>
    </row>
    <row r="50" spans="1:7" ht="15" x14ac:dyDescent="0.25">
      <c r="A50" s="1" t="s">
        <v>1465</v>
      </c>
      <c r="B50" s="146">
        <f>'Aud Quest 2'!H53</f>
        <v>0</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341545</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560440</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226</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226</v>
      </c>
      <c r="C91" s="2" t="s">
        <v>568</v>
      </c>
      <c r="D91" s="2" t="str">
        <f t="shared" si="0"/>
        <v>Error?</v>
      </c>
      <c r="G91" s="1898">
        <v>102640400</v>
      </c>
    </row>
    <row r="92" spans="1:7" ht="15" x14ac:dyDescent="0.25">
      <c r="A92" s="5">
        <v>31</v>
      </c>
      <c r="B92" s="1831">
        <f>'Assets-Liab 5-6'!C39</f>
        <v>533563</v>
      </c>
      <c r="D92" s="2" t="str">
        <f t="shared" si="0"/>
        <v>Error?</v>
      </c>
      <c r="G92" s="1898">
        <v>102640600</v>
      </c>
    </row>
    <row r="93" spans="1:7" ht="15" x14ac:dyDescent="0.25">
      <c r="A93" s="5">
        <v>32</v>
      </c>
      <c r="B93" s="1831">
        <f>'Assets-Liab 5-6'!C41</f>
        <v>560440</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308917</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379798</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568</v>
      </c>
      <c r="D122" s="2" t="str">
        <f t="shared" si="0"/>
        <v>Error?</v>
      </c>
      <c r="G122" s="1898">
        <v>203000300</v>
      </c>
    </row>
    <row r="123" spans="1:7" ht="15" x14ac:dyDescent="0.25">
      <c r="A123" s="5">
        <v>62</v>
      </c>
      <c r="B123" s="1831">
        <f>'Assets-Liab 5-6'!D39</f>
        <v>374790</v>
      </c>
      <c r="D123" s="2" t="str">
        <f t="shared" si="0"/>
        <v>Error?</v>
      </c>
      <c r="G123" s="1898">
        <v>203000400</v>
      </c>
    </row>
    <row r="124" spans="1:7" ht="15" x14ac:dyDescent="0.25">
      <c r="A124" s="5">
        <v>63</v>
      </c>
      <c r="B124" s="1831">
        <f>'Assets-Liab 5-6'!D41</f>
        <v>379798</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26100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35647</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35647</v>
      </c>
      <c r="D140" s="2" t="str">
        <f t="shared" si="1"/>
        <v>Error?</v>
      </c>
    </row>
    <row r="141" spans="1:7" x14ac:dyDescent="0.2">
      <c r="A141" s="5">
        <v>80</v>
      </c>
      <c r="B141" s="1831">
        <f>'Assets-Liab 5-6'!E41</f>
        <v>35647</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62257</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62257</v>
      </c>
      <c r="D170" s="2" t="str">
        <f t="shared" si="1"/>
        <v>Error?</v>
      </c>
    </row>
    <row r="171" spans="1:4" x14ac:dyDescent="0.2">
      <c r="A171" s="5">
        <v>110</v>
      </c>
      <c r="B171" s="1831">
        <f>'Assets-Liab 5-6'!F41</f>
        <v>62257</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51497</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73581</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73581</v>
      </c>
      <c r="D189" s="2" t="str">
        <f t="shared" si="1"/>
        <v>Error?</v>
      </c>
    </row>
    <row r="190" spans="1:4" x14ac:dyDescent="0.2">
      <c r="A190" s="5">
        <v>129</v>
      </c>
      <c r="B190" s="1831">
        <f>'Assets-Liab 5-6'!G41</f>
        <v>73581</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790653</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790653</v>
      </c>
      <c r="D212" s="2" t="str">
        <f t="shared" si="2"/>
        <v>Error?</v>
      </c>
    </row>
    <row r="213" spans="1:4" x14ac:dyDescent="0.2">
      <c r="A213" s="12">
        <v>152</v>
      </c>
      <c r="B213" s="1831">
        <f>'Assets-Liab 5-6'!H41</f>
        <v>790653</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4000</v>
      </c>
      <c r="D273" s="2" t="str">
        <f t="shared" si="3"/>
        <v>Error?</v>
      </c>
    </row>
    <row r="274" spans="1:4" x14ac:dyDescent="0.2">
      <c r="A274" s="5">
        <v>213</v>
      </c>
      <c r="B274" s="1831">
        <f>'Assets-Liab 5-6'!M17</f>
        <v>6458551</v>
      </c>
      <c r="D274" s="2" t="str">
        <f t="shared" si="3"/>
        <v>Error?</v>
      </c>
    </row>
    <row r="275" spans="1:4" x14ac:dyDescent="0.2">
      <c r="A275" s="5">
        <v>214</v>
      </c>
      <c r="B275" s="1831">
        <f>'Assets-Liab 5-6'!M18</f>
        <v>46255</v>
      </c>
      <c r="D275" s="2" t="str">
        <f t="shared" si="3"/>
        <v>Error?</v>
      </c>
    </row>
    <row r="276" spans="1:4" x14ac:dyDescent="0.2">
      <c r="A276" s="5">
        <v>215</v>
      </c>
      <c r="B276" s="1831">
        <f>'Assets-Liab 5-6'!M19</f>
        <v>1213639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7976643</v>
      </c>
      <c r="C279" s="2" t="s">
        <v>568</v>
      </c>
      <c r="D279" s="2" t="str">
        <f t="shared" si="3"/>
        <v>Error?</v>
      </c>
    </row>
    <row r="280" spans="1:4" x14ac:dyDescent="0.2">
      <c r="A280" s="5">
        <v>219</v>
      </c>
      <c r="B280" s="1831">
        <f>'Assets-Liab 5-6'!M40</f>
        <v>7976643</v>
      </c>
      <c r="D280" s="2" t="str">
        <f t="shared" si="3"/>
        <v>Error?</v>
      </c>
    </row>
    <row r="281" spans="1:4" x14ac:dyDescent="0.2">
      <c r="A281" s="5">
        <v>220</v>
      </c>
      <c r="B281" s="1831">
        <f>'Assets-Liab 5-6'!M41</f>
        <v>7976643</v>
      </c>
      <c r="C281" s="2" t="s">
        <v>568</v>
      </c>
      <c r="D281" s="2" t="str">
        <f t="shared" si="3"/>
        <v>Error?</v>
      </c>
    </row>
    <row r="282" spans="1:4" x14ac:dyDescent="0.2">
      <c r="A282" s="5">
        <v>221</v>
      </c>
      <c r="B282" s="1831">
        <f>'Assets-Liab 5-6'!N21</f>
        <v>35647</v>
      </c>
      <c r="D282" s="2" t="str">
        <f t="shared" si="3"/>
        <v>Error?</v>
      </c>
    </row>
    <row r="283" spans="1:4" x14ac:dyDescent="0.2">
      <c r="A283" s="5">
        <v>222</v>
      </c>
      <c r="B283" s="1831">
        <f>'Assets-Liab 5-6'!N22</f>
        <v>4149394</v>
      </c>
      <c r="D283" s="2" t="str">
        <f t="shared" si="3"/>
        <v>Error?</v>
      </c>
    </row>
    <row r="284" spans="1:4" x14ac:dyDescent="0.2">
      <c r="A284" s="5">
        <v>223</v>
      </c>
      <c r="B284" s="1831">
        <f>'Assets-Liab 5-6'!N23</f>
        <v>4185041</v>
      </c>
      <c r="C284" s="2" t="s">
        <v>568</v>
      </c>
      <c r="D284" s="2" t="str">
        <f t="shared" si="3"/>
        <v>Error?</v>
      </c>
    </row>
    <row r="285" spans="1:4" x14ac:dyDescent="0.2">
      <c r="A285" s="5">
        <v>224</v>
      </c>
      <c r="B285" s="1831">
        <f>'Assets-Liab 5-6'!N36</f>
        <v>4185041</v>
      </c>
      <c r="D285" s="2" t="str">
        <f t="shared" si="3"/>
        <v>Error?</v>
      </c>
    </row>
    <row r="286" spans="1:4" x14ac:dyDescent="0.2">
      <c r="A286" s="10">
        <v>225</v>
      </c>
      <c r="B286" s="1831"/>
      <c r="D286" s="2" t="str">
        <f t="shared" si="3"/>
        <v>OK</v>
      </c>
    </row>
    <row r="287" spans="1:4" x14ac:dyDescent="0.2">
      <c r="A287" s="5">
        <v>226</v>
      </c>
      <c r="B287" s="1831">
        <f>'Assets-Liab 5-6'!N37</f>
        <v>4185041</v>
      </c>
      <c r="C287" s="2" t="s">
        <v>568</v>
      </c>
      <c r="D287" s="2" t="str">
        <f t="shared" si="3"/>
        <v>Error?</v>
      </c>
    </row>
    <row r="288" spans="1:4" x14ac:dyDescent="0.2">
      <c r="A288" s="5">
        <v>227</v>
      </c>
      <c r="B288" s="1831">
        <f>'Assets-Liab 5-6'!N41</f>
        <v>4185041</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1510000</v>
      </c>
      <c r="D651" s="2" t="str">
        <f t="shared" si="9"/>
        <v>Error?</v>
      </c>
    </row>
    <row r="652" spans="1:4" x14ac:dyDescent="0.2">
      <c r="A652" s="5">
        <v>591</v>
      </c>
      <c r="B652" s="1831">
        <f>'Acct Summary 7-8'!I34</f>
        <v>19133</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812718</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129702</v>
      </c>
      <c r="D717" s="2" t="str">
        <f t="shared" si="10"/>
        <v>Error?</v>
      </c>
    </row>
    <row r="718" spans="1:4" x14ac:dyDescent="0.2">
      <c r="A718" s="5">
        <v>657</v>
      </c>
      <c r="B718" s="1831">
        <f>'Expenditures 15-22'!C14</f>
        <v>50457</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1257755</v>
      </c>
      <c r="C720" s="2" t="s">
        <v>568</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54503</v>
      </c>
      <c r="D722" s="2" t="str">
        <f t="shared" si="10"/>
        <v>Error?</v>
      </c>
    </row>
    <row r="723" spans="1:4" x14ac:dyDescent="0.2">
      <c r="A723" s="5">
        <v>662</v>
      </c>
      <c r="B723" s="1831">
        <f>'Expenditures 15-22'!C38</f>
        <v>14478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68981</v>
      </c>
      <c r="C727" s="2" t="s">
        <v>568</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27784</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27784</v>
      </c>
      <c r="C731" s="2" t="s">
        <v>568</v>
      </c>
      <c r="D731" s="2" t="str">
        <f t="shared" si="10"/>
        <v>Error?</v>
      </c>
    </row>
    <row r="732" spans="1:4" x14ac:dyDescent="0.2">
      <c r="A732" s="5">
        <v>671</v>
      </c>
      <c r="B732" s="1831">
        <f>'Expenditures 15-22'!C49</f>
        <v>1130</v>
      </c>
      <c r="D732" s="2" t="str">
        <f t="shared" si="10"/>
        <v>Error?</v>
      </c>
    </row>
    <row r="733" spans="1:4" x14ac:dyDescent="0.2">
      <c r="A733" s="5">
        <v>672</v>
      </c>
      <c r="B733" s="1831">
        <f>'Expenditures 15-22'!C50</f>
        <v>117499</v>
      </c>
      <c r="D733" s="2" t="str">
        <f t="shared" si="10"/>
        <v>Error?</v>
      </c>
    </row>
    <row r="734" spans="1:4" x14ac:dyDescent="0.2">
      <c r="A734" s="5">
        <v>673</v>
      </c>
      <c r="B734" s="1831">
        <f>'Expenditures 15-22'!C53</f>
        <v>118629</v>
      </c>
      <c r="C734" s="2" t="s">
        <v>568</v>
      </c>
      <c r="D734" s="2" t="str">
        <f t="shared" si="10"/>
        <v>Error?</v>
      </c>
    </row>
    <row r="735" spans="1:4" x14ac:dyDescent="0.2">
      <c r="A735" s="5">
        <v>674</v>
      </c>
      <c r="B735" s="1831">
        <f>'Expenditures 15-22'!C55</f>
        <v>127253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127253</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49820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84761</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134581</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477228</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1734983</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95573</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15189</v>
      </c>
      <c r="D775" s="2" t="str">
        <f t="shared" si="11"/>
        <v>Error?</v>
      </c>
    </row>
    <row r="776" spans="1:4" x14ac:dyDescent="0.2">
      <c r="A776" s="5">
        <v>715</v>
      </c>
      <c r="B776" s="1831">
        <f>'Expenditures 15-22'!D14</f>
        <v>3163</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142297</v>
      </c>
      <c r="C778" s="2" t="s">
        <v>568</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6765</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6765</v>
      </c>
      <c r="C785" s="2" t="s">
        <v>568</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16822</v>
      </c>
      <c r="D791" s="2" t="str">
        <f t="shared" si="11"/>
        <v>Error?</v>
      </c>
    </row>
    <row r="792" spans="1:4" x14ac:dyDescent="0.2">
      <c r="A792" s="5">
        <v>731</v>
      </c>
      <c r="B792" s="1831">
        <f>'Expenditures 15-22'!D53</f>
        <v>16822</v>
      </c>
      <c r="C792" s="2" t="s">
        <v>568</v>
      </c>
      <c r="D792" s="2" t="str">
        <f t="shared" si="11"/>
        <v>Error?</v>
      </c>
    </row>
    <row r="793" spans="1:4" x14ac:dyDescent="0.2">
      <c r="A793" s="5">
        <v>732</v>
      </c>
      <c r="B793" s="1831">
        <f>'Expenditures 15-22'!D55</f>
        <v>12342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12342</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35929</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178226</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10889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16186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30097</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175</v>
      </c>
      <c r="D838" s="2" t="str">
        <f t="shared" si="12"/>
        <v>Error?</v>
      </c>
    </row>
    <row r="839" spans="1:4" x14ac:dyDescent="0.2">
      <c r="A839" s="5">
        <v>778</v>
      </c>
      <c r="B839" s="1831">
        <f>'Expenditures 15-22'!E38</f>
        <v>93</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268</v>
      </c>
      <c r="C843" s="2" t="s">
        <v>568</v>
      </c>
      <c r="D843" s="2" t="str">
        <f t="shared" si="12"/>
        <v>Error?</v>
      </c>
    </row>
    <row r="844" spans="1:4" x14ac:dyDescent="0.2">
      <c r="A844" s="5">
        <v>783</v>
      </c>
      <c r="B844" s="1831">
        <f>'Expenditures 15-22'!E44</f>
        <v>26528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26528</v>
      </c>
      <c r="C847" s="2" t="s">
        <v>568</v>
      </c>
      <c r="D847" s="2" t="str">
        <f t="shared" si="12"/>
        <v>Error?</v>
      </c>
    </row>
    <row r="848" spans="1:4" x14ac:dyDescent="0.2">
      <c r="A848" s="5">
        <v>787</v>
      </c>
      <c r="B848" s="1831">
        <f>'Expenditures 15-22'!E49</f>
        <v>7883</v>
      </c>
      <c r="D848" s="2" t="str">
        <f t="shared" si="12"/>
        <v>Error?</v>
      </c>
    </row>
    <row r="849" spans="1:4" x14ac:dyDescent="0.2">
      <c r="A849" s="5">
        <v>788</v>
      </c>
      <c r="B849" s="1831">
        <f>'Expenditures 15-22'!E50</f>
        <v>1167</v>
      </c>
      <c r="D849" s="2" t="str">
        <f t="shared" si="12"/>
        <v>Error?</v>
      </c>
    </row>
    <row r="850" spans="1:4" x14ac:dyDescent="0.2">
      <c r="A850" s="5">
        <v>789</v>
      </c>
      <c r="B850" s="1831">
        <f>'Expenditures 15-22'!E53</f>
        <v>9050</v>
      </c>
      <c r="C850" s="2" t="s">
        <v>568</v>
      </c>
      <c r="D850" s="2" t="str">
        <f t="shared" si="12"/>
        <v>Error?</v>
      </c>
    </row>
    <row r="851" spans="1:4" x14ac:dyDescent="0.2">
      <c r="A851" s="5">
        <v>790</v>
      </c>
      <c r="B851" s="1831">
        <f>'Expenditures 15-22'!E55</f>
        <v>638</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638</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50</v>
      </c>
      <c r="D855" s="2" t="str">
        <f t="shared" si="12"/>
        <v>Error?</v>
      </c>
    </row>
    <row r="856" spans="1:4" x14ac:dyDescent="0.2">
      <c r="A856" s="5">
        <v>795</v>
      </c>
      <c r="B856" s="1831">
        <f>'Expenditures 15-22'!E61</f>
        <v>25679</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990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26719</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63203</v>
      </c>
      <c r="C871" s="2" t="s">
        <v>568</v>
      </c>
      <c r="D871" s="2" t="str">
        <f t="shared" si="12"/>
        <v>Error?</v>
      </c>
    </row>
    <row r="872" spans="1:4" x14ac:dyDescent="0.2">
      <c r="A872" s="5">
        <v>811</v>
      </c>
      <c r="B872" s="1831">
        <f>'Expenditures 15-22'!E75</f>
        <v>772</v>
      </c>
      <c r="D872" s="2" t="str">
        <f t="shared" si="12"/>
        <v>Error?</v>
      </c>
    </row>
    <row r="873" spans="1:4" x14ac:dyDescent="0.2">
      <c r="A873" s="5">
        <v>812</v>
      </c>
      <c r="B873" s="1831">
        <f>'Expenditures 15-22'!E114</f>
        <v>95872</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74121</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981</v>
      </c>
      <c r="D891" s="2" t="str">
        <f t="shared" si="12"/>
        <v>Error?</v>
      </c>
    </row>
    <row r="892" spans="1:4" x14ac:dyDescent="0.2">
      <c r="A892" s="5">
        <v>831</v>
      </c>
      <c r="B892" s="1831">
        <f>'Expenditures 15-22'!F14</f>
        <v>6475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82370</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82</v>
      </c>
      <c r="D896" s="2" t="str">
        <f t="shared" si="13"/>
        <v>Error?</v>
      </c>
    </row>
    <row r="897" spans="1:4" x14ac:dyDescent="0.2">
      <c r="A897" s="5">
        <v>836</v>
      </c>
      <c r="B897" s="1831">
        <f>'Expenditures 15-22'!F38</f>
        <v>1341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1423</v>
      </c>
      <c r="C901" s="2" t="s">
        <v>568</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650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650</v>
      </c>
      <c r="C905" s="2" t="s">
        <v>568</v>
      </c>
      <c r="D905" s="2" t="str">
        <f t="shared" si="13"/>
        <v>Error?</v>
      </c>
    </row>
    <row r="906" spans="1:4" x14ac:dyDescent="0.2">
      <c r="A906" s="5">
        <v>845</v>
      </c>
      <c r="B906" s="1831">
        <f>'Expenditures 15-22'!F49</f>
        <v>2971</v>
      </c>
      <c r="D906" s="2" t="str">
        <f t="shared" si="13"/>
        <v>Error?</v>
      </c>
    </row>
    <row r="907" spans="1:4" x14ac:dyDescent="0.2">
      <c r="A907" s="5">
        <v>846</v>
      </c>
      <c r="B907" s="1831">
        <f>'Expenditures 15-22'!F50</f>
        <v>648</v>
      </c>
      <c r="D907" s="2" t="str">
        <f t="shared" si="13"/>
        <v>Error?</v>
      </c>
    </row>
    <row r="908" spans="1:4" x14ac:dyDescent="0.2">
      <c r="A908" s="5">
        <v>847</v>
      </c>
      <c r="B908" s="1831">
        <f>'Expenditures 15-22'!F53</f>
        <v>3619</v>
      </c>
      <c r="C908" s="2" t="s">
        <v>568</v>
      </c>
      <c r="D908" s="2" t="str">
        <f t="shared" si="13"/>
        <v>Error?</v>
      </c>
    </row>
    <row r="909" spans="1:4" x14ac:dyDescent="0.2">
      <c r="A909" s="5">
        <v>848</v>
      </c>
      <c r="B909" s="1831">
        <f>'Expenditures 15-22'!F55</f>
        <v>1432</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1432</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4690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50070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54760</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1429</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1429</v>
      </c>
      <c r="C927" s="2" t="s">
        <v>568</v>
      </c>
      <c r="D927" s="2" t="str">
        <f t="shared" si="13"/>
        <v>Error?</v>
      </c>
    </row>
    <row r="928" spans="1:4" x14ac:dyDescent="0.2">
      <c r="A928" s="5">
        <v>867</v>
      </c>
      <c r="B928" s="1831">
        <f>'Expenditures 15-22'!F73</f>
        <v>143</v>
      </c>
      <c r="D928" s="2" t="str">
        <f t="shared" si="13"/>
        <v>Error?</v>
      </c>
    </row>
    <row r="929" spans="1:4" x14ac:dyDescent="0.2">
      <c r="A929" s="5">
        <v>868</v>
      </c>
      <c r="B929" s="1831">
        <f>'Expenditures 15-22'!F74</f>
        <v>63456</v>
      </c>
      <c r="C929" s="2" t="s">
        <v>568</v>
      </c>
      <c r="D929" s="2" t="str">
        <f t="shared" si="13"/>
        <v>Error?</v>
      </c>
    </row>
    <row r="930" spans="1:4" x14ac:dyDescent="0.2">
      <c r="A930" s="5">
        <v>869</v>
      </c>
      <c r="B930" s="1831">
        <f>'Expenditures 15-22'!F75</f>
        <v>4234</v>
      </c>
      <c r="D930" s="2" t="str">
        <f t="shared" si="13"/>
        <v>Error?</v>
      </c>
    </row>
    <row r="931" spans="1:4" x14ac:dyDescent="0.2">
      <c r="A931" s="5">
        <v>870</v>
      </c>
      <c r="B931" s="1831">
        <f>'Expenditures 15-22'!F114</f>
        <v>150060</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1167</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5691</v>
      </c>
      <c r="D1007" s="2" t="str">
        <f t="shared" si="14"/>
        <v>Error?</v>
      </c>
    </row>
    <row r="1008" spans="1:4" x14ac:dyDescent="0.2">
      <c r="A1008" s="5">
        <v>947</v>
      </c>
      <c r="B1008" s="1831">
        <f>'Expenditures 15-22'!H14</f>
        <v>2151</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9009</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140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140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8665</v>
      </c>
      <c r="D1022" s="2" t="str">
        <f t="shared" si="14"/>
        <v>Error?</v>
      </c>
    </row>
    <row r="1023" spans="1:4" x14ac:dyDescent="0.2">
      <c r="A1023" s="5">
        <v>962</v>
      </c>
      <c r="B1023" s="1831">
        <f>'Expenditures 15-22'!H50</f>
        <v>355</v>
      </c>
      <c r="D1023" s="2" t="str">
        <f t="shared" ref="D1023:D1086" si="15">IF(ISBLANK(B1023),"OK",IF(A1023-B1023=0,"OK","Error?"))</f>
        <v>Error?</v>
      </c>
    </row>
    <row r="1024" spans="1:4" x14ac:dyDescent="0.2">
      <c r="A1024" s="5">
        <v>963</v>
      </c>
      <c r="B1024" s="1831">
        <f>'Expenditures 15-22'!H53</f>
        <v>9020</v>
      </c>
      <c r="C1024" s="2" t="s">
        <v>568</v>
      </c>
      <c r="D1024" s="2" t="str">
        <f t="shared" si="15"/>
        <v>Error?</v>
      </c>
    </row>
    <row r="1025" spans="1:4" x14ac:dyDescent="0.2">
      <c r="A1025" s="5">
        <v>964</v>
      </c>
      <c r="B1025" s="1831">
        <f>'Expenditures 15-22'!H55</f>
        <v>459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459</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685</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685</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10304</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93899</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113212</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1999</v>
      </c>
      <c r="E1056" s="4" t="s">
        <v>1998</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994468</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151563</v>
      </c>
      <c r="C1105" s="2" t="s">
        <v>568</v>
      </c>
      <c r="D1105" s="2" t="str">
        <f t="shared" si="16"/>
        <v>Error?</v>
      </c>
    </row>
    <row r="1106" spans="1:4" x14ac:dyDescent="0.2">
      <c r="A1106" s="5">
        <v>1045</v>
      </c>
      <c r="B1106" s="1831">
        <f>'Expenditures 15-22'!K14</f>
        <v>78432</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1521528</v>
      </c>
      <c r="C1108" s="2" t="s">
        <v>568</v>
      </c>
      <c r="D1108" s="2" t="str">
        <f t="shared" si="16"/>
        <v>Error?</v>
      </c>
    </row>
    <row r="1109" spans="1:4" x14ac:dyDescent="0.2">
      <c r="A1109" s="5">
        <v>1048</v>
      </c>
      <c r="B1109" s="1831">
        <f>'Expenditures 15-22'!K36</f>
        <v>0</v>
      </c>
      <c r="C1109" s="2" t="s">
        <v>568</v>
      </c>
      <c r="D1109" s="2" t="str">
        <f t="shared" si="16"/>
        <v>Error?</v>
      </c>
    </row>
    <row r="1110" spans="1:4" x14ac:dyDescent="0.2">
      <c r="A1110" s="5">
        <v>1049</v>
      </c>
      <c r="B1110" s="1831">
        <f>'Expenditures 15-22'!K37</f>
        <v>61525</v>
      </c>
      <c r="C1110" s="2" t="s">
        <v>568</v>
      </c>
      <c r="D1110" s="2" t="str">
        <f t="shared" si="16"/>
        <v>Error?</v>
      </c>
    </row>
    <row r="1111" spans="1:4" x14ac:dyDescent="0.2">
      <c r="A1111" s="5">
        <v>1050</v>
      </c>
      <c r="B1111" s="1831">
        <f>'Expenditures 15-22'!K38</f>
        <v>16052</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0</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77577</v>
      </c>
      <c r="C1115" s="2" t="s">
        <v>568</v>
      </c>
      <c r="D1115" s="2" t="str">
        <f t="shared" si="16"/>
        <v>Error?</v>
      </c>
    </row>
    <row r="1116" spans="1:4" x14ac:dyDescent="0.2">
      <c r="A1116" s="5">
        <v>1055</v>
      </c>
      <c r="B1116" s="1831">
        <f>'Expenditures 15-22'!K44</f>
        <v>26528</v>
      </c>
      <c r="C1116" s="2" t="s">
        <v>568</v>
      </c>
      <c r="D1116" s="2" t="str">
        <f t="shared" si="16"/>
        <v>Error?</v>
      </c>
    </row>
    <row r="1117" spans="1:4" x14ac:dyDescent="0.2">
      <c r="A1117" s="5">
        <v>1056</v>
      </c>
      <c r="B1117" s="1831">
        <f>'Expenditures 15-22'!K45</f>
        <v>28434</v>
      </c>
      <c r="C1117" s="2" t="s">
        <v>568</v>
      </c>
      <c r="D1117" s="2" t="str">
        <f t="shared" si="16"/>
        <v>Error?</v>
      </c>
    </row>
    <row r="1118" spans="1:4" x14ac:dyDescent="0.2">
      <c r="A1118" s="5">
        <v>1057</v>
      </c>
      <c r="B1118" s="1831">
        <f>'Expenditures 15-22'!K46</f>
        <v>0</v>
      </c>
      <c r="C1118" s="2" t="s">
        <v>568</v>
      </c>
      <c r="D1118" s="2" t="str">
        <f t="shared" si="16"/>
        <v>Error?</v>
      </c>
    </row>
    <row r="1119" spans="1:4" x14ac:dyDescent="0.2">
      <c r="A1119" s="5">
        <v>1058</v>
      </c>
      <c r="B1119" s="1831">
        <f>'Expenditures 15-22'!K47</f>
        <v>54962</v>
      </c>
      <c r="C1119" s="2" t="s">
        <v>568</v>
      </c>
      <c r="D1119" s="2" t="str">
        <f t="shared" si="16"/>
        <v>Error?</v>
      </c>
    </row>
    <row r="1120" spans="1:4" x14ac:dyDescent="0.2">
      <c r="A1120" s="5">
        <v>1059</v>
      </c>
      <c r="B1120" s="1831">
        <f>'Expenditures 15-22'!K49</f>
        <v>20649</v>
      </c>
      <c r="C1120" s="2" t="s">
        <v>568</v>
      </c>
      <c r="D1120" s="2" t="str">
        <f t="shared" si="16"/>
        <v>Error?</v>
      </c>
    </row>
    <row r="1121" spans="1:4" x14ac:dyDescent="0.2">
      <c r="A1121" s="5">
        <v>1060</v>
      </c>
      <c r="B1121" s="1831">
        <f>'Expenditures 15-22'!K50</f>
        <v>136491</v>
      </c>
      <c r="C1121" s="2" t="s">
        <v>568</v>
      </c>
      <c r="D1121" s="2" t="str">
        <f t="shared" si="16"/>
        <v>Error?</v>
      </c>
    </row>
    <row r="1122" spans="1:4" x14ac:dyDescent="0.2">
      <c r="A1122" s="5">
        <v>1061</v>
      </c>
      <c r="B1122" s="1831">
        <f>'Expenditures 15-22'!K53</f>
        <v>157140</v>
      </c>
      <c r="C1122" s="2" t="s">
        <v>568</v>
      </c>
      <c r="D1122" s="2" t="str">
        <f t="shared" si="16"/>
        <v>Error?</v>
      </c>
    </row>
    <row r="1123" spans="1:4" x14ac:dyDescent="0.2">
      <c r="A1123" s="5">
        <v>1062</v>
      </c>
      <c r="B1123" s="1831">
        <f>'Expenditures 15-22'!K55</f>
        <v>142124</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142124</v>
      </c>
      <c r="C1125" s="2" t="s">
        <v>568</v>
      </c>
      <c r="D1125" s="2" t="str">
        <f t="shared" si="16"/>
        <v>Error?</v>
      </c>
    </row>
    <row r="1126" spans="1:4" x14ac:dyDescent="0.2">
      <c r="A1126" s="5">
        <v>1065</v>
      </c>
      <c r="B1126" s="1831">
        <f>'Expenditures 15-22'!K59</f>
        <v>0</v>
      </c>
      <c r="C1126" s="2" t="s">
        <v>568</v>
      </c>
      <c r="D1126" s="2" t="str">
        <f t="shared" si="16"/>
        <v>Error?</v>
      </c>
    </row>
    <row r="1127" spans="1:4" x14ac:dyDescent="0.2">
      <c r="A1127" s="5">
        <v>1066</v>
      </c>
      <c r="B1127" s="1831">
        <f>'Expenditures 15-22'!K60</f>
        <v>55245</v>
      </c>
      <c r="C1127" s="2" t="s">
        <v>568</v>
      </c>
      <c r="D1127" s="2" t="str">
        <f t="shared" si="16"/>
        <v>Error?</v>
      </c>
    </row>
    <row r="1128" spans="1:4" x14ac:dyDescent="0.2">
      <c r="A1128" s="5">
        <v>1067</v>
      </c>
      <c r="B1128" s="1831">
        <f>'Expenditures 15-22'!K61</f>
        <v>25679</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135821</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216745</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1429</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1429</v>
      </c>
      <c r="C1141" s="2" t="s">
        <v>568</v>
      </c>
      <c r="D1141" s="2" t="str">
        <f t="shared" si="16"/>
        <v>Error?</v>
      </c>
    </row>
    <row r="1142" spans="1:4" x14ac:dyDescent="0.2">
      <c r="A1142" s="5">
        <v>1081</v>
      </c>
      <c r="B1142" s="1831">
        <f>'Expenditures 15-22'!K73</f>
        <v>143</v>
      </c>
      <c r="C1142" s="2" t="s">
        <v>568</v>
      </c>
      <c r="D1142" s="2" t="str">
        <f t="shared" si="16"/>
        <v>Error?</v>
      </c>
    </row>
    <row r="1143" spans="1:4" x14ac:dyDescent="0.2">
      <c r="A1143" s="5">
        <v>1082</v>
      </c>
      <c r="B1143" s="1831">
        <f>'Expenditures 15-22'!K74</f>
        <v>650120</v>
      </c>
      <c r="C1143" s="2" t="s">
        <v>568</v>
      </c>
      <c r="D1143" s="2" t="str">
        <f t="shared" si="16"/>
        <v>Error?</v>
      </c>
    </row>
    <row r="1144" spans="1:4" x14ac:dyDescent="0.2">
      <c r="A1144" s="5">
        <v>1083</v>
      </c>
      <c r="B1144" s="1831">
        <f>'Expenditures 15-22'!K75</f>
        <v>5006</v>
      </c>
      <c r="C1144" s="2" t="s">
        <v>568</v>
      </c>
      <c r="D1144" s="2" t="str">
        <f t="shared" si="16"/>
        <v>Error?</v>
      </c>
    </row>
    <row r="1145" spans="1:4" x14ac:dyDescent="0.2">
      <c r="A1145" s="5">
        <v>1084</v>
      </c>
      <c r="B1145" s="1831">
        <f>'Expenditures 15-22'!K102</f>
        <v>95699</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2272353</v>
      </c>
      <c r="C1152" s="2" t="s">
        <v>568</v>
      </c>
      <c r="D1152" s="2" t="str">
        <f t="shared" si="17"/>
        <v>Error?</v>
      </c>
    </row>
    <row r="1153" spans="1:4" x14ac:dyDescent="0.2">
      <c r="A1153" s="5">
        <v>1092</v>
      </c>
      <c r="B1153" s="1831">
        <f>'Expenditures 15-22'!K115</f>
        <v>28892</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107827</v>
      </c>
      <c r="D1221" s="2" t="str">
        <f t="shared" si="18"/>
        <v>Error?</v>
      </c>
    </row>
    <row r="1222" spans="1:4" x14ac:dyDescent="0.2">
      <c r="A1222" s="10">
        <v>1161</v>
      </c>
      <c r="B1222" s="1831"/>
      <c r="D1222" s="2" t="str">
        <f t="shared" si="18"/>
        <v>OK</v>
      </c>
    </row>
    <row r="1223" spans="1:4" x14ac:dyDescent="0.2">
      <c r="A1223" s="5">
        <v>1162</v>
      </c>
      <c r="B1223" s="1831">
        <f>'Expenditures 15-22'!C127</f>
        <v>107827</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107827</v>
      </c>
      <c r="C1225" s="2" t="s">
        <v>568</v>
      </c>
      <c r="D1225" s="2" t="str">
        <f t="shared" si="18"/>
        <v>Error?</v>
      </c>
    </row>
    <row r="1226" spans="1:4" x14ac:dyDescent="0.2">
      <c r="A1226" s="5">
        <v>1165</v>
      </c>
      <c r="B1226" s="1831">
        <f>'Expenditures 15-22'!C151</f>
        <v>107827</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568</v>
      </c>
      <c r="D1233" s="2" t="str">
        <f t="shared" si="18"/>
        <v>Error?</v>
      </c>
    </row>
    <row r="1234" spans="1:4" x14ac:dyDescent="0.2">
      <c r="A1234" s="5">
        <v>1173</v>
      </c>
      <c r="B1234" s="1831">
        <f>'Expenditures 15-22'!D151</f>
        <v>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14743</v>
      </c>
      <c r="D1237" s="2" t="str">
        <f t="shared" si="18"/>
        <v>Error?</v>
      </c>
    </row>
    <row r="1238" spans="1:4" x14ac:dyDescent="0.2">
      <c r="A1238" s="10">
        <v>1177</v>
      </c>
      <c r="B1238" s="1831"/>
      <c r="D1238" s="2" t="str">
        <f t="shared" si="18"/>
        <v>OK</v>
      </c>
    </row>
    <row r="1239" spans="1:4" x14ac:dyDescent="0.2">
      <c r="A1239" s="5">
        <v>1178</v>
      </c>
      <c r="B1239" s="1831">
        <f>'Expenditures 15-22'!E127</f>
        <v>14743</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14743</v>
      </c>
      <c r="C1241" s="2" t="s">
        <v>568</v>
      </c>
      <c r="D1241" s="2" t="str">
        <f t="shared" si="18"/>
        <v>Error?</v>
      </c>
    </row>
    <row r="1242" spans="1:4" x14ac:dyDescent="0.2">
      <c r="A1242" s="5">
        <v>1181</v>
      </c>
      <c r="B1242" s="1831">
        <f>'Expenditures 15-22'!E151</f>
        <v>14743</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56824</v>
      </c>
      <c r="D1245" s="2" t="str">
        <f t="shared" si="18"/>
        <v>Error?</v>
      </c>
    </row>
    <row r="1246" spans="1:4" x14ac:dyDescent="0.2">
      <c r="A1246" s="10">
        <v>1185</v>
      </c>
      <c r="B1246" s="1831"/>
      <c r="D1246" s="2" t="str">
        <f t="shared" si="18"/>
        <v>OK</v>
      </c>
    </row>
    <row r="1247" spans="1:4" x14ac:dyDescent="0.2">
      <c r="A1247" s="5">
        <v>1186</v>
      </c>
      <c r="B1247" s="1831">
        <f>'Expenditures 15-22'!F127</f>
        <v>56824</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56824</v>
      </c>
      <c r="C1249" s="2" t="s">
        <v>568</v>
      </c>
      <c r="D1249" s="2" t="str">
        <f t="shared" si="18"/>
        <v>Error?</v>
      </c>
    </row>
    <row r="1250" spans="1:4" x14ac:dyDescent="0.2">
      <c r="A1250" s="5">
        <v>1189</v>
      </c>
      <c r="B1250" s="1831">
        <f>'Expenditures 15-22'!F151</f>
        <v>56824</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23131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23131</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23131</v>
      </c>
      <c r="C1258" s="2" t="s">
        <v>568</v>
      </c>
      <c r="D1258" s="2" t="str">
        <f t="shared" si="18"/>
        <v>Error?</v>
      </c>
    </row>
    <row r="1259" spans="1:4" x14ac:dyDescent="0.2">
      <c r="A1259" s="5">
        <v>1198</v>
      </c>
      <c r="B1259" s="1831">
        <f>'Expenditures 15-22'!G151</f>
        <v>23131</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202525</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202525</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202525</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202525</v>
      </c>
      <c r="C1288" s="2" t="s">
        <v>568</v>
      </c>
      <c r="D1288" s="2" t="str">
        <f t="shared" si="19"/>
        <v>Error?</v>
      </c>
    </row>
    <row r="1289" spans="1:4" x14ac:dyDescent="0.2">
      <c r="A1289" s="5">
        <v>1228</v>
      </c>
      <c r="B1289" s="1831">
        <f>'Expenditures 15-22'!K152</f>
        <v>31218</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122000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99752</v>
      </c>
      <c r="C1314" s="2" t="s">
        <v>568</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221752</v>
      </c>
      <c r="C1317" s="2" t="s">
        <v>568</v>
      </c>
      <c r="D1317" s="2" t="str">
        <f t="shared" si="19"/>
        <v>Error?</v>
      </c>
    </row>
    <row r="1318" spans="1:4" x14ac:dyDescent="0.2">
      <c r="A1318" s="5">
        <v>1257</v>
      </c>
      <c r="B1318" s="1831">
        <f>'Expenditures 15-22'!H174</f>
        <v>221752</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122000</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99752</v>
      </c>
      <c r="C1328" s="2" t="s">
        <v>568</v>
      </c>
      <c r="D1328" s="2" t="str">
        <f t="shared" si="19"/>
        <v>Error?</v>
      </c>
    </row>
    <row r="1329" spans="1:4" x14ac:dyDescent="0.2">
      <c r="A1329" s="5">
        <v>1268</v>
      </c>
      <c r="B1329" s="1831">
        <f>'Expenditures 15-22'!K170</f>
        <v>0</v>
      </c>
      <c r="C1329" s="2" t="s">
        <v>568</v>
      </c>
      <c r="D1329" s="2" t="str">
        <f t="shared" si="19"/>
        <v>Error?</v>
      </c>
    </row>
    <row r="1330" spans="1:4" x14ac:dyDescent="0.2">
      <c r="A1330" s="5">
        <v>1269</v>
      </c>
      <c r="B1330" s="1831">
        <f>'Expenditures 15-22'!K171</f>
        <v>0</v>
      </c>
      <c r="C1330" s="2" t="s">
        <v>568</v>
      </c>
      <c r="D1330" s="2" t="str">
        <f t="shared" si="19"/>
        <v>Error?</v>
      </c>
    </row>
    <row r="1331" spans="1:4" x14ac:dyDescent="0.2">
      <c r="A1331" s="5">
        <v>1270</v>
      </c>
      <c r="B1331" s="1831">
        <f>'Expenditures 15-22'!K172</f>
        <v>221752</v>
      </c>
      <c r="C1331" s="2" t="s">
        <v>568</v>
      </c>
      <c r="D1331" s="2" t="str">
        <f t="shared" si="19"/>
        <v>Error?</v>
      </c>
    </row>
    <row r="1332" spans="1:4" x14ac:dyDescent="0.2">
      <c r="A1332" s="5">
        <v>1271</v>
      </c>
      <c r="B1332" s="1831">
        <f>'Expenditures 15-22'!K174</f>
        <v>221752</v>
      </c>
      <c r="C1332" s="2" t="s">
        <v>568</v>
      </c>
      <c r="D1332" s="2" t="str">
        <f t="shared" si="19"/>
        <v>Error?</v>
      </c>
    </row>
    <row r="1333" spans="1:4" x14ac:dyDescent="0.2">
      <c r="A1333" s="5">
        <v>1272</v>
      </c>
      <c r="B1333" s="1831">
        <f>'Expenditures 15-22'!K175</f>
        <v>3752</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12757</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12757</v>
      </c>
      <c r="C1339" s="2" t="s">
        <v>568</v>
      </c>
      <c r="D1339" s="2" t="str">
        <f t="shared" si="19"/>
        <v>Error?</v>
      </c>
    </row>
    <row r="1340" spans="1:4" x14ac:dyDescent="0.2">
      <c r="A1340" s="5">
        <v>1279</v>
      </c>
      <c r="B1340" s="1831">
        <f>'Expenditures 15-22'!C210</f>
        <v>12757</v>
      </c>
      <c r="C1340" s="2" t="s">
        <v>568</v>
      </c>
      <c r="D1340" s="2" t="str">
        <f t="shared" si="19"/>
        <v>Error?</v>
      </c>
    </row>
    <row r="1341" spans="1:4" x14ac:dyDescent="0.2">
      <c r="A1341" s="5">
        <v>1280</v>
      </c>
      <c r="B1341" s="1831">
        <f>'Expenditures 15-22'!D182</f>
        <v>149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149</v>
      </c>
      <c r="C1345" s="2" t="s">
        <v>568</v>
      </c>
      <c r="D1345" s="2" t="str">
        <f t="shared" si="20"/>
        <v>Error?</v>
      </c>
    </row>
    <row r="1346" spans="1:4" x14ac:dyDescent="0.2">
      <c r="A1346" s="5">
        <v>1285</v>
      </c>
      <c r="B1346" s="1831">
        <f>'Expenditures 15-22'!D210</f>
        <v>149</v>
      </c>
      <c r="C1346" s="2" t="s">
        <v>568</v>
      </c>
      <c r="D1346" s="2" t="str">
        <f t="shared" si="20"/>
        <v>Error?</v>
      </c>
    </row>
    <row r="1347" spans="1:4" x14ac:dyDescent="0.2">
      <c r="A1347" s="5">
        <v>1286</v>
      </c>
      <c r="B1347" s="1831">
        <f>'Expenditures 15-22'!E182</f>
        <v>235722</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235722</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235722</v>
      </c>
      <c r="C1353" s="2" t="s">
        <v>568</v>
      </c>
      <c r="D1353" s="2" t="str">
        <f t="shared" si="20"/>
        <v>Error?</v>
      </c>
    </row>
    <row r="1354" spans="1:4" x14ac:dyDescent="0.2">
      <c r="A1354" s="5">
        <v>1293</v>
      </c>
      <c r="B1354" s="1831">
        <f>'Expenditures 15-22'!F182</f>
        <v>1707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1707</v>
      </c>
      <c r="C1358" s="2" t="s">
        <v>568</v>
      </c>
      <c r="D1358" s="2" t="str">
        <f t="shared" si="20"/>
        <v>Error?</v>
      </c>
    </row>
    <row r="1359" spans="1:4" x14ac:dyDescent="0.2">
      <c r="A1359" s="5">
        <v>1298</v>
      </c>
      <c r="B1359" s="1831">
        <f>'Expenditures 15-22'!F210</f>
        <v>1707</v>
      </c>
      <c r="C1359" s="2" t="s">
        <v>568</v>
      </c>
      <c r="D1359" s="2" t="str">
        <f t="shared" si="20"/>
        <v>Error?</v>
      </c>
    </row>
    <row r="1360" spans="1:4" x14ac:dyDescent="0.2">
      <c r="A1360" s="5">
        <v>1299</v>
      </c>
      <c r="B1360" s="1831">
        <f>'Expenditures 15-22'!G182</f>
        <v>10467</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10467</v>
      </c>
      <c r="C1364" s="2" t="s">
        <v>568</v>
      </c>
      <c r="D1364" s="2" t="str">
        <f t="shared" si="20"/>
        <v>Error?</v>
      </c>
    </row>
    <row r="1365" spans="1:4" x14ac:dyDescent="0.2">
      <c r="A1365" s="5">
        <v>1304</v>
      </c>
      <c r="B1365" s="1831">
        <f>'Expenditures 15-22'!G210</f>
        <v>10467</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4802</v>
      </c>
      <c r="C1375" s="2" t="s">
        <v>568</v>
      </c>
      <c r="D1375" s="2" t="str">
        <f t="shared" si="20"/>
        <v>Error?</v>
      </c>
    </row>
    <row r="1376" spans="1:4" x14ac:dyDescent="0.2">
      <c r="A1376" s="5">
        <v>1315</v>
      </c>
      <c r="B1376" s="1831">
        <f>'Expenditures 15-22'!H210</f>
        <v>4802</v>
      </c>
      <c r="C1376" s="2" t="s">
        <v>568</v>
      </c>
      <c r="D1376" s="2" t="str">
        <f t="shared" si="20"/>
        <v>Error?</v>
      </c>
    </row>
    <row r="1377" spans="1:4" x14ac:dyDescent="0.2">
      <c r="A1377" s="5">
        <v>1316</v>
      </c>
      <c r="B1377" s="1831">
        <f>'Expenditures 15-22'!K182</f>
        <v>260802</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260802</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4802</v>
      </c>
      <c r="C1387" s="2" t="s">
        <v>568</v>
      </c>
      <c r="D1387" s="2" t="str">
        <f t="shared" si="20"/>
        <v>Error?</v>
      </c>
    </row>
    <row r="1388" spans="1:4" x14ac:dyDescent="0.2">
      <c r="A1388" s="5">
        <v>1327</v>
      </c>
      <c r="B1388" s="1831">
        <f>'Expenditures 15-22'!K210</f>
        <v>265604</v>
      </c>
      <c r="C1388" s="2" t="s">
        <v>568</v>
      </c>
      <c r="D1388" s="2" t="str">
        <f t="shared" si="20"/>
        <v>Error?</v>
      </c>
    </row>
    <row r="1389" spans="1:4" x14ac:dyDescent="0.2">
      <c r="A1389" s="5">
        <v>1328</v>
      </c>
      <c r="B1389" s="1831">
        <f>'Expenditures 15-22'!K211</f>
        <v>26578</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1800</v>
      </c>
      <c r="D1407" s="2" t="str">
        <f t="shared" ref="D1407:D1470" si="21">IF(ISBLANK(B1407),"OK",IF(A1407-B1407=0,"OK","Error?"))</f>
        <v>Error?</v>
      </c>
    </row>
    <row r="1408" spans="1:4" x14ac:dyDescent="0.2">
      <c r="A1408" s="5">
        <v>1347</v>
      </c>
      <c r="B1408" s="1831">
        <f>'Expenditures 15-22'!D223</f>
        <v>2669</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49184</v>
      </c>
      <c r="C1410" s="2" t="s">
        <v>568</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794</v>
      </c>
      <c r="D1412" s="2" t="str">
        <f t="shared" si="21"/>
        <v>Error?</v>
      </c>
    </row>
    <row r="1413" spans="1:4" x14ac:dyDescent="0.2">
      <c r="A1413" s="5">
        <v>1352</v>
      </c>
      <c r="B1413" s="1831">
        <f>'Expenditures 15-22'!D234</f>
        <v>7789</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8583</v>
      </c>
      <c r="C1417" s="2" t="s">
        <v>568</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8326</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8326</v>
      </c>
      <c r="C1421" s="2" t="s">
        <v>568</v>
      </c>
      <c r="D1421" s="2" t="str">
        <f t="shared" si="21"/>
        <v>Error?</v>
      </c>
    </row>
    <row r="1422" spans="1:4" x14ac:dyDescent="0.2">
      <c r="A1422" s="5">
        <v>1361</v>
      </c>
      <c r="B1422" s="1831">
        <f>'Expenditures 15-22'!D245</f>
        <v>340</v>
      </c>
      <c r="D1422" s="2" t="str">
        <f t="shared" si="21"/>
        <v>Error?</v>
      </c>
    </row>
    <row r="1423" spans="1:4" x14ac:dyDescent="0.2">
      <c r="A1423" s="5">
        <v>1362</v>
      </c>
      <c r="B1423" s="1831">
        <f>'Expenditures 15-22'!D246</f>
        <v>8050</v>
      </c>
      <c r="D1423" s="2" t="str">
        <f t="shared" si="21"/>
        <v>Error?</v>
      </c>
    </row>
    <row r="1424" spans="1:4" x14ac:dyDescent="0.2">
      <c r="A1424" s="5">
        <v>1363</v>
      </c>
      <c r="B1424" s="1831">
        <f>'Expenditures 15-22'!D257</f>
        <v>8390</v>
      </c>
      <c r="C1424" s="2" t="s">
        <v>568</v>
      </c>
      <c r="D1424" s="2" t="str">
        <f t="shared" si="21"/>
        <v>Error?</v>
      </c>
    </row>
    <row r="1425" spans="1:4" x14ac:dyDescent="0.2">
      <c r="A1425" s="5">
        <v>1364</v>
      </c>
      <c r="B1425" s="1831">
        <f>'Expenditures 15-22'!D259</f>
        <v>19431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19431</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15044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35175</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25541</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75760</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120490</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169674</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1800</v>
      </c>
      <c r="C1471" s="2" t="s">
        <v>568</v>
      </c>
      <c r="D1471" s="2" t="str">
        <f t="shared" ref="D1471:D1534" si="22">IF(ISBLANK(B1471),"OK",IF(A1471-B1471=0,"OK","Error?"))</f>
        <v>Error?</v>
      </c>
    </row>
    <row r="1472" spans="1:4" x14ac:dyDescent="0.2">
      <c r="A1472" s="5">
        <v>1411</v>
      </c>
      <c r="B1472" s="1831">
        <f>'Expenditures 15-22'!K223</f>
        <v>2669</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49184</v>
      </c>
      <c r="C1474" s="2" t="s">
        <v>568</v>
      </c>
      <c r="D1474" s="2" t="str">
        <f t="shared" si="22"/>
        <v>Error?</v>
      </c>
    </row>
    <row r="1475" spans="1:4" x14ac:dyDescent="0.2">
      <c r="A1475" s="5">
        <v>1414</v>
      </c>
      <c r="B1475" s="1831">
        <f>'Expenditures 15-22'!K232</f>
        <v>0</v>
      </c>
      <c r="C1475" s="2" t="s">
        <v>568</v>
      </c>
      <c r="D1475" s="2" t="str">
        <f t="shared" si="22"/>
        <v>Error?</v>
      </c>
    </row>
    <row r="1476" spans="1:4" x14ac:dyDescent="0.2">
      <c r="A1476" s="5">
        <v>1415</v>
      </c>
      <c r="B1476" s="1831">
        <f>'Expenditures 15-22'!K233</f>
        <v>794</v>
      </c>
      <c r="C1476" s="2" t="s">
        <v>568</v>
      </c>
      <c r="D1476" s="2" t="str">
        <f t="shared" si="22"/>
        <v>Error?</v>
      </c>
    </row>
    <row r="1477" spans="1:4" x14ac:dyDescent="0.2">
      <c r="A1477" s="5">
        <v>1416</v>
      </c>
      <c r="B1477" s="1831">
        <f>'Expenditures 15-22'!K234</f>
        <v>7789</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8583</v>
      </c>
      <c r="C1481" s="2" t="s">
        <v>568</v>
      </c>
      <c r="D1481" s="2" t="str">
        <f t="shared" si="22"/>
        <v>Error?</v>
      </c>
    </row>
    <row r="1482" spans="1:4" x14ac:dyDescent="0.2">
      <c r="A1482" s="5">
        <v>1421</v>
      </c>
      <c r="B1482" s="1831">
        <f>'Expenditures 15-22'!K240</f>
        <v>0</v>
      </c>
      <c r="C1482" s="2" t="s">
        <v>568</v>
      </c>
      <c r="D1482" s="2" t="str">
        <f t="shared" si="22"/>
        <v>Error?</v>
      </c>
    </row>
    <row r="1483" spans="1:4" x14ac:dyDescent="0.2">
      <c r="A1483" s="5">
        <v>1422</v>
      </c>
      <c r="B1483" s="1831">
        <f>'Expenditures 15-22'!K241</f>
        <v>8326</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8326</v>
      </c>
      <c r="C1485" s="2" t="s">
        <v>568</v>
      </c>
      <c r="D1485" s="2" t="str">
        <f t="shared" si="22"/>
        <v>Error?</v>
      </c>
    </row>
    <row r="1486" spans="1:4" x14ac:dyDescent="0.2">
      <c r="A1486" s="5">
        <v>1425</v>
      </c>
      <c r="B1486" s="1831">
        <f>'Expenditures 15-22'!K245</f>
        <v>340</v>
      </c>
      <c r="C1486" s="2" t="s">
        <v>568</v>
      </c>
      <c r="D1486" s="2" t="str">
        <f t="shared" si="22"/>
        <v>Error?</v>
      </c>
    </row>
    <row r="1487" spans="1:4" x14ac:dyDescent="0.2">
      <c r="A1487" s="5">
        <v>1426</v>
      </c>
      <c r="B1487" s="1831">
        <f>'Expenditures 15-22'!K246</f>
        <v>8050</v>
      </c>
      <c r="C1487" s="2" t="s">
        <v>568</v>
      </c>
      <c r="D1487" s="2" t="str">
        <f t="shared" si="22"/>
        <v>Error?</v>
      </c>
    </row>
    <row r="1488" spans="1:4" x14ac:dyDescent="0.2">
      <c r="A1488" s="5">
        <v>1427</v>
      </c>
      <c r="B1488" s="1831">
        <f>'Expenditures 15-22'!K257</f>
        <v>8390</v>
      </c>
      <c r="C1488" s="2" t="s">
        <v>568</v>
      </c>
      <c r="D1488" s="2" t="str">
        <f t="shared" si="22"/>
        <v>Error?</v>
      </c>
    </row>
    <row r="1489" spans="1:4" x14ac:dyDescent="0.2">
      <c r="A1489" s="5">
        <v>1428</v>
      </c>
      <c r="B1489" s="1831">
        <f>'Expenditures 15-22'!K259</f>
        <v>19431</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19431</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15044</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35175</v>
      </c>
      <c r="C1495" s="2" t="s">
        <v>568</v>
      </c>
      <c r="D1495" s="2" t="str">
        <f t="shared" si="22"/>
        <v>Error?</v>
      </c>
    </row>
    <row r="1496" spans="1:4" x14ac:dyDescent="0.2">
      <c r="A1496" s="5">
        <v>1435</v>
      </c>
      <c r="B1496" s="1831">
        <f>'Expenditures 15-22'!K267</f>
        <v>0</v>
      </c>
      <c r="C1496" s="2" t="s">
        <v>568</v>
      </c>
      <c r="D1496" s="2" t="str">
        <f t="shared" si="22"/>
        <v>Error?</v>
      </c>
    </row>
    <row r="1497" spans="1:4" x14ac:dyDescent="0.2">
      <c r="A1497" s="5">
        <v>1436</v>
      </c>
      <c r="B1497" s="1831">
        <f>'Expenditures 15-22'!K268</f>
        <v>25541</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75760</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120490</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169674</v>
      </c>
      <c r="C1517" s="2" t="s">
        <v>568</v>
      </c>
      <c r="D1517" s="2" t="str">
        <f t="shared" si="22"/>
        <v>Error?</v>
      </c>
    </row>
    <row r="1518" spans="1:4" x14ac:dyDescent="0.2">
      <c r="A1518" s="5">
        <v>1457</v>
      </c>
      <c r="B1518" s="1831">
        <f>'Expenditures 15-22'!K296</f>
        <v>-51370</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28750</v>
      </c>
      <c r="D1534" s="2" t="str">
        <f t="shared" si="22"/>
        <v>Error?</v>
      </c>
    </row>
    <row r="1535" spans="1:4" x14ac:dyDescent="0.2">
      <c r="A1535" s="5">
        <v>1474</v>
      </c>
      <c r="B1535" s="1831">
        <f>'Expenditures 15-22'!E303</f>
        <v>28750</v>
      </c>
      <c r="C1535" s="2" t="s">
        <v>568</v>
      </c>
      <c r="D1535" s="2" t="str">
        <f t="shared" ref="D1535:D1598" si="23">IF(ISBLANK(B1535),"OK",IF(A1535-B1535=0,"OK","Error?"))</f>
        <v>Error?</v>
      </c>
    </row>
    <row r="1536" spans="1:4" x14ac:dyDescent="0.2">
      <c r="A1536" s="5">
        <v>1475</v>
      </c>
      <c r="B1536" s="1831">
        <f>'Expenditures 15-22'!E312</f>
        <v>28750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935595</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935595</v>
      </c>
      <c r="C1547" s="2" t="s">
        <v>568</v>
      </c>
      <c r="D1547" s="2" t="str">
        <f t="shared" si="23"/>
        <v>Error?</v>
      </c>
    </row>
    <row r="1548" spans="1:4" x14ac:dyDescent="0.2">
      <c r="A1548" s="5">
        <v>1487</v>
      </c>
      <c r="B1548" s="1831">
        <f>'Expenditures 15-22'!G312</f>
        <v>935595</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935595</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28750</v>
      </c>
      <c r="C1558" s="2" t="s">
        <v>568</v>
      </c>
      <c r="D1558" s="2" t="str">
        <f t="shared" si="23"/>
        <v>Error?</v>
      </c>
    </row>
    <row r="1559" spans="1:4" x14ac:dyDescent="0.2">
      <c r="A1559" s="5">
        <v>1498</v>
      </c>
      <c r="B1559" s="1831">
        <f>'Expenditures 15-22'!K303</f>
        <v>964345</v>
      </c>
      <c r="C1559" s="2" t="s">
        <v>568</v>
      </c>
      <c r="D1559" s="2" t="str">
        <f t="shared" si="23"/>
        <v>Error?</v>
      </c>
    </row>
    <row r="1560" spans="1:4" x14ac:dyDescent="0.2">
      <c r="A1560" s="5">
        <v>1499</v>
      </c>
      <c r="B1560" s="1831">
        <f>'Expenditures 15-22'!K312</f>
        <v>964345</v>
      </c>
      <c r="C1560" s="2" t="s">
        <v>568</v>
      </c>
      <c r="D1560" s="2" t="str">
        <f t="shared" si="23"/>
        <v>Error?</v>
      </c>
    </row>
    <row r="1561" spans="1:4" x14ac:dyDescent="0.2">
      <c r="A1561" s="5">
        <v>1500</v>
      </c>
      <c r="B1561" s="1831">
        <f>'Expenditures 15-22'!K313</f>
        <v>-838480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531322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560214</v>
      </c>
      <c r="C1630" s="2" t="s">
        <v>568</v>
      </c>
      <c r="D1630" s="2" t="str">
        <f t="shared" si="24"/>
        <v>Error?</v>
      </c>
    </row>
    <row r="1631" spans="1:4" x14ac:dyDescent="0.2">
      <c r="A1631" s="5">
        <v>1570</v>
      </c>
      <c r="B1631" s="1831">
        <f>'Acct Summary 7-8'!D79</f>
        <v>348580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379798</v>
      </c>
      <c r="C1644" s="2" t="s">
        <v>568</v>
      </c>
      <c r="D1644" s="2" t="str">
        <f t="shared" si="24"/>
        <v>Error?</v>
      </c>
    </row>
    <row r="1645" spans="1:4" x14ac:dyDescent="0.2">
      <c r="A1645" s="5">
        <v>1584</v>
      </c>
      <c r="B1645" s="1831">
        <f>'Acct Summary 7-8'!E79</f>
        <v>31895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35647</v>
      </c>
      <c r="C1658" s="2" t="s">
        <v>568</v>
      </c>
      <c r="D1658" s="2" t="str">
        <f t="shared" si="24"/>
        <v>Error?</v>
      </c>
    </row>
    <row r="1659" spans="1:4" x14ac:dyDescent="0.2">
      <c r="A1659" s="5">
        <v>1598</v>
      </c>
      <c r="B1659" s="1831">
        <f>'Acct Summary 7-8'!F79</f>
        <v>35679</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62257</v>
      </c>
      <c r="C1672" s="2" t="s">
        <v>568</v>
      </c>
      <c r="D1672" s="2" t="str">
        <f t="shared" si="25"/>
        <v>Error?</v>
      </c>
    </row>
    <row r="1673" spans="1:4" x14ac:dyDescent="0.2">
      <c r="A1673" s="5">
        <v>1612</v>
      </c>
      <c r="B1673" s="1831">
        <f>'Acct Summary 7-8'!G79</f>
        <v>124951</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73581</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790653</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967680</v>
      </c>
      <c r="C1744" s="2" t="s">
        <v>568</v>
      </c>
      <c r="D1744" s="2" t="str">
        <f t="shared" si="26"/>
        <v>Error?</v>
      </c>
    </row>
    <row r="1745" spans="1:5" x14ac:dyDescent="0.2">
      <c r="A1745" s="5">
        <v>1684</v>
      </c>
      <c r="B1745" s="1831">
        <f>'Tax Sched 23'!B5</f>
        <v>215053</v>
      </c>
      <c r="C1745" s="2" t="s">
        <v>568</v>
      </c>
      <c r="D1745" s="2" t="str">
        <f t="shared" si="26"/>
        <v>Error?</v>
      </c>
    </row>
    <row r="1746" spans="1:5" x14ac:dyDescent="0.2">
      <c r="A1746" s="5">
        <v>1685</v>
      </c>
      <c r="B1746" s="1831">
        <f>'Tax Sched 23'!B6</f>
        <v>224997</v>
      </c>
      <c r="C1746" s="2" t="s">
        <v>568</v>
      </c>
      <c r="D1746" s="2" t="str">
        <f t="shared" si="26"/>
        <v>Error?</v>
      </c>
    </row>
    <row r="1747" spans="1:5" x14ac:dyDescent="0.2">
      <c r="A1747" s="5">
        <v>1686</v>
      </c>
      <c r="B1747" s="1831">
        <f>'Tax Sched 23'!B7</f>
        <v>86020</v>
      </c>
      <c r="C1747" s="2" t="s">
        <v>568</v>
      </c>
      <c r="D1747" s="2" t="str">
        <f t="shared" si="26"/>
        <v>Error?</v>
      </c>
    </row>
    <row r="1748" spans="1:5" x14ac:dyDescent="0.2">
      <c r="A1748" s="5">
        <v>1687</v>
      </c>
      <c r="B1748" s="1831">
        <f>'Tax Sched 23'!B8</f>
        <v>31248</v>
      </c>
      <c r="C1748" s="2" t="s">
        <v>568</v>
      </c>
      <c r="D1748" s="2" t="str">
        <f t="shared" si="26"/>
        <v>Error?</v>
      </c>
    </row>
    <row r="1749" spans="1:5" x14ac:dyDescent="0.2">
      <c r="A1749" s="5">
        <v>1688</v>
      </c>
      <c r="B1749" s="1831">
        <f>'Tax Sched 23'!B10</f>
        <v>21505</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151184</v>
      </c>
      <c r="C1752" s="2" t="s">
        <v>568</v>
      </c>
      <c r="D1752" s="2" t="str">
        <f t="shared" si="26"/>
        <v>Error?</v>
      </c>
    </row>
    <row r="1753" spans="1:5" x14ac:dyDescent="0.2">
      <c r="A1753" s="5">
        <v>1692</v>
      </c>
      <c r="B1753" s="1831">
        <f>'Tax Sched 23'!B12</f>
        <v>21506</v>
      </c>
      <c r="C1753" s="2" t="s">
        <v>568</v>
      </c>
      <c r="D1753" s="2" t="str">
        <f t="shared" si="26"/>
        <v>Error?</v>
      </c>
    </row>
    <row r="1754" spans="1:5" x14ac:dyDescent="0.2">
      <c r="A1754" s="5">
        <v>1693</v>
      </c>
      <c r="B1754" s="1831">
        <f>'Tax Sched 23'!B14</f>
        <v>17204</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1778204</v>
      </c>
      <c r="C1759" s="2" t="s">
        <v>568</v>
      </c>
      <c r="D1759" s="2" t="str">
        <f t="shared" si="26"/>
        <v>Error?</v>
      </c>
    </row>
    <row r="1760" spans="1:5" x14ac:dyDescent="0.2">
      <c r="A1760" s="5">
        <v>1699</v>
      </c>
      <c r="B1760" s="1831">
        <f>'Tax Sched 23'!D4</f>
        <v>967680</v>
      </c>
      <c r="C1760" s="2" t="s">
        <v>568</v>
      </c>
      <c r="D1760" s="2" t="str">
        <f t="shared" si="26"/>
        <v>Error?</v>
      </c>
    </row>
    <row r="1761" spans="1:7" x14ac:dyDescent="0.2">
      <c r="A1761" s="5">
        <v>1700</v>
      </c>
      <c r="B1761" s="1831">
        <f>'Tax Sched 23'!D5</f>
        <v>215053</v>
      </c>
      <c r="C1761" s="2" t="s">
        <v>568</v>
      </c>
      <c r="D1761" s="2" t="str">
        <f t="shared" si="26"/>
        <v>Error?</v>
      </c>
    </row>
    <row r="1762" spans="1:7" s="8" customFormat="1" x14ac:dyDescent="0.2">
      <c r="A1762" s="5">
        <v>1701</v>
      </c>
      <c r="B1762" s="1831">
        <f>'Tax Sched 23'!D6</f>
        <v>224997</v>
      </c>
      <c r="C1762" s="2" t="s">
        <v>568</v>
      </c>
      <c r="D1762" s="2" t="str">
        <f t="shared" si="26"/>
        <v>Error?</v>
      </c>
      <c r="E1762" s="9"/>
      <c r="G1762"/>
    </row>
    <row r="1763" spans="1:7" x14ac:dyDescent="0.2">
      <c r="A1763" s="5">
        <v>1702</v>
      </c>
      <c r="B1763" s="1831">
        <f>'Tax Sched 23'!D7</f>
        <v>86020</v>
      </c>
      <c r="C1763" s="2" t="s">
        <v>568</v>
      </c>
      <c r="D1763" s="2" t="str">
        <f t="shared" si="26"/>
        <v>Error?</v>
      </c>
    </row>
    <row r="1764" spans="1:7" x14ac:dyDescent="0.2">
      <c r="A1764" s="5">
        <v>1703</v>
      </c>
      <c r="B1764" s="1831">
        <f>'Tax Sched 23'!D8</f>
        <v>31248</v>
      </c>
      <c r="C1764" s="2" t="s">
        <v>568</v>
      </c>
      <c r="D1764" s="2" t="str">
        <f t="shared" si="26"/>
        <v>Error?</v>
      </c>
    </row>
    <row r="1765" spans="1:7" x14ac:dyDescent="0.2">
      <c r="A1765" s="5">
        <v>1704</v>
      </c>
      <c r="B1765" s="1831">
        <f>'Tax Sched 23'!D10</f>
        <v>21505</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151184</v>
      </c>
      <c r="C1768" s="2" t="s">
        <v>568</v>
      </c>
      <c r="D1768" s="2" t="str">
        <f t="shared" si="26"/>
        <v>Error?</v>
      </c>
    </row>
    <row r="1769" spans="1:7" x14ac:dyDescent="0.2">
      <c r="A1769" s="5">
        <v>1708</v>
      </c>
      <c r="B1769" s="1831">
        <f>'Tax Sched 23'!D12</f>
        <v>21506</v>
      </c>
      <c r="C1769" s="2" t="s">
        <v>568</v>
      </c>
      <c r="D1769" s="2" t="str">
        <f t="shared" si="26"/>
        <v>Error?</v>
      </c>
    </row>
    <row r="1770" spans="1:7" x14ac:dyDescent="0.2">
      <c r="A1770" s="5">
        <v>1709</v>
      </c>
      <c r="B1770" s="1831">
        <f>'Tax Sched 23'!D14</f>
        <v>17204</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1778204</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1064282</v>
      </c>
      <c r="C1792" s="2" t="s">
        <v>568</v>
      </c>
      <c r="D1792" s="2" t="str">
        <f t="shared" si="27"/>
        <v>Error?</v>
      </c>
    </row>
    <row r="1793" spans="1:4" x14ac:dyDescent="0.2">
      <c r="A1793" s="5">
        <v>1732</v>
      </c>
      <c r="B1793" s="1831">
        <f>'Tax Sched 23'!F5</f>
        <v>236507</v>
      </c>
      <c r="C1793" s="2" t="s">
        <v>568</v>
      </c>
      <c r="D1793" s="2" t="str">
        <f t="shared" si="27"/>
        <v>Error?</v>
      </c>
    </row>
    <row r="1794" spans="1:4" x14ac:dyDescent="0.2">
      <c r="A1794" s="5">
        <v>1733</v>
      </c>
      <c r="B1794" s="1831">
        <f>'Tax Sched 23'!F6</f>
        <v>309049</v>
      </c>
      <c r="C1794" s="2" t="s">
        <v>568</v>
      </c>
      <c r="D1794" s="2" t="str">
        <f t="shared" si="27"/>
        <v>Error?</v>
      </c>
    </row>
    <row r="1795" spans="1:4" x14ac:dyDescent="0.2">
      <c r="A1795" s="5">
        <v>1734</v>
      </c>
      <c r="B1795" s="1831">
        <f>'Tax Sched 23'!F7</f>
        <v>94603</v>
      </c>
      <c r="C1795" s="2" t="s">
        <v>568</v>
      </c>
      <c r="D1795" s="2" t="str">
        <f t="shared" si="27"/>
        <v>Error?</v>
      </c>
    </row>
    <row r="1796" spans="1:4" x14ac:dyDescent="0.2">
      <c r="A1796" s="5">
        <v>1735</v>
      </c>
      <c r="B1796" s="1831">
        <f>'Tax Sched 23'!F8</f>
        <v>33777</v>
      </c>
      <c r="C1796" s="2" t="s">
        <v>568</v>
      </c>
      <c r="D1796" s="2" t="str">
        <f t="shared" si="27"/>
        <v>Error?</v>
      </c>
    </row>
    <row r="1797" spans="1:4" x14ac:dyDescent="0.2">
      <c r="A1797" s="5">
        <v>1736</v>
      </c>
      <c r="B1797" s="1831">
        <f>'Tax Sched 23'!F10</f>
        <v>23651</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132527</v>
      </c>
      <c r="C1800" s="2" t="s">
        <v>568</v>
      </c>
      <c r="D1800" s="2" t="str">
        <f t="shared" si="27"/>
        <v>Error?</v>
      </c>
    </row>
    <row r="1801" spans="1:4" x14ac:dyDescent="0.2">
      <c r="A1801" s="5">
        <v>1740</v>
      </c>
      <c r="B1801" s="1831">
        <f>'Tax Sched 23'!F12</f>
        <v>23651</v>
      </c>
      <c r="C1801" s="2" t="s">
        <v>568</v>
      </c>
      <c r="D1801" s="2" t="str">
        <f t="shared" si="27"/>
        <v>Error?</v>
      </c>
    </row>
    <row r="1802" spans="1:4" x14ac:dyDescent="0.2">
      <c r="A1802" s="5">
        <v>1741</v>
      </c>
      <c r="B1802" s="1831">
        <f>'Tax Sched 23'!F14</f>
        <v>18921</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1986352</v>
      </c>
      <c r="C1807" s="2" t="s">
        <v>568</v>
      </c>
      <c r="D1807" s="2" t="str">
        <f t="shared" si="27"/>
        <v>Error?</v>
      </c>
    </row>
    <row r="1808" spans="1:4" x14ac:dyDescent="0.2">
      <c r="A1808" s="5">
        <v>1747</v>
      </c>
      <c r="B1808" s="1831">
        <f>'Tax Sched 23'!E4</f>
        <v>1064282</v>
      </c>
      <c r="D1808" s="2" t="str">
        <f t="shared" si="27"/>
        <v>Error?</v>
      </c>
    </row>
    <row r="1809" spans="1:4" x14ac:dyDescent="0.2">
      <c r="A1809" s="5">
        <v>1748</v>
      </c>
      <c r="B1809" s="1831">
        <f>'Tax Sched 23'!E5</f>
        <v>236507</v>
      </c>
      <c r="D1809" s="2" t="str">
        <f t="shared" si="27"/>
        <v>Error?</v>
      </c>
    </row>
    <row r="1810" spans="1:4" x14ac:dyDescent="0.2">
      <c r="A1810" s="5">
        <v>1749</v>
      </c>
      <c r="B1810" s="1831">
        <f>'Tax Sched 23'!E6</f>
        <v>309049</v>
      </c>
      <c r="D1810" s="2" t="str">
        <f t="shared" si="27"/>
        <v>Error?</v>
      </c>
    </row>
    <row r="1811" spans="1:4" x14ac:dyDescent="0.2">
      <c r="A1811" s="5">
        <v>1750</v>
      </c>
      <c r="B1811" s="1831">
        <f>'Tax Sched 23'!E7</f>
        <v>94603</v>
      </c>
      <c r="D1811" s="2" t="str">
        <f t="shared" si="27"/>
        <v>Error?</v>
      </c>
    </row>
    <row r="1812" spans="1:4" x14ac:dyDescent="0.2">
      <c r="A1812" s="5">
        <v>1751</v>
      </c>
      <c r="B1812" s="1831">
        <f>'Tax Sched 23'!E8</f>
        <v>33777</v>
      </c>
      <c r="D1812" s="2" t="str">
        <f t="shared" si="27"/>
        <v>Error?</v>
      </c>
    </row>
    <row r="1813" spans="1:4" x14ac:dyDescent="0.2">
      <c r="A1813" s="5">
        <v>1752</v>
      </c>
      <c r="B1813" s="1831">
        <f>'Tax Sched 23'!E10</f>
        <v>23651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132527</v>
      </c>
      <c r="D1816" s="2" t="str">
        <f t="shared" si="27"/>
        <v>Error?</v>
      </c>
    </row>
    <row r="1817" spans="1:4" x14ac:dyDescent="0.2">
      <c r="A1817" s="5">
        <v>1756</v>
      </c>
      <c r="B1817" s="1831">
        <f>'Tax Sched 23'!E12</f>
        <v>23651</v>
      </c>
      <c r="D1817" s="2" t="str">
        <f t="shared" si="27"/>
        <v>Error?</v>
      </c>
    </row>
    <row r="1818" spans="1:4" x14ac:dyDescent="0.2">
      <c r="A1818" s="5">
        <v>1757</v>
      </c>
      <c r="B1818" s="1831">
        <f>'Tax Sched 23'!E14</f>
        <v>18921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1986352</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2800911</v>
      </c>
      <c r="C1939" s="2" t="s">
        <v>568</v>
      </c>
      <c r="D1939" s="2" t="str">
        <f t="shared" si="29"/>
        <v>Error?</v>
      </c>
    </row>
    <row r="1940" spans="1:5" x14ac:dyDescent="0.2">
      <c r="A1940" s="5">
        <v>1879</v>
      </c>
      <c r="B1940" s="1831">
        <f>'Short-Term Long-Term Debt 24'!F49</f>
        <v>1510000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17204</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17204</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17204</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4000</v>
      </c>
      <c r="D2008" s="2" t="str">
        <f t="shared" si="30"/>
        <v>Error?</v>
      </c>
    </row>
    <row r="2009" spans="1:4" x14ac:dyDescent="0.2">
      <c r="A2009" s="5">
        <v>1948</v>
      </c>
      <c r="B2009" s="1831">
        <f>'Cap Outlay Deprec 26'!C8</f>
        <v>5760182</v>
      </c>
      <c r="D2009" s="2" t="str">
        <f t="shared" si="30"/>
        <v>Error?</v>
      </c>
    </row>
    <row r="2010" spans="1:4" x14ac:dyDescent="0.2">
      <c r="A2010" s="5">
        <v>1949</v>
      </c>
      <c r="B2010" s="1831">
        <f>'Cap Outlay Deprec 26'!C10</f>
        <v>29023</v>
      </c>
      <c r="D2010" s="2" t="str">
        <f t="shared" si="30"/>
        <v>Error?</v>
      </c>
    </row>
    <row r="2011" spans="1:4" x14ac:dyDescent="0.2">
      <c r="A2011" s="5">
        <v>1950</v>
      </c>
      <c r="B2011" s="1831">
        <f>'Cap Outlay Deprec 26'!C12</f>
        <v>1155624</v>
      </c>
      <c r="D2011" s="2" t="str">
        <f t="shared" si="30"/>
        <v>Error?</v>
      </c>
    </row>
    <row r="2012" spans="1:4" x14ac:dyDescent="0.2">
      <c r="A2012" s="5">
        <v>1951</v>
      </c>
      <c r="B2012" s="1831">
        <f>'Cap Outlay Deprec 26'!C13</f>
        <v>40620</v>
      </c>
      <c r="D2012" s="2" t="str">
        <f t="shared" si="30"/>
        <v>Error?</v>
      </c>
    </row>
    <row r="2013" spans="1:4" x14ac:dyDescent="0.2">
      <c r="A2013" s="5">
        <v>1952</v>
      </c>
      <c r="B2013" s="1831">
        <f>'Cap Outlay Deprec 26'!C16</f>
        <v>6989449</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698369</v>
      </c>
      <c r="D2015" s="2" t="str">
        <f t="shared" si="30"/>
        <v>Error?</v>
      </c>
    </row>
    <row r="2016" spans="1:4" x14ac:dyDescent="0.2">
      <c r="A2016" s="5">
        <v>1955</v>
      </c>
      <c r="B2016" s="1831">
        <f>'Cap Outlay Deprec 26'!D10</f>
        <v>17232</v>
      </c>
      <c r="D2016" s="2" t="str">
        <f t="shared" si="30"/>
        <v>Error?</v>
      </c>
    </row>
    <row r="2017" spans="1:4" x14ac:dyDescent="0.2">
      <c r="A2017" s="5">
        <v>1956</v>
      </c>
      <c r="B2017" s="1831">
        <f>'Cap Outlay Deprec 26'!D12</f>
        <v>17395</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987194</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4000</v>
      </c>
      <c r="C2026" s="2" t="s">
        <v>568</v>
      </c>
      <c r="D2026" s="2" t="str">
        <f t="shared" si="30"/>
        <v>Error?</v>
      </c>
    </row>
    <row r="2027" spans="1:4" x14ac:dyDescent="0.2">
      <c r="A2027" s="5">
        <v>1966</v>
      </c>
      <c r="B2027" s="1831">
        <f>'Cap Outlay Deprec 26'!F8</f>
        <v>6458551</v>
      </c>
      <c r="C2027" s="2" t="s">
        <v>568</v>
      </c>
      <c r="D2027" s="2" t="str">
        <f t="shared" si="30"/>
        <v>Error?</v>
      </c>
    </row>
    <row r="2028" spans="1:4" x14ac:dyDescent="0.2">
      <c r="A2028" s="5">
        <v>1967</v>
      </c>
      <c r="B2028" s="1831">
        <f>'Cap Outlay Deprec 26'!F10</f>
        <v>46255</v>
      </c>
      <c r="C2028" s="2" t="s">
        <v>568</v>
      </c>
      <c r="D2028" s="2" t="str">
        <f t="shared" si="30"/>
        <v>Error?</v>
      </c>
    </row>
    <row r="2029" spans="1:4" x14ac:dyDescent="0.2">
      <c r="A2029" s="5">
        <v>1968</v>
      </c>
      <c r="B2029" s="1831">
        <f>'Cap Outlay Deprec 26'!F12</f>
        <v>1173019</v>
      </c>
      <c r="C2029" s="2" t="s">
        <v>568</v>
      </c>
      <c r="D2029" s="2" t="str">
        <f t="shared" si="30"/>
        <v>Error?</v>
      </c>
    </row>
    <row r="2030" spans="1:4" x14ac:dyDescent="0.2">
      <c r="A2030" s="5">
        <v>1969</v>
      </c>
      <c r="B2030" s="1831">
        <f>'Cap Outlay Deprec 26'!F13</f>
        <v>40620</v>
      </c>
      <c r="C2030" s="2" t="s">
        <v>568</v>
      </c>
      <c r="D2030" s="2" t="str">
        <f t="shared" si="30"/>
        <v>Error?</v>
      </c>
    </row>
    <row r="2031" spans="1:4" x14ac:dyDescent="0.2">
      <c r="A2031" s="5">
        <v>1970</v>
      </c>
      <c r="B2031" s="1831">
        <f>'Cap Outlay Deprec 26'!F16</f>
        <v>7976643</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1514784</v>
      </c>
      <c r="D2033" s="2" t="str">
        <f t="shared" si="30"/>
        <v>Error?</v>
      </c>
    </row>
    <row r="2034" spans="1:4" x14ac:dyDescent="0.2">
      <c r="A2034" s="5">
        <v>1973</v>
      </c>
      <c r="B2034" s="1831">
        <f>'Cap Outlay Deprec 26'!H10</f>
        <v>23111</v>
      </c>
      <c r="D2034" s="2" t="str">
        <f t="shared" si="30"/>
        <v>Error?</v>
      </c>
    </row>
    <row r="2035" spans="1:4" x14ac:dyDescent="0.2">
      <c r="A2035" s="5">
        <v>1974</v>
      </c>
      <c r="B2035" s="1831">
        <f>'Cap Outlay Deprec 26'!H12</f>
        <v>990013</v>
      </c>
      <c r="D2035" s="2" t="str">
        <f t="shared" si="30"/>
        <v>Error?</v>
      </c>
    </row>
    <row r="2036" spans="1:4" x14ac:dyDescent="0.2">
      <c r="A2036" s="5">
        <v>1975</v>
      </c>
      <c r="B2036" s="1831">
        <f>'Cap Outlay Deprec 26'!H13</f>
        <v>20513</v>
      </c>
      <c r="D2036" s="2" t="str">
        <f t="shared" si="30"/>
        <v>Error?</v>
      </c>
    </row>
    <row r="2037" spans="1:4" x14ac:dyDescent="0.2">
      <c r="A2037" s="5">
        <v>1976</v>
      </c>
      <c r="B2037" s="1831">
        <f>'Cap Outlay Deprec 26'!H16</f>
        <v>2548421</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100098</v>
      </c>
      <c r="D2039" s="2" t="str">
        <f t="shared" si="30"/>
        <v>Error?</v>
      </c>
    </row>
    <row r="2040" spans="1:4" x14ac:dyDescent="0.2">
      <c r="A2040" s="5">
        <v>1979</v>
      </c>
      <c r="B2040" s="1831">
        <f>'Cap Outlay Deprec 26'!I10</f>
        <v>444</v>
      </c>
      <c r="D2040" s="2" t="str">
        <f t="shared" si="30"/>
        <v>Error?</v>
      </c>
    </row>
    <row r="2041" spans="1:4" x14ac:dyDescent="0.2">
      <c r="A2041" s="5">
        <v>1980</v>
      </c>
      <c r="B2041" s="1831">
        <f>'Cap Outlay Deprec 26'!I12</f>
        <v>35690</v>
      </c>
      <c r="D2041" s="2" t="str">
        <f t="shared" si="30"/>
        <v>Error?</v>
      </c>
    </row>
    <row r="2042" spans="1:4" x14ac:dyDescent="0.2">
      <c r="A2042" s="5">
        <v>1981</v>
      </c>
      <c r="B2042" s="1831">
        <f>'Cap Outlay Deprec 26'!I13</f>
        <v>4233</v>
      </c>
      <c r="D2042" s="2" t="str">
        <f t="shared" si="30"/>
        <v>Error?</v>
      </c>
    </row>
    <row r="2043" spans="1:4" x14ac:dyDescent="0.2">
      <c r="A2043" s="5">
        <v>1982</v>
      </c>
      <c r="B2043" s="1831">
        <f>'Cap Outlay Deprec 26'!I16</f>
        <v>140465</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1614882</v>
      </c>
      <c r="C2051" s="2" t="s">
        <v>568</v>
      </c>
      <c r="D2051" s="2" t="str">
        <f t="shared" si="31"/>
        <v>Error?</v>
      </c>
    </row>
    <row r="2052" spans="1:4" x14ac:dyDescent="0.2">
      <c r="A2052" s="5">
        <v>1991</v>
      </c>
      <c r="B2052" s="1831">
        <f>'Cap Outlay Deprec 26'!K10</f>
        <v>23555</v>
      </c>
      <c r="C2052" s="2" t="s">
        <v>568</v>
      </c>
      <c r="D2052" s="2" t="str">
        <f t="shared" si="31"/>
        <v>Error?</v>
      </c>
    </row>
    <row r="2053" spans="1:4" x14ac:dyDescent="0.2">
      <c r="A2053" s="5">
        <v>1992</v>
      </c>
      <c r="B2053" s="1831">
        <f>'Cap Outlay Deprec 26'!K12</f>
        <v>1025703</v>
      </c>
      <c r="C2053" s="2" t="s">
        <v>568</v>
      </c>
      <c r="D2053" s="2" t="str">
        <f t="shared" si="31"/>
        <v>Error?</v>
      </c>
    </row>
    <row r="2054" spans="1:4" x14ac:dyDescent="0.2">
      <c r="A2054" s="5">
        <v>1993</v>
      </c>
      <c r="B2054" s="1831">
        <f>'Cap Outlay Deprec 26'!K13</f>
        <v>24746</v>
      </c>
      <c r="C2054" s="2" t="s">
        <v>568</v>
      </c>
      <c r="D2054" s="2" t="str">
        <f t="shared" si="31"/>
        <v>Error?</v>
      </c>
    </row>
    <row r="2055" spans="1:4" x14ac:dyDescent="0.2">
      <c r="A2055" s="5">
        <v>1994</v>
      </c>
      <c r="B2055" s="1831">
        <f>'Cap Outlay Deprec 26'!K16</f>
        <v>2688886</v>
      </c>
      <c r="C2055" s="2" t="s">
        <v>568</v>
      </c>
      <c r="D2055" s="2" t="str">
        <f t="shared" si="31"/>
        <v>Error?</v>
      </c>
    </row>
    <row r="2056" spans="1:4" x14ac:dyDescent="0.2">
      <c r="A2056" s="5">
        <v>1995</v>
      </c>
      <c r="B2056" s="1831">
        <f>'Cap Outlay Deprec 26'!L5</f>
        <v>4000</v>
      </c>
      <c r="C2056" s="2" t="s">
        <v>568</v>
      </c>
      <c r="D2056" s="2" t="str">
        <f t="shared" si="31"/>
        <v>Error?</v>
      </c>
    </row>
    <row r="2057" spans="1:4" x14ac:dyDescent="0.2">
      <c r="A2057" s="5">
        <v>1996</v>
      </c>
      <c r="B2057" s="1831">
        <f>'Cap Outlay Deprec 26'!L8</f>
        <v>4843669</v>
      </c>
      <c r="C2057" s="2" t="s">
        <v>568</v>
      </c>
      <c r="D2057" s="2" t="str">
        <f t="shared" si="31"/>
        <v>Error?</v>
      </c>
    </row>
    <row r="2058" spans="1:4" x14ac:dyDescent="0.2">
      <c r="A2058" s="5">
        <v>1997</v>
      </c>
      <c r="B2058" s="1831">
        <f>'Cap Outlay Deprec 26'!L10</f>
        <v>22700</v>
      </c>
      <c r="C2058" s="2" t="s">
        <v>568</v>
      </c>
      <c r="D2058" s="2" t="str">
        <f t="shared" si="31"/>
        <v>Error?</v>
      </c>
    </row>
    <row r="2059" spans="1:4" x14ac:dyDescent="0.2">
      <c r="A2059" s="5">
        <v>1998</v>
      </c>
      <c r="B2059" s="1831">
        <f>'Cap Outlay Deprec 26'!L12</f>
        <v>147316</v>
      </c>
      <c r="C2059" s="2" t="s">
        <v>568</v>
      </c>
      <c r="D2059" s="2" t="str">
        <f t="shared" si="31"/>
        <v>Error?</v>
      </c>
    </row>
    <row r="2060" spans="1:4" x14ac:dyDescent="0.2">
      <c r="A2060" s="5">
        <v>1999</v>
      </c>
      <c r="B2060" s="1831">
        <f>'Cap Outlay Deprec 26'!L13</f>
        <v>15874</v>
      </c>
      <c r="C2060" s="2" t="s">
        <v>568</v>
      </c>
      <c r="D2060" s="2" t="str">
        <f t="shared" si="31"/>
        <v>Error?</v>
      </c>
    </row>
    <row r="2061" spans="1:4" x14ac:dyDescent="0.2">
      <c r="A2061" s="5">
        <v>2000</v>
      </c>
      <c r="B2061" s="1831">
        <f>'Cap Outlay Deprec 26'!L16</f>
        <v>5287757</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1800</v>
      </c>
      <c r="C2088" s="2" t="s">
        <v>568</v>
      </c>
      <c r="D2088" s="2" t="str">
        <f t="shared" si="31"/>
        <v>Error?</v>
      </c>
    </row>
    <row r="2089" spans="1:4" x14ac:dyDescent="0.2">
      <c r="A2089" s="5">
        <v>2028</v>
      </c>
      <c r="B2089" s="1831">
        <f>'Expenditures 15-22'!K92</f>
        <v>93899</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1629133</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26651</v>
      </c>
      <c r="D2435" s="2" t="str">
        <f t="shared" si="37"/>
        <v>Error?</v>
      </c>
    </row>
    <row r="2436" spans="1:4" x14ac:dyDescent="0.2">
      <c r="A2436" s="10">
        <v>2375</v>
      </c>
      <c r="B2436" s="1831"/>
      <c r="D2436" s="2" t="str">
        <f t="shared" si="37"/>
        <v>OK</v>
      </c>
    </row>
    <row r="2437" spans="1:4" x14ac:dyDescent="0.2">
      <c r="A2437" s="5">
        <v>2376</v>
      </c>
      <c r="B2437" s="1831">
        <f>'Assets-Liab 5-6'!D38</f>
        <v>5008</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1628102</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481761</v>
      </c>
      <c r="C2553" s="2" t="s">
        <v>568</v>
      </c>
      <c r="D2553" s="2" t="str">
        <f t="shared" si="38"/>
        <v>Error?</v>
      </c>
    </row>
    <row r="2554" spans="1:4" x14ac:dyDescent="0.2">
      <c r="A2554" s="5">
        <v>2493</v>
      </c>
      <c r="B2554" s="1831">
        <f>'Acct Summary 7-8'!C7</f>
        <v>191382</v>
      </c>
      <c r="C2554" s="2" t="s">
        <v>568</v>
      </c>
      <c r="D2554" s="2" t="str">
        <f t="shared" si="38"/>
        <v>Error?</v>
      </c>
    </row>
    <row r="2555" spans="1:4" x14ac:dyDescent="0.2">
      <c r="A2555" s="5">
        <v>2494</v>
      </c>
      <c r="B2555" s="1831">
        <f>'Acct Summary 7-8'!C8</f>
        <v>2301245</v>
      </c>
      <c r="C2555" s="2" t="s">
        <v>568</v>
      </c>
      <c r="D2555" s="2" t="str">
        <f t="shared" si="38"/>
        <v>Error?</v>
      </c>
    </row>
    <row r="2556" spans="1:4" x14ac:dyDescent="0.2">
      <c r="A2556" s="5">
        <v>2495</v>
      </c>
      <c r="B2556" s="1831">
        <f>'Acct Summary 7-8'!C12</f>
        <v>1521528</v>
      </c>
      <c r="C2556" s="2" t="s">
        <v>568</v>
      </c>
      <c r="D2556" s="2" t="str">
        <f t="shared" si="38"/>
        <v>Error?</v>
      </c>
    </row>
    <row r="2557" spans="1:4" x14ac:dyDescent="0.2">
      <c r="A2557" s="5">
        <v>2496</v>
      </c>
      <c r="B2557" s="1831">
        <f>'Acct Summary 7-8'!C13</f>
        <v>650120</v>
      </c>
      <c r="C2557" s="2" t="s">
        <v>568</v>
      </c>
      <c r="D2557" s="2" t="str">
        <f t="shared" si="38"/>
        <v>Error?</v>
      </c>
    </row>
    <row r="2558" spans="1:4" x14ac:dyDescent="0.2">
      <c r="A2558" s="5">
        <v>2497</v>
      </c>
      <c r="B2558" s="1831">
        <f>'Acct Summary 7-8'!C14</f>
        <v>5006</v>
      </c>
      <c r="C2558" s="2" t="s">
        <v>568</v>
      </c>
      <c r="D2558" s="2" t="str">
        <f t="shared" si="38"/>
        <v>Error?</v>
      </c>
    </row>
    <row r="2559" spans="1:4" x14ac:dyDescent="0.2">
      <c r="A2559" s="5">
        <v>2498</v>
      </c>
      <c r="B2559" s="1831">
        <f>'Acct Summary 7-8'!C15</f>
        <v>95699</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2272353</v>
      </c>
      <c r="C2561" s="2" t="s">
        <v>568</v>
      </c>
      <c r="D2561" s="2" t="str">
        <f t="shared" si="39"/>
        <v>Error?</v>
      </c>
    </row>
    <row r="2562" spans="1:4" x14ac:dyDescent="0.2">
      <c r="A2562" s="5">
        <v>2501</v>
      </c>
      <c r="B2562" s="1831">
        <f>'Acct Summary 7-8'!C20</f>
        <v>28892</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233743</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233743</v>
      </c>
      <c r="C2568" s="2" t="s">
        <v>568</v>
      </c>
      <c r="D2568" s="2" t="str">
        <f t="shared" si="39"/>
        <v>Error?</v>
      </c>
    </row>
    <row r="2569" spans="1:4" x14ac:dyDescent="0.2">
      <c r="A2569" s="5">
        <v>2508</v>
      </c>
      <c r="B2569" s="1831">
        <f>'Acct Summary 7-8'!D13</f>
        <v>202525</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202525</v>
      </c>
      <c r="C2573" s="2" t="s">
        <v>568</v>
      </c>
      <c r="D2573" s="2" t="str">
        <f t="shared" si="39"/>
        <v>Error?</v>
      </c>
    </row>
    <row r="2574" spans="1:4" x14ac:dyDescent="0.2">
      <c r="A2574" s="5">
        <v>2513</v>
      </c>
      <c r="B2574" s="1831">
        <f>'Acct Summary 7-8'!D20</f>
        <v>31218</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136655</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155527</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292182</v>
      </c>
      <c r="C2595" s="2" t="s">
        <v>568</v>
      </c>
      <c r="D2595" s="2" t="str">
        <f t="shared" si="39"/>
        <v>Error?</v>
      </c>
    </row>
    <row r="2596" spans="1:4" x14ac:dyDescent="0.2">
      <c r="A2596" s="5">
        <v>2535</v>
      </c>
      <c r="B2596" s="1831">
        <f>'Acct Summary 7-8'!F13</f>
        <v>260802</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4802</v>
      </c>
      <c r="C2599" s="2" t="s">
        <v>568</v>
      </c>
      <c r="D2599" s="2" t="str">
        <f t="shared" si="39"/>
        <v>Error?</v>
      </c>
    </row>
    <row r="2600" spans="1:4" x14ac:dyDescent="0.2">
      <c r="A2600" s="5">
        <v>2539</v>
      </c>
      <c r="B2600" s="1831">
        <f>'Acct Summary 7-8'!F17</f>
        <v>265604</v>
      </c>
      <c r="C2600" s="2" t="s">
        <v>568</v>
      </c>
      <c r="D2600" s="2" t="str">
        <f t="shared" si="39"/>
        <v>Error?</v>
      </c>
    </row>
    <row r="2601" spans="1:4" x14ac:dyDescent="0.2">
      <c r="A2601" s="5">
        <v>2540</v>
      </c>
      <c r="B2601" s="1831">
        <f>'Acct Summary 7-8'!F20</f>
        <v>26578</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118304</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118304</v>
      </c>
      <c r="C2606" s="2" t="s">
        <v>568</v>
      </c>
      <c r="D2606" s="2" t="str">
        <f t="shared" si="39"/>
        <v>Error?</v>
      </c>
    </row>
    <row r="2607" spans="1:4" x14ac:dyDescent="0.2">
      <c r="A2607" s="5">
        <v>2546</v>
      </c>
      <c r="B2607" s="1831">
        <f>'Acct Summary 7-8'!G12</f>
        <v>49184</v>
      </c>
      <c r="C2607" s="2" t="s">
        <v>568</v>
      </c>
      <c r="D2607" s="2" t="str">
        <f t="shared" si="39"/>
        <v>Error?</v>
      </c>
    </row>
    <row r="2608" spans="1:4" x14ac:dyDescent="0.2">
      <c r="A2608" s="5">
        <v>2547</v>
      </c>
      <c r="B2608" s="1831">
        <f>'Acct Summary 7-8'!G13</f>
        <v>120490</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169674</v>
      </c>
      <c r="C2612" s="2" t="s">
        <v>568</v>
      </c>
      <c r="D2612" s="2" t="str">
        <f t="shared" si="39"/>
        <v>Error?</v>
      </c>
    </row>
    <row r="2613" spans="1:4" x14ac:dyDescent="0.2">
      <c r="A2613" s="5">
        <v>2552</v>
      </c>
      <c r="B2613" s="1831">
        <f>'Acct Summary 7-8'!G20</f>
        <v>-51370</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225504</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225504</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221752</v>
      </c>
      <c r="C2634" s="2" t="s">
        <v>568</v>
      </c>
      <c r="D2634" s="2" t="str">
        <f t="shared" si="40"/>
        <v>Error?</v>
      </c>
    </row>
    <row r="2635" spans="1:4" x14ac:dyDescent="0.2">
      <c r="A2635" s="5">
        <v>2574</v>
      </c>
      <c r="B2635" s="1831">
        <f>'Acct Summary 7-8'!E17</f>
        <v>221752</v>
      </c>
      <c r="C2635" s="2" t="s">
        <v>568</v>
      </c>
      <c r="D2635" s="2" t="str">
        <f t="shared" si="40"/>
        <v>Error?</v>
      </c>
    </row>
    <row r="2636" spans="1:4" x14ac:dyDescent="0.2">
      <c r="A2636" s="5">
        <v>2575</v>
      </c>
      <c r="B2636" s="1831">
        <f>'Acct Summary 7-8'!E20</f>
        <v>3752</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75865</v>
      </c>
      <c r="C2655" s="2" t="s">
        <v>568</v>
      </c>
      <c r="D2655" s="2" t="str">
        <f t="shared" si="40"/>
        <v>Error?</v>
      </c>
    </row>
    <row r="2656" spans="1:4" x14ac:dyDescent="0.2">
      <c r="A2656" s="5">
        <v>2595</v>
      </c>
      <c r="B2656" s="1831">
        <f>'Acct Summary 7-8'!H6</f>
        <v>50000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125865</v>
      </c>
      <c r="C2658" s="2" t="s">
        <v>568</v>
      </c>
      <c r="D2658" s="2" t="str">
        <f t="shared" si="40"/>
        <v>Error?</v>
      </c>
    </row>
    <row r="2659" spans="1:4" x14ac:dyDescent="0.2">
      <c r="A2659" s="5">
        <v>2598</v>
      </c>
      <c r="B2659" s="1831">
        <f>'Acct Summary 7-8'!H13</f>
        <v>964345</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964345</v>
      </c>
      <c r="C2661" s="2" t="s">
        <v>568</v>
      </c>
      <c r="D2661" s="2" t="str">
        <f t="shared" si="40"/>
        <v>Error?</v>
      </c>
    </row>
    <row r="2662" spans="1:4" x14ac:dyDescent="0.2">
      <c r="A2662" s="5">
        <v>2601</v>
      </c>
      <c r="B2662" s="1831">
        <f>'Acct Summary 7-8'!H20</f>
        <v>-838480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1800</v>
      </c>
      <c r="C2789" s="2" t="s">
        <v>568</v>
      </c>
      <c r="D2789" s="2" t="str">
        <f t="shared" si="42"/>
        <v>Error?</v>
      </c>
    </row>
    <row r="2790" spans="1:4" x14ac:dyDescent="0.2">
      <c r="A2790" s="5">
        <v>2729</v>
      </c>
      <c r="B2790" s="1831">
        <f>'Expenditures 15-22'!E102</f>
        <v>1800</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99752</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99752</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254198</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124404</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126943</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71335</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126943</v>
      </c>
      <c r="D2912" s="2" t="str">
        <f t="shared" si="44"/>
        <v>Error?</v>
      </c>
    </row>
    <row r="2913" spans="1:4" x14ac:dyDescent="0.2">
      <c r="A2913" s="5">
        <v>2852</v>
      </c>
      <c r="B2913" s="1831">
        <f>'Assets-Liab 5-6'!I41</f>
        <v>126943</v>
      </c>
      <c r="C2913" s="2" t="s">
        <v>568</v>
      </c>
      <c r="D2913" s="2" t="str">
        <f t="shared" si="44"/>
        <v>Error?</v>
      </c>
    </row>
    <row r="2914" spans="1:4" x14ac:dyDescent="0.2">
      <c r="A2914" s="5">
        <v>2853</v>
      </c>
      <c r="B2914" s="1831">
        <f>'Assets-Liab 5-6'!L33</f>
        <v>71335</v>
      </c>
      <c r="D2914" s="2" t="str">
        <f t="shared" si="44"/>
        <v>Error?</v>
      </c>
    </row>
    <row r="2915" spans="1:4" x14ac:dyDescent="0.2">
      <c r="A2915" s="10">
        <v>2854</v>
      </c>
      <c r="B2915" s="1831"/>
      <c r="D2915" s="2" t="str">
        <f t="shared" si="44"/>
        <v>OK</v>
      </c>
    </row>
    <row r="2916" spans="1:4" x14ac:dyDescent="0.2">
      <c r="A2916" s="5">
        <v>2855</v>
      </c>
      <c r="B2916" s="1831">
        <f>'Assets-Liab 5-6'!L34</f>
        <v>71335</v>
      </c>
      <c r="C2916" s="2" t="s">
        <v>568</v>
      </c>
      <c r="D2916" s="2" t="str">
        <f t="shared" si="44"/>
        <v>Error?</v>
      </c>
    </row>
    <row r="2917" spans="1:4" x14ac:dyDescent="0.2">
      <c r="A2917" s="5">
        <v>2856</v>
      </c>
      <c r="B2917" s="1831">
        <f>'Assets-Liab 5-6'!L41</f>
        <v>71335</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1800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1800</v>
      </c>
      <c r="C2973" s="2" t="s">
        <v>568</v>
      </c>
      <c r="D2973" s="2" t="str">
        <f t="shared" si="45"/>
        <v>Error?</v>
      </c>
    </row>
    <row r="2974" spans="1:4" x14ac:dyDescent="0.2">
      <c r="A2974" s="5">
        <v>2913</v>
      </c>
      <c r="B2974" s="1831">
        <f>'Expenditures 15-22'!K79</f>
        <v>0</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47113</v>
      </c>
      <c r="D3055" s="2" t="str">
        <f t="shared" si="46"/>
        <v>Error?</v>
      </c>
    </row>
    <row r="3056" spans="1:4" x14ac:dyDescent="0.2">
      <c r="A3056" s="5">
        <v>2995</v>
      </c>
      <c r="B3056" s="1831">
        <f>'Expenditures 15-22'!D10</f>
        <v>9717</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577</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57407</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656</v>
      </c>
      <c r="D3064" s="2" t="str">
        <f t="shared" si="46"/>
        <v>Error?</v>
      </c>
    </row>
    <row r="3065" spans="1:4" x14ac:dyDescent="0.2">
      <c r="A3065" s="5">
        <v>3004</v>
      </c>
      <c r="B3065" s="1831">
        <f>'Expenditures 15-22'!K219</f>
        <v>656</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23894</v>
      </c>
      <c r="C3225" s="2" t="s">
        <v>568</v>
      </c>
      <c r="D3225" s="2" t="str">
        <f t="shared" si="49"/>
        <v>Error?</v>
      </c>
    </row>
    <row r="3226" spans="1:4" x14ac:dyDescent="0.2">
      <c r="A3226" s="5">
        <v>3165</v>
      </c>
      <c r="B3226" s="1831">
        <f>'Acct Summary 7-8'!I8</f>
        <v>23894</v>
      </c>
      <c r="C3226" s="2" t="s">
        <v>568</v>
      </c>
      <c r="D3226" s="2" t="str">
        <f t="shared" si="49"/>
        <v>Error?</v>
      </c>
    </row>
    <row r="3227" spans="1:4" x14ac:dyDescent="0.2">
      <c r="A3227" s="5">
        <v>3166</v>
      </c>
      <c r="B3227" s="1831">
        <f>'Acct Summary 7-8'!I20</f>
        <v>23894</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0</v>
      </c>
      <c r="C3232" s="2" t="s">
        <v>568</v>
      </c>
      <c r="D3232" s="2" t="str">
        <f t="shared" si="49"/>
        <v>Error?</v>
      </c>
    </row>
    <row r="3233" spans="1:4" x14ac:dyDescent="0.2">
      <c r="A3233" s="5">
        <v>3172</v>
      </c>
      <c r="B3233" s="1831">
        <f>'Acct Summary 7-8'!C78</f>
        <v>28892</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31218</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26578</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-51370</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0</v>
      </c>
      <c r="C3277" s="2" t="s">
        <v>568</v>
      </c>
      <c r="D3277" s="2" t="str">
        <f t="shared" si="50"/>
        <v>Error?</v>
      </c>
    </row>
    <row r="3278" spans="1:4" x14ac:dyDescent="0.2">
      <c r="A3278" s="5">
        <v>3217</v>
      </c>
      <c r="B3278" s="1831">
        <f>'Acct Summary 7-8'!E78</f>
        <v>3752</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1629133</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1629133</v>
      </c>
      <c r="C3299" s="2" t="s">
        <v>568</v>
      </c>
      <c r="D3299" s="2" t="str">
        <f t="shared" si="50"/>
        <v>Error?</v>
      </c>
    </row>
    <row r="3300" spans="1:4" x14ac:dyDescent="0.2">
      <c r="A3300" s="5">
        <v>3239</v>
      </c>
      <c r="B3300" s="1831">
        <f>'Acct Summary 7-8'!H78</f>
        <v>790653</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1529133</v>
      </c>
      <c r="C3317" s="2" t="s">
        <v>568</v>
      </c>
      <c r="D3317" s="2" t="str">
        <f t="shared" si="50"/>
        <v>Error?</v>
      </c>
    </row>
    <row r="3318" spans="1:4" x14ac:dyDescent="0.2">
      <c r="A3318" s="5">
        <v>3257</v>
      </c>
      <c r="B3318" s="1831">
        <f>'Acct Summary 7-8'!I76</f>
        <v>1629133</v>
      </c>
      <c r="C3318" s="2" t="s">
        <v>568</v>
      </c>
      <c r="D3318" s="2" t="str">
        <f t="shared" si="50"/>
        <v>Error?</v>
      </c>
    </row>
    <row r="3319" spans="1:4" x14ac:dyDescent="0.2">
      <c r="A3319" s="5">
        <v>3258</v>
      </c>
      <c r="B3319" s="1831">
        <f>'Acct Summary 7-8'!I77</f>
        <v>-100000</v>
      </c>
      <c r="C3319" s="2" t="s">
        <v>568</v>
      </c>
      <c r="D3319" s="2" t="str">
        <f t="shared" si="50"/>
        <v>Error?</v>
      </c>
    </row>
    <row r="3320" spans="1:4" x14ac:dyDescent="0.2">
      <c r="A3320" s="5">
        <v>3259</v>
      </c>
      <c r="B3320" s="1831">
        <f>'Acct Summary 7-8'!I78</f>
        <v>-76106</v>
      </c>
      <c r="C3320" s="2" t="s">
        <v>568</v>
      </c>
      <c r="D3320" s="2" t="str">
        <f t="shared" si="50"/>
        <v>Error?</v>
      </c>
    </row>
    <row r="3321" spans="1:4" x14ac:dyDescent="0.2">
      <c r="A3321" s="5">
        <v>3260</v>
      </c>
      <c r="B3321" s="1831">
        <f>'Acct Summary 7-8'!I79</f>
        <v>203049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126943</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205073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17160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216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222449</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17566</v>
      </c>
      <c r="D3387" s="2" t="str">
        <f t="shared" si="51"/>
        <v>Error?</v>
      </c>
    </row>
    <row r="3388" spans="1:4" x14ac:dyDescent="0.2">
      <c r="A3388" s="5">
        <v>3327</v>
      </c>
      <c r="B3388" s="1831">
        <f>'Expenditures 15-22'!D217</f>
        <v>26319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17566</v>
      </c>
      <c r="C3390" s="2" t="s">
        <v>568</v>
      </c>
      <c r="D3390" s="2" t="str">
        <f t="shared" si="51"/>
        <v>Error?</v>
      </c>
    </row>
    <row r="3391" spans="1:4" x14ac:dyDescent="0.2">
      <c r="A3391" s="5">
        <v>3330</v>
      </c>
      <c r="B3391" s="1831">
        <f>'Expenditures 15-22'!K217</f>
        <v>26319</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218895</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70881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9547</v>
      </c>
      <c r="D3417" s="2" t="str">
        <f t="shared" si="52"/>
        <v>Error?</v>
      </c>
    </row>
    <row r="3418" spans="1:4" x14ac:dyDescent="0.2">
      <c r="A3418" s="10">
        <v>3357</v>
      </c>
      <c r="B3418" s="1831"/>
      <c r="D3418" s="2" t="str">
        <f t="shared" si="52"/>
        <v>OK</v>
      </c>
    </row>
    <row r="3419" spans="1:4" x14ac:dyDescent="0.2">
      <c r="A3419" s="5">
        <v>3358</v>
      </c>
      <c r="B3419" s="1831">
        <f>'Assets-Liab 5-6'!F4</f>
        <v>62257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22084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790653</v>
      </c>
      <c r="D3425" s="2" t="str">
        <f t="shared" si="52"/>
        <v>Error?</v>
      </c>
    </row>
    <row r="3426" spans="1:4" x14ac:dyDescent="0.2">
      <c r="A3426" s="10">
        <v>3365</v>
      </c>
      <c r="B3426" s="1831"/>
      <c r="D3426" s="2" t="str">
        <f t="shared" si="52"/>
        <v>OK</v>
      </c>
    </row>
    <row r="3427" spans="1:4" x14ac:dyDescent="0.2">
      <c r="A3427" s="5">
        <v>3366</v>
      </c>
      <c r="B3427" s="1831">
        <f>'Assets-Liab 5-6'!I4</f>
        <v>2539</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71335</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21168</v>
      </c>
      <c r="C3446" s="2" t="s">
        <v>568</v>
      </c>
      <c r="D3446" s="2" t="str">
        <f t="shared" si="52"/>
        <v>Error?</v>
      </c>
    </row>
    <row r="3447" spans="1:4" x14ac:dyDescent="0.2">
      <c r="A3447" s="5">
        <v>3386</v>
      </c>
      <c r="B3447" s="1831">
        <f>'Tax Sched 23'!D16</f>
        <v>21168</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28744</v>
      </c>
      <c r="C3449" s="2" t="s">
        <v>568</v>
      </c>
      <c r="D3449" s="2" t="str">
        <f t="shared" si="52"/>
        <v>Error?</v>
      </c>
    </row>
    <row r="3450" spans="1:4" x14ac:dyDescent="0.2">
      <c r="A3450" s="5">
        <v>3389</v>
      </c>
      <c r="B3450" s="1831">
        <f>'Tax Sched 23'!E16</f>
        <v>28744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254198</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254198</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254198</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94304</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94304</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94304</v>
      </c>
      <c r="D3567" s="2" t="str">
        <f t="shared" si="54"/>
        <v>Error?</v>
      </c>
    </row>
    <row r="3568" spans="1:4" x14ac:dyDescent="0.2">
      <c r="A3568" s="5">
        <v>3507</v>
      </c>
      <c r="B3568" s="1831">
        <f>'Assets-Liab 5-6'!K41</f>
        <v>94304</v>
      </c>
      <c r="C3568" s="2" t="s">
        <v>568</v>
      </c>
      <c r="D3568" s="2" t="str">
        <f t="shared" si="54"/>
        <v>Error?</v>
      </c>
    </row>
    <row r="3569" spans="1:4" x14ac:dyDescent="0.2">
      <c r="A3569" s="5">
        <v>3508</v>
      </c>
      <c r="B3569" s="1831">
        <f>'Acct Summary 7-8'!K4</f>
        <v>21649</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21649</v>
      </c>
      <c r="C3571" s="2" t="s">
        <v>568</v>
      </c>
      <c r="D3571" s="2" t="str">
        <f t="shared" si="54"/>
        <v>Error?</v>
      </c>
    </row>
    <row r="3572" spans="1:4" x14ac:dyDescent="0.2">
      <c r="A3572" s="5">
        <v>3511</v>
      </c>
      <c r="B3572" s="1831">
        <f>'Acct Summary 7-8'!K13</f>
        <v>19079</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19079</v>
      </c>
      <c r="C3575" s="2" t="s">
        <v>568</v>
      </c>
      <c r="D3575" s="2" t="str">
        <f t="shared" si="54"/>
        <v>Error?</v>
      </c>
    </row>
    <row r="3576" spans="1:4" x14ac:dyDescent="0.2">
      <c r="A3576" s="5">
        <v>3515</v>
      </c>
      <c r="B3576" s="1831">
        <f>'Acct Summary 7-8'!K20</f>
        <v>2570</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2570</v>
      </c>
      <c r="C3588" s="2" t="s">
        <v>568</v>
      </c>
      <c r="D3588" s="2" t="str">
        <f t="shared" si="55"/>
        <v>Error?</v>
      </c>
    </row>
    <row r="3589" spans="1:4" x14ac:dyDescent="0.2">
      <c r="A3589" s="5">
        <v>3528</v>
      </c>
      <c r="B3589" s="1831">
        <f>'Acct Summary 7-8'!K79</f>
        <v>91734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94304</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900</v>
      </c>
      <c r="D3632" s="2" t="str">
        <f t="shared" si="55"/>
        <v>Error?</v>
      </c>
    </row>
    <row r="3633" spans="1:4" x14ac:dyDescent="0.2">
      <c r="A3633" s="5">
        <v>3572</v>
      </c>
      <c r="B3633" s="1831">
        <f>'Expenditures 15-22'!E350</f>
        <v>900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900</v>
      </c>
      <c r="C3635" s="2" t="s">
        <v>568</v>
      </c>
      <c r="D3635" s="2" t="str">
        <f t="shared" si="55"/>
        <v>Error?</v>
      </c>
    </row>
    <row r="3636" spans="1:4" x14ac:dyDescent="0.2">
      <c r="A3636" s="5">
        <v>3575</v>
      </c>
      <c r="B3636" s="1831">
        <f>'Expenditures 15-22'!E367</f>
        <v>900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179</v>
      </c>
      <c r="D3639" s="2" t="str">
        <f t="shared" si="55"/>
        <v>Error?</v>
      </c>
    </row>
    <row r="3640" spans="1:4" x14ac:dyDescent="0.2">
      <c r="A3640" s="5">
        <v>3579</v>
      </c>
      <c r="B3640" s="1831">
        <f>'Expenditures 15-22'!F350</f>
        <v>179</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179</v>
      </c>
      <c r="C3642" s="2" t="s">
        <v>568</v>
      </c>
      <c r="D3642" s="2" t="str">
        <f t="shared" si="55"/>
        <v>Error?</v>
      </c>
    </row>
    <row r="3643" spans="1:4" x14ac:dyDescent="0.2">
      <c r="A3643" s="5">
        <v>3582</v>
      </c>
      <c r="B3643" s="1831">
        <f>'Expenditures 15-22'!F367</f>
        <v>179</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18000</v>
      </c>
      <c r="D3646" s="2" t="str">
        <f t="shared" si="55"/>
        <v>Error?</v>
      </c>
    </row>
    <row r="3647" spans="1:4" x14ac:dyDescent="0.2">
      <c r="A3647" s="5">
        <v>3586</v>
      </c>
      <c r="B3647" s="1831">
        <f>'Expenditures 15-22'!G350</f>
        <v>18000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18000</v>
      </c>
      <c r="C3649" s="2" t="s">
        <v>568</v>
      </c>
      <c r="D3649" s="2" t="str">
        <f t="shared" si="56"/>
        <v>Error?</v>
      </c>
    </row>
    <row r="3650" spans="1:4" x14ac:dyDescent="0.2">
      <c r="A3650" s="5">
        <v>3589</v>
      </c>
      <c r="B3650" s="1831">
        <f>'Expenditures 15-22'!G367</f>
        <v>18000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19079</v>
      </c>
      <c r="C3669" s="2" t="s">
        <v>568</v>
      </c>
      <c r="D3669" s="2" t="str">
        <f t="shared" si="56"/>
        <v>Error?</v>
      </c>
    </row>
    <row r="3670" spans="1:4" x14ac:dyDescent="0.2">
      <c r="A3670" s="5">
        <v>3609</v>
      </c>
      <c r="B3670" s="1831">
        <f>'Expenditures 15-22'!K350</f>
        <v>19079</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19079</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19079</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2570</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20639</v>
      </c>
      <c r="C3725" s="2" t="s">
        <v>568</v>
      </c>
      <c r="D3725" s="2" t="str">
        <f t="shared" si="57"/>
        <v>Error?</v>
      </c>
    </row>
    <row r="3726" spans="1:4" x14ac:dyDescent="0.2">
      <c r="A3726" s="5">
        <v>3665</v>
      </c>
      <c r="B3726" s="1831">
        <f>'Tax Sched 23'!D13</f>
        <v>20639</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20640</v>
      </c>
      <c r="C3728" s="2" t="s">
        <v>568</v>
      </c>
      <c r="D3728" s="2" t="str">
        <f t="shared" si="57"/>
        <v>Error?</v>
      </c>
    </row>
    <row r="3729" spans="1:4" x14ac:dyDescent="0.2">
      <c r="A3729" s="5">
        <v>3668</v>
      </c>
      <c r="B3729" s="1831">
        <f>'Tax Sched 23'!E13</f>
        <v>20640</v>
      </c>
      <c r="D3729" s="2" t="str">
        <f t="shared" si="57"/>
        <v>Error?</v>
      </c>
    </row>
    <row r="3730" spans="1:4" x14ac:dyDescent="0.2">
      <c r="A3730" s="5">
        <v>3669</v>
      </c>
      <c r="B3730" s="1831">
        <f>'ICR Computation 30'!E10</f>
        <v>50283</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679587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2980832</v>
      </c>
      <c r="C4122" s="2" t="s">
        <v>568</v>
      </c>
      <c r="D4122" s="2" t="str">
        <f t="shared" si="63"/>
        <v>Error?</v>
      </c>
    </row>
    <row r="4123" spans="1:4" x14ac:dyDescent="0.2">
      <c r="A4123" s="5">
        <v>4062</v>
      </c>
      <c r="B4123" s="1831">
        <f>'Acct Summary 7-8'!D10</f>
        <v>233743</v>
      </c>
      <c r="C4123" s="2" t="s">
        <v>568</v>
      </c>
      <c r="D4123" s="2" t="str">
        <f t="shared" si="63"/>
        <v>Error?</v>
      </c>
    </row>
    <row r="4124" spans="1:4" x14ac:dyDescent="0.2">
      <c r="A4124" s="5">
        <v>4063</v>
      </c>
      <c r="B4124" s="1831">
        <f>'Acct Summary 7-8'!E10</f>
        <v>225504</v>
      </c>
      <c r="C4124" s="2" t="s">
        <v>568</v>
      </c>
      <c r="D4124" s="2" t="str">
        <f t="shared" si="63"/>
        <v>Error?</v>
      </c>
    </row>
    <row r="4125" spans="1:4" x14ac:dyDescent="0.2">
      <c r="A4125" s="5">
        <v>4064</v>
      </c>
      <c r="B4125" s="1831">
        <f>'Acct Summary 7-8'!F10</f>
        <v>292182</v>
      </c>
      <c r="C4125" s="2" t="s">
        <v>568</v>
      </c>
      <c r="D4125" s="2" t="str">
        <f t="shared" si="63"/>
        <v>Error?</v>
      </c>
    </row>
    <row r="4126" spans="1:4" x14ac:dyDescent="0.2">
      <c r="A4126" s="5">
        <v>4065</v>
      </c>
      <c r="B4126" s="1831">
        <f>'Acct Summary 7-8'!G10</f>
        <v>118304</v>
      </c>
      <c r="C4126" s="2" t="s">
        <v>568</v>
      </c>
      <c r="D4126" s="2" t="str">
        <f t="shared" si="63"/>
        <v>Error?</v>
      </c>
    </row>
    <row r="4127" spans="1:4" x14ac:dyDescent="0.2">
      <c r="A4127" s="5">
        <v>4066</v>
      </c>
      <c r="B4127" s="1831">
        <f>'Acct Summary 7-8'!H10</f>
        <v>125865</v>
      </c>
      <c r="C4127" s="2" t="s">
        <v>568</v>
      </c>
      <c r="D4127" s="2" t="str">
        <f t="shared" si="63"/>
        <v>Error?</v>
      </c>
    </row>
    <row r="4128" spans="1:4" x14ac:dyDescent="0.2">
      <c r="A4128" s="5">
        <v>4067</v>
      </c>
      <c r="B4128" s="1831">
        <f>'Acct Summary 7-8'!I10</f>
        <v>23894</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21649</v>
      </c>
      <c r="C4130" s="2" t="s">
        <v>568</v>
      </c>
      <c r="D4130" s="2" t="str">
        <f t="shared" si="63"/>
        <v>Error?</v>
      </c>
    </row>
    <row r="4131" spans="1:4" x14ac:dyDescent="0.2">
      <c r="A4131" s="5">
        <v>4070</v>
      </c>
      <c r="B4131" s="1831">
        <f>'Acct Summary 7-8'!C18</f>
        <v>679587</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2951940</v>
      </c>
      <c r="C4136" s="2" t="s">
        <v>568</v>
      </c>
      <c r="D4136" s="2" t="str">
        <f t="shared" si="63"/>
        <v>Error?</v>
      </c>
    </row>
    <row r="4137" spans="1:4" x14ac:dyDescent="0.2">
      <c r="A4137" s="5">
        <v>4076</v>
      </c>
      <c r="B4137" s="1831">
        <f>'Acct Summary 7-8'!D19</f>
        <v>202525</v>
      </c>
      <c r="C4137" s="2" t="s">
        <v>568</v>
      </c>
      <c r="D4137" s="2" t="str">
        <f t="shared" si="63"/>
        <v>Error?</v>
      </c>
    </row>
    <row r="4138" spans="1:4" x14ac:dyDescent="0.2">
      <c r="A4138" s="5">
        <v>4077</v>
      </c>
      <c r="B4138" s="1831">
        <f>'Acct Summary 7-8'!E19</f>
        <v>221752</v>
      </c>
      <c r="C4138" s="2" t="s">
        <v>568</v>
      </c>
      <c r="D4138" s="2" t="str">
        <f t="shared" si="63"/>
        <v>Error?</v>
      </c>
    </row>
    <row r="4139" spans="1:4" x14ac:dyDescent="0.2">
      <c r="A4139" s="5">
        <v>4078</v>
      </c>
      <c r="B4139" s="1831">
        <f>'Acct Summary 7-8'!F19</f>
        <v>265604</v>
      </c>
      <c r="C4139" s="2" t="s">
        <v>568</v>
      </c>
      <c r="D4139" s="2" t="str">
        <f t="shared" si="63"/>
        <v>Error?</v>
      </c>
    </row>
    <row r="4140" spans="1:4" x14ac:dyDescent="0.2">
      <c r="A4140" s="5">
        <v>4079</v>
      </c>
      <c r="B4140" s="1831">
        <f>'Acct Summary 7-8'!G19</f>
        <v>169674</v>
      </c>
      <c r="C4140" s="2" t="s">
        <v>568</v>
      </c>
      <c r="D4140" s="2" t="str">
        <f t="shared" si="63"/>
        <v>Error?</v>
      </c>
    </row>
    <row r="4141" spans="1:4" x14ac:dyDescent="0.2">
      <c r="A4141" s="5">
        <v>4080</v>
      </c>
      <c r="B4141" s="1831">
        <f>'Acct Summary 7-8'!H19</f>
        <v>964345</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19079</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4185041</v>
      </c>
      <c r="C4171" s="2" t="s">
        <v>568</v>
      </c>
      <c r="D4171" s="2" t="str">
        <f t="shared" si="64"/>
        <v>Error?</v>
      </c>
    </row>
    <row r="4172" spans="1:4" x14ac:dyDescent="0.2">
      <c r="A4172" s="5">
        <v>4111</v>
      </c>
      <c r="B4172" s="1831">
        <f>'Short-Term Long-Term Debt 24'!J49</f>
        <v>4149394</v>
      </c>
      <c r="C4172" s="2" t="s">
        <v>568</v>
      </c>
      <c r="D4172" s="2" t="str">
        <f t="shared" si="64"/>
        <v>Error?</v>
      </c>
    </row>
    <row r="4173" spans="1:4" x14ac:dyDescent="0.2">
      <c r="A4173" s="5">
        <v>4112</v>
      </c>
      <c r="B4173" s="1831">
        <f>'Short-Term Long-Term Debt 24'!H49</f>
        <v>125870</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3870</v>
      </c>
      <c r="D4210" s="2" t="str">
        <f t="shared" si="64"/>
        <v>Error?</v>
      </c>
    </row>
    <row r="4211" spans="1:4" x14ac:dyDescent="0.2">
      <c r="A4211" s="5">
        <v>4150</v>
      </c>
      <c r="B4211" s="1831">
        <f>'Expenditures 15-22'!K206</f>
        <v>3870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2250</v>
      </c>
      <c r="C4265" s="2" t="s">
        <v>568</v>
      </c>
      <c r="D4265" s="2" t="str">
        <f t="shared" si="65"/>
        <v>Error?</v>
      </c>
      <c r="E4265" s="125"/>
    </row>
    <row r="4266" spans="1:5" x14ac:dyDescent="0.2">
      <c r="A4266" s="12">
        <v>4205</v>
      </c>
      <c r="B4266" s="1831">
        <f>('FP Info 3'!F10)*100000</f>
        <v>500</v>
      </c>
      <c r="C4266" s="2" t="s">
        <v>568</v>
      </c>
      <c r="D4266" s="2" t="str">
        <f t="shared" si="65"/>
        <v>Error?</v>
      </c>
      <c r="E4266" s="125"/>
    </row>
    <row r="4267" spans="1:5" x14ac:dyDescent="0.2">
      <c r="A4267" s="12">
        <v>4206</v>
      </c>
      <c r="B4267" s="1831">
        <f>('FP Info 3'!H10)*100000</f>
        <v>200</v>
      </c>
      <c r="C4267" s="2" t="s">
        <v>568</v>
      </c>
      <c r="D4267" s="2" t="str">
        <f t="shared" si="65"/>
        <v>Error?</v>
      </c>
      <c r="E4267" s="125"/>
    </row>
    <row r="4268" spans="1:5" x14ac:dyDescent="0.2">
      <c r="A4268" s="12">
        <v>4207</v>
      </c>
      <c r="B4268" s="1831">
        <f>('FP Info 3'!J10)*100000</f>
        <v>2950</v>
      </c>
      <c r="C4268" s="2" t="s">
        <v>568</v>
      </c>
      <c r="D4268" s="2" t="str">
        <f t="shared" si="65"/>
        <v>Error?</v>
      </c>
    </row>
    <row r="4269" spans="1:5" x14ac:dyDescent="0.2">
      <c r="A4269" s="12">
        <v>4208</v>
      </c>
      <c r="B4269" s="1831">
        <f>'FP Info 3'!J16</f>
        <v>1129212</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4924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40730</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17924</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17924</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3939</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4411</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47301439</v>
      </c>
      <c r="D4995" s="2" t="str">
        <f t="shared" si="77"/>
        <v>Error?</v>
      </c>
    </row>
    <row r="4996" spans="1:4" x14ac:dyDescent="0.2">
      <c r="A4996" s="12">
        <v>4935</v>
      </c>
      <c r="B4996" s="1831">
        <f>'FP Info 3'!H31</f>
        <v>6527598.5820000004</v>
      </c>
      <c r="D4996" s="2" t="str">
        <f t="shared" si="77"/>
        <v>Error?</v>
      </c>
    </row>
    <row r="4997" spans="1:4" x14ac:dyDescent="0.2">
      <c r="A4997" s="12">
        <v>4936</v>
      </c>
      <c r="B4997" s="1831">
        <f>'FP Info 3'!H37</f>
        <v>4185041</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20639</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967680</v>
      </c>
      <c r="D5061" s="2" t="str">
        <f t="shared" si="78"/>
        <v>Error?</v>
      </c>
    </row>
    <row r="5062" spans="1:4" x14ac:dyDescent="0.2">
      <c r="A5062" s="10">
        <v>5001</v>
      </c>
      <c r="B5062" s="1831"/>
      <c r="D5062" s="2" t="str">
        <f t="shared" si="78"/>
        <v>OK</v>
      </c>
    </row>
    <row r="5063" spans="1:4" x14ac:dyDescent="0.2">
      <c r="A5063" s="5">
        <v>5002</v>
      </c>
      <c r="B5063" s="1831">
        <f>'Revenues 9-14'!C7</f>
        <v>17204</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1005523</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525497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525497</v>
      </c>
      <c r="C5071" s="2" t="s">
        <v>568</v>
      </c>
      <c r="D5071" s="2" t="str">
        <f t="shared" si="78"/>
        <v>Error?</v>
      </c>
    </row>
    <row r="5072" spans="1:4" x14ac:dyDescent="0.2">
      <c r="A5072" s="5">
        <v>5011</v>
      </c>
      <c r="B5072" s="1831">
        <f>'Revenues 9-14'!C20</f>
        <v>12350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12350</v>
      </c>
      <c r="C5087" s="2" t="s">
        <v>568</v>
      </c>
      <c r="D5087" s="2" t="str">
        <f t="shared" si="78"/>
        <v>Error?</v>
      </c>
    </row>
    <row r="5088" spans="1:4" x14ac:dyDescent="0.2">
      <c r="A5088" s="5">
        <v>5027</v>
      </c>
      <c r="B5088" s="1831">
        <f>'Revenues 9-14'!C65</f>
        <v>8076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8076</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4439</v>
      </c>
      <c r="D5094" s="2" t="str">
        <f t="shared" si="78"/>
        <v>Error?</v>
      </c>
    </row>
    <row r="5095" spans="1:4" x14ac:dyDescent="0.2">
      <c r="A5095" s="5">
        <v>5034</v>
      </c>
      <c r="B5095" s="1831">
        <f>'Revenues 9-14'!C74</f>
        <v>749</v>
      </c>
      <c r="D5095" s="2" t="str">
        <f t="shared" si="78"/>
        <v>Error?</v>
      </c>
    </row>
    <row r="5096" spans="1:4" x14ac:dyDescent="0.2">
      <c r="A5096" s="5">
        <v>5035</v>
      </c>
      <c r="B5096" s="1831">
        <f>'Revenues 9-14'!C75</f>
        <v>39442</v>
      </c>
      <c r="C5096" s="2" t="s">
        <v>568</v>
      </c>
      <c r="D5096" s="2" t="str">
        <f t="shared" si="78"/>
        <v>Error?</v>
      </c>
    </row>
    <row r="5097" spans="1:4" x14ac:dyDescent="0.2">
      <c r="A5097" s="5">
        <v>5036</v>
      </c>
      <c r="B5097" s="1831">
        <f>'Revenues 9-14'!C77</f>
        <v>9491</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4121</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13612</v>
      </c>
      <c r="C5102" s="2" t="s">
        <v>568</v>
      </c>
      <c r="D5102" s="2" t="str">
        <f t="shared" si="78"/>
        <v>Error?</v>
      </c>
    </row>
    <row r="5103" spans="1:4" x14ac:dyDescent="0.2">
      <c r="A5103" s="5">
        <v>5042</v>
      </c>
      <c r="B5103" s="1831">
        <f>'Revenues 9-14'!C84</f>
        <v>6481</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6481</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2259</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14862</v>
      </c>
      <c r="D5119" s="2" t="str">
        <f t="shared" ref="D5119:D5182" si="79">IF(ISBLANK(B5119),"OK",IF(A5119-B5119=0,"OK","Error?"))</f>
        <v>Error?</v>
      </c>
    </row>
    <row r="5120" spans="1:4" x14ac:dyDescent="0.2">
      <c r="A5120" s="5">
        <v>5059</v>
      </c>
      <c r="B5120" s="1831">
        <f>'Revenues 9-14'!C108</f>
        <v>17121</v>
      </c>
      <c r="C5120" s="2" t="s">
        <v>568</v>
      </c>
      <c r="D5120" s="2" t="str">
        <f t="shared" si="79"/>
        <v>Error?</v>
      </c>
    </row>
    <row r="5121" spans="1:4" x14ac:dyDescent="0.2">
      <c r="A5121" s="5">
        <v>5060</v>
      </c>
      <c r="B5121" s="1831">
        <f>'Revenues 9-14'!C109</f>
        <v>1628102</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427347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427347</v>
      </c>
      <c r="C5132" s="2" t="s">
        <v>568</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49587</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49587</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1971</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777</v>
      </c>
      <c r="D5167" s="2" t="str">
        <f t="shared" si="79"/>
        <v>Error?</v>
      </c>
    </row>
    <row r="5168" spans="1:4" x14ac:dyDescent="0.2">
      <c r="A5168" s="5">
        <v>5107</v>
      </c>
      <c r="B5168" s="1831">
        <f>'Revenues 9-14'!C148</f>
        <v>2079</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54414</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481761</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36050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11344</v>
      </c>
      <c r="D5241" s="2" t="str">
        <f t="shared" si="80"/>
        <v>Error?</v>
      </c>
    </row>
    <row r="5242" spans="1:4" x14ac:dyDescent="0.2">
      <c r="A5242" s="5">
        <v>5181</v>
      </c>
      <c r="B5242" s="1831">
        <f>'Revenues 9-14'!C194</f>
        <v>22567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69961</v>
      </c>
      <c r="C5246" s="2" t="s">
        <v>568</v>
      </c>
      <c r="D5246" s="2" t="str">
        <f t="shared" si="80"/>
        <v>Error?</v>
      </c>
    </row>
    <row r="5247" spans="1:4" x14ac:dyDescent="0.2">
      <c r="A5247" s="5">
        <v>5186</v>
      </c>
      <c r="B5247" s="1831">
        <f>'Revenues 9-14'!C200</f>
        <v>33024</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9-14'!C202</f>
        <v>0</v>
      </c>
      <c r="D5255" s="2" t="str">
        <f t="shared" si="81"/>
        <v>Error?</v>
      </c>
    </row>
    <row r="5256" spans="1:5" x14ac:dyDescent="0.2">
      <c r="A5256" s="5">
        <v>5195</v>
      </c>
      <c r="B5256" s="1831">
        <f>'Revenues 9-14'!C206</f>
        <v>3939</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33024</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11886</v>
      </c>
      <c r="D5278" s="2" t="str">
        <f t="shared" si="81"/>
        <v>Error?</v>
      </c>
    </row>
    <row r="5279" spans="1:4" x14ac:dyDescent="0.2">
      <c r="A5279" s="5">
        <v>5218</v>
      </c>
      <c r="B5279" s="1831">
        <f>'Revenues 9-14'!C214</f>
        <v>4583</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16469</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191382</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191382</v>
      </c>
      <c r="C5326" s="2" t="s">
        <v>568</v>
      </c>
      <c r="D5326" s="2" t="str">
        <f t="shared" si="82"/>
        <v>Error?</v>
      </c>
    </row>
    <row r="5327" spans="1:5" x14ac:dyDescent="0.2">
      <c r="A5327" s="5">
        <v>5266</v>
      </c>
      <c r="B5327" s="1831">
        <f>'Revenues 9-14'!C268</f>
        <v>2301245</v>
      </c>
      <c r="C5327" s="2" t="s">
        <v>568</v>
      </c>
      <c r="D5327" s="2" t="str">
        <f t="shared" si="82"/>
        <v>Error?</v>
      </c>
    </row>
    <row r="5328" spans="1:5" x14ac:dyDescent="0.2">
      <c r="A5328" s="5">
        <v>5267</v>
      </c>
      <c r="B5328" s="1831">
        <f>'Revenues 9-14'!D5</f>
        <v>215053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215053</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13500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13500</v>
      </c>
      <c r="C5339" s="2" t="s">
        <v>568</v>
      </c>
      <c r="D5339" s="2" t="str">
        <f t="shared" si="82"/>
        <v>Error?</v>
      </c>
    </row>
    <row r="5340" spans="1:4" x14ac:dyDescent="0.2">
      <c r="A5340" s="5">
        <v>5279</v>
      </c>
      <c r="B5340" s="1831">
        <f>'Revenues 9-14'!D65</f>
        <v>4994</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4994</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196</v>
      </c>
      <c r="D5354" s="2" t="str">
        <f t="shared" si="82"/>
        <v>Error?</v>
      </c>
    </row>
    <row r="5355" spans="1:4" x14ac:dyDescent="0.2">
      <c r="A5355" s="5">
        <v>5294</v>
      </c>
      <c r="B5355" s="1831">
        <f>'Revenues 9-14'!D108</f>
        <v>196</v>
      </c>
      <c r="C5355" s="2" t="s">
        <v>568</v>
      </c>
      <c r="D5355" s="2" t="str">
        <f t="shared" si="82"/>
        <v>Error?</v>
      </c>
    </row>
    <row r="5356" spans="1:4" x14ac:dyDescent="0.2">
      <c r="A5356" s="5">
        <v>5295</v>
      </c>
      <c r="B5356" s="1831">
        <f>'Revenues 9-14'!D109</f>
        <v>233743</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233743</v>
      </c>
      <c r="C5508" s="2" t="s">
        <v>568</v>
      </c>
      <c r="D5508" s="2" t="str">
        <f t="shared" si="85"/>
        <v>Error?</v>
      </c>
    </row>
    <row r="5509" spans="1:4" x14ac:dyDescent="0.2">
      <c r="A5509" s="5">
        <v>5448</v>
      </c>
      <c r="B5509" s="1831">
        <f>'Revenues 9-14'!E5</f>
        <v>224997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224997</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507</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507</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225504</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225504</v>
      </c>
      <c r="C5552" s="2" t="s">
        <v>568</v>
      </c>
      <c r="D5552" s="2" t="str">
        <f t="shared" si="85"/>
        <v>Error?</v>
      </c>
    </row>
    <row r="5553" spans="1:4" x14ac:dyDescent="0.2">
      <c r="A5553" s="5">
        <v>5492</v>
      </c>
      <c r="B5553" s="1831">
        <f>'Revenues 9-14'!F5</f>
        <v>86020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86020</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50000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50000</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126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126</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509</v>
      </c>
      <c r="D5586" s="2" t="str">
        <f t="shared" si="86"/>
        <v>Error?</v>
      </c>
    </row>
    <row r="5587" spans="1:4" x14ac:dyDescent="0.2">
      <c r="A5587" s="5">
        <v>5526</v>
      </c>
      <c r="B5587" s="1831">
        <f>'Revenues 9-14'!F108</f>
        <v>509</v>
      </c>
      <c r="C5587" s="2" t="s">
        <v>568</v>
      </c>
      <c r="D5587" s="2" t="str">
        <f t="shared" si="86"/>
        <v>Error?</v>
      </c>
    </row>
    <row r="5588" spans="1:4" x14ac:dyDescent="0.2">
      <c r="A5588" s="5">
        <v>5527</v>
      </c>
      <c r="B5588" s="1831">
        <f>'Revenues 9-14'!F109</f>
        <v>136655</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117207</v>
      </c>
      <c r="D5615" s="2" t="str">
        <f t="shared" si="86"/>
        <v>Error?</v>
      </c>
    </row>
    <row r="5616" spans="1:4" x14ac:dyDescent="0.2">
      <c r="A5616" s="10">
        <v>5555</v>
      </c>
      <c r="B5616" s="1831"/>
      <c r="D5616" s="2" t="str">
        <f t="shared" si="86"/>
        <v>OK</v>
      </c>
    </row>
    <row r="5617" spans="1:5" x14ac:dyDescent="0.2">
      <c r="A5617" s="5">
        <v>5556</v>
      </c>
      <c r="B5617" s="1831">
        <f>'Revenues 9-14'!F153</f>
        <v>38320</v>
      </c>
      <c r="D5617" s="2" t="str">
        <f t="shared" si="86"/>
        <v>Error?</v>
      </c>
    </row>
    <row r="5618" spans="1:5" x14ac:dyDescent="0.2">
      <c r="A5618" s="5">
        <v>5557</v>
      </c>
      <c r="B5618" s="1831">
        <f>'Revenues 9-14'!F155</f>
        <v>155527</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155527</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155527</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292182</v>
      </c>
      <c r="C5720" s="2" t="s">
        <v>568</v>
      </c>
      <c r="D5720" s="2" t="str">
        <f t="shared" si="88"/>
        <v>Error?</v>
      </c>
    </row>
    <row r="5721" spans="1:4" x14ac:dyDescent="0.2">
      <c r="A5721" s="5">
        <v>5660</v>
      </c>
      <c r="B5721" s="1831">
        <f>'Revenues 9-14'!G5</f>
        <v>31248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21168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52416</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65000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65000</v>
      </c>
      <c r="C5730" s="2" t="s">
        <v>568</v>
      </c>
      <c r="D5730" s="2" t="str">
        <f t="shared" si="88"/>
        <v>Error?</v>
      </c>
    </row>
    <row r="5731" spans="1:4" x14ac:dyDescent="0.2">
      <c r="A5731" s="5">
        <v>5670</v>
      </c>
      <c r="B5731" s="1831">
        <f>'Revenues 9-14'!G65</f>
        <v>888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888</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118304</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62000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62000</v>
      </c>
      <c r="C5878" s="2" t="s">
        <v>568</v>
      </c>
      <c r="D5878" s="2" t="str">
        <f t="shared" si="90"/>
        <v>Error?</v>
      </c>
    </row>
    <row r="5879" spans="1:4" x14ac:dyDescent="0.2">
      <c r="A5879" s="5">
        <v>5818</v>
      </c>
      <c r="B5879" s="1831">
        <f>'Revenues 9-14'!H65</f>
        <v>680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680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13185</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50000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50000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125865</v>
      </c>
      <c r="C5915" s="2" t="s">
        <v>568</v>
      </c>
      <c r="D5915" s="2" t="str">
        <f t="shared" si="91"/>
        <v>Error?</v>
      </c>
    </row>
    <row r="5916" spans="1:4" x14ac:dyDescent="0.2">
      <c r="A5916" s="5">
        <v>5855</v>
      </c>
      <c r="B5916" s="1831">
        <f>'Revenues 9-14'!I5</f>
        <v>21505</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21505</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2389</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2389</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23894</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21506</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21506</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143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143</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21649</v>
      </c>
      <c r="C6023" s="2" t="s">
        <v>568</v>
      </c>
      <c r="D6023" s="2" t="str">
        <f t="shared" si="93"/>
        <v>Error?</v>
      </c>
    </row>
    <row r="6024" spans="1:5" x14ac:dyDescent="0.2">
      <c r="A6024" s="5">
        <v>5963</v>
      </c>
      <c r="B6024" s="1831">
        <f>'Revenues 9-14'!G109</f>
        <v>118304</v>
      </c>
      <c r="C6024" s="2" t="s">
        <v>568</v>
      </c>
      <c r="D6024" s="2" t="str">
        <f t="shared" si="93"/>
        <v>Error?</v>
      </c>
    </row>
    <row r="6025" spans="1:5" x14ac:dyDescent="0.2">
      <c r="A6025" s="5">
        <v>5964</v>
      </c>
      <c r="B6025" s="1831">
        <f>'Revenues 9-14'!H109</f>
        <v>75865</v>
      </c>
      <c r="C6025" s="2" t="s">
        <v>568</v>
      </c>
      <c r="D6025" s="2" t="str">
        <f t="shared" si="93"/>
        <v>Error?</v>
      </c>
    </row>
    <row r="6026" spans="1:5" x14ac:dyDescent="0.2">
      <c r="A6026" s="5">
        <v>5965</v>
      </c>
      <c r="B6026" s="1831">
        <f>'Revenues 9-14'!I109</f>
        <v>23894</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21649</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34254</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11894</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218.09</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67152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67152</v>
      </c>
      <c r="D6215" s="2" t="str">
        <f t="shared" si="96"/>
        <v>Error?</v>
      </c>
      <c r="E6215" s="2" t="s">
        <v>189</v>
      </c>
    </row>
    <row r="6216" spans="1:5" x14ac:dyDescent="0.2">
      <c r="A6216">
        <v>6155</v>
      </c>
      <c r="B6216" s="1831">
        <f>'Assets-Liab 5-6'!J41</f>
        <v>67152</v>
      </c>
      <c r="D6216" s="2" t="str">
        <f t="shared" si="96"/>
        <v>Error?</v>
      </c>
      <c r="E6216" s="2" t="s">
        <v>189</v>
      </c>
    </row>
    <row r="6217" spans="1:5" x14ac:dyDescent="0.2">
      <c r="A6217">
        <v>6156</v>
      </c>
      <c r="B6217" s="1831">
        <f>'Assets-Liab 5-6'!J4</f>
        <v>67152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151429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151429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151429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164300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164300</v>
      </c>
      <c r="D6229" s="2" t="str">
        <f t="shared" si="96"/>
        <v>Error?</v>
      </c>
      <c r="E6229" s="2" t="s">
        <v>189</v>
      </c>
    </row>
    <row r="6230" spans="1:5" x14ac:dyDescent="0.2">
      <c r="A6230">
        <v>6169</v>
      </c>
      <c r="B6230" s="1831">
        <f>'Acct Summary 7-8'!J20</f>
        <v>-12871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-12871</v>
      </c>
      <c r="D6263" s="2" t="str">
        <f t="shared" si="96"/>
        <v>Error?</v>
      </c>
      <c r="E6263" s="2" t="s">
        <v>189</v>
      </c>
    </row>
    <row r="6264" spans="1:5" x14ac:dyDescent="0.2">
      <c r="A6264">
        <v>6203</v>
      </c>
      <c r="B6264" s="1831">
        <f>'Acct Summary 7-8'!J79</f>
        <v>80023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67152</v>
      </c>
      <c r="D6266" s="2" t="str">
        <f t="shared" si="96"/>
        <v>Error?</v>
      </c>
      <c r="E6266" s="2" t="s">
        <v>189</v>
      </c>
    </row>
    <row r="6267" spans="1:5" x14ac:dyDescent="0.2">
      <c r="A6267">
        <v>6206</v>
      </c>
      <c r="B6267" s="1831">
        <f>'Acct Summary 7-8'!C82</f>
        <v>28892</v>
      </c>
      <c r="D6267" s="2" t="str">
        <f t="shared" si="96"/>
        <v>Error?</v>
      </c>
      <c r="E6267" s="2" t="s">
        <v>189</v>
      </c>
    </row>
    <row r="6268" spans="1:5" x14ac:dyDescent="0.2">
      <c r="A6268">
        <v>6207</v>
      </c>
      <c r="B6268" s="1831">
        <f>'Acct Summary 7-8'!D82</f>
        <v>31218</v>
      </c>
      <c r="D6268" s="2" t="str">
        <f t="shared" si="96"/>
        <v>Error?</v>
      </c>
      <c r="E6268" s="2" t="s">
        <v>189</v>
      </c>
    </row>
    <row r="6269" spans="1:5" x14ac:dyDescent="0.2">
      <c r="A6269">
        <v>6208</v>
      </c>
      <c r="B6269" s="1831">
        <f>'Acct Summary 7-8'!E82</f>
        <v>3752</v>
      </c>
      <c r="D6269" s="2" t="str">
        <f t="shared" si="96"/>
        <v>Error?</v>
      </c>
      <c r="E6269" s="2" t="s">
        <v>189</v>
      </c>
    </row>
    <row r="6270" spans="1:5" x14ac:dyDescent="0.2">
      <c r="A6270">
        <v>6209</v>
      </c>
      <c r="B6270" s="1831">
        <f>'Acct Summary 7-8'!F82</f>
        <v>26578</v>
      </c>
      <c r="D6270" s="2" t="str">
        <f t="shared" si="96"/>
        <v>Error?</v>
      </c>
      <c r="E6270" s="2" t="s">
        <v>189</v>
      </c>
    </row>
    <row r="6271" spans="1:5" x14ac:dyDescent="0.2">
      <c r="A6271">
        <v>6210</v>
      </c>
      <c r="B6271" s="1831">
        <f>'Acct Summary 7-8'!G82</f>
        <v>-51370</v>
      </c>
      <c r="D6271" s="2" t="str">
        <f t="shared" ref="D6271:D6334" si="97">IF(ISBLANK(B6271),"OK",IF(A6271-B6271=0,"OK","Error?"))</f>
        <v>Error?</v>
      </c>
      <c r="E6271" s="2" t="s">
        <v>189</v>
      </c>
    </row>
    <row r="6272" spans="1:5" x14ac:dyDescent="0.2">
      <c r="A6272">
        <v>6211</v>
      </c>
      <c r="B6272" s="1831">
        <f>'Acct Summary 7-8'!H82</f>
        <v>790653</v>
      </c>
      <c r="D6272" s="2" t="str">
        <f t="shared" si="97"/>
        <v>Error?</v>
      </c>
      <c r="E6272" s="2" t="s">
        <v>189</v>
      </c>
    </row>
    <row r="6273" spans="1:5" x14ac:dyDescent="0.2">
      <c r="A6273">
        <v>6212</v>
      </c>
      <c r="B6273" s="1831">
        <f>'Acct Summary 7-8'!I82</f>
        <v>-76106</v>
      </c>
      <c r="D6273" s="2" t="str">
        <f t="shared" si="97"/>
        <v>Error?</v>
      </c>
      <c r="E6273" s="2" t="s">
        <v>189</v>
      </c>
    </row>
    <row r="6274" spans="1:5" x14ac:dyDescent="0.2">
      <c r="A6274">
        <v>6213</v>
      </c>
      <c r="B6274" s="1831">
        <f>'Acct Summary 7-8'!J82</f>
        <v>-12871</v>
      </c>
      <c r="D6274" s="2" t="str">
        <f t="shared" si="97"/>
        <v>Error?</v>
      </c>
      <c r="E6274" s="2" t="s">
        <v>189</v>
      </c>
    </row>
    <row r="6275" spans="1:5" x14ac:dyDescent="0.2">
      <c r="A6275">
        <v>6214</v>
      </c>
      <c r="B6275" s="1831">
        <f>'Acct Summary 7-8'!K82</f>
        <v>2570</v>
      </c>
      <c r="D6275" s="2" t="str">
        <f t="shared" si="97"/>
        <v>Error?</v>
      </c>
      <c r="E6275" s="2" t="s">
        <v>189</v>
      </c>
    </row>
    <row r="6276" spans="1:5" x14ac:dyDescent="0.2">
      <c r="A6276">
        <v>6215</v>
      </c>
      <c r="B6276" s="1831">
        <f>'Acct Summary 7-8'!C83</f>
        <v>5.1573148832410473E-2</v>
      </c>
      <c r="D6276" s="2" t="str">
        <f t="shared" si="97"/>
        <v>Error?</v>
      </c>
      <c r="E6276" s="2" t="s">
        <v>189</v>
      </c>
    </row>
    <row r="6277" spans="1:5" x14ac:dyDescent="0.2">
      <c r="A6277">
        <v>6216</v>
      </c>
      <c r="B6277" s="1831">
        <f>'Acct Summary 7-8'!D83</f>
        <v>8.2196325415089075E-2</v>
      </c>
      <c r="D6277" s="2" t="str">
        <f t="shared" si="97"/>
        <v>Error?</v>
      </c>
      <c r="E6277" s="2" t="s">
        <v>189</v>
      </c>
    </row>
    <row r="6278" spans="1:5" x14ac:dyDescent="0.2">
      <c r="A6278">
        <v>6217</v>
      </c>
      <c r="B6278" s="1831">
        <f>'Acct Summary 7-8'!E83</f>
        <v>0.10525429909950347</v>
      </c>
      <c r="D6278" s="2" t="str">
        <f t="shared" si="97"/>
        <v>Error?</v>
      </c>
      <c r="E6278" s="2" t="s">
        <v>189</v>
      </c>
    </row>
    <row r="6279" spans="1:5" x14ac:dyDescent="0.2">
      <c r="A6279">
        <v>6218</v>
      </c>
      <c r="B6279" s="1831">
        <f>'Acct Summary 7-8'!F83</f>
        <v>0.42690781759480861</v>
      </c>
      <c r="D6279" s="2" t="str">
        <f t="shared" si="97"/>
        <v>Error?</v>
      </c>
      <c r="E6279" s="2" t="s">
        <v>189</v>
      </c>
    </row>
    <row r="6280" spans="1:5" x14ac:dyDescent="0.2">
      <c r="A6280">
        <v>6219</v>
      </c>
      <c r="B6280" s="1831">
        <f>'Acct Summary 7-8'!G83</f>
        <v>-0.69814218344409562</v>
      </c>
      <c r="D6280" s="2" t="str">
        <f t="shared" si="97"/>
        <v>Error?</v>
      </c>
      <c r="E6280" s="2" t="s">
        <v>189</v>
      </c>
    </row>
    <row r="6281" spans="1:5" x14ac:dyDescent="0.2">
      <c r="A6281">
        <v>6220</v>
      </c>
      <c r="B6281" s="1831">
        <f>'Acct Summary 7-8'!H83</f>
        <v>1</v>
      </c>
      <c r="D6281" s="2" t="str">
        <f t="shared" si="97"/>
        <v>Error?</v>
      </c>
      <c r="E6281" s="2" t="s">
        <v>189</v>
      </c>
    </row>
    <row r="6282" spans="1:5" x14ac:dyDescent="0.2">
      <c r="A6282">
        <v>6221</v>
      </c>
      <c r="B6282" s="1831">
        <f>'Acct Summary 7-8'!I83</f>
        <v>-0.59952892242975198</v>
      </c>
      <c r="D6282" s="2" t="str">
        <f t="shared" si="97"/>
        <v>Error?</v>
      </c>
      <c r="E6282" s="2" t="s">
        <v>189</v>
      </c>
    </row>
    <row r="6283" spans="1:5" x14ac:dyDescent="0.2">
      <c r="A6283">
        <v>6222</v>
      </c>
      <c r="B6283" s="1831">
        <f>'Acct Summary 7-8'!J83</f>
        <v>-0.19166964498451275</v>
      </c>
      <c r="D6283" s="2" t="str">
        <f t="shared" si="97"/>
        <v>Error?</v>
      </c>
      <c r="E6283" s="2" t="s">
        <v>189</v>
      </c>
    </row>
    <row r="6284" spans="1:5" x14ac:dyDescent="0.2">
      <c r="A6284">
        <v>6223</v>
      </c>
      <c r="B6284" s="1831">
        <f>'Acct Summary 7-8'!K83</f>
        <v>2.725229046487954E-2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151184</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151184</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245</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245</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151429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1971</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17209</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93899</v>
      </c>
      <c r="D6983" s="2" t="str">
        <f t="shared" si="108"/>
        <v>Error?</v>
      </c>
    </row>
    <row r="6984" spans="1:4" x14ac:dyDescent="0.2">
      <c r="A6984">
        <v>6923</v>
      </c>
      <c r="B6984" s="1831">
        <f>'Expenditures 15-22'!K86</f>
        <v>93899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93899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164300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151429</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932</v>
      </c>
      <c r="D7067" s="2" t="str">
        <f t="shared" si="109"/>
        <v>Error?</v>
      </c>
    </row>
    <row r="7068" spans="1:4" x14ac:dyDescent="0.2">
      <c r="A7068">
        <v>7007</v>
      </c>
      <c r="B7068" s="1831">
        <f>'Expenditures 15-22'!K205</f>
        <v>932</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174</v>
      </c>
      <c r="D7079" s="2" t="str">
        <f t="shared" si="109"/>
        <v>Error?</v>
      </c>
    </row>
    <row r="7080" spans="1:4" x14ac:dyDescent="0.2">
      <c r="A7080">
        <v>7019</v>
      </c>
      <c r="B7080" s="1831">
        <f>'Expenditures 15-22'!K226</f>
        <v>174</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3956</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3956</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34788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34788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10905</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10905</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101064</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2364</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103428</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11223</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11223</v>
      </c>
      <c r="D7198" s="2" t="str">
        <f t="shared" si="111"/>
        <v>Error?</v>
      </c>
    </row>
    <row r="7199" spans="1:4" x14ac:dyDescent="0.2">
      <c r="A7199">
        <v>7138</v>
      </c>
      <c r="B7199" s="1831">
        <f>'Expenditures 15-22'!C330</f>
        <v>112287</v>
      </c>
      <c r="D7199" s="2" t="str">
        <f t="shared" si="111"/>
        <v>Error?</v>
      </c>
    </row>
    <row r="7200" spans="1:4" x14ac:dyDescent="0.2">
      <c r="A7200">
        <v>7139</v>
      </c>
      <c r="B7200" s="1831">
        <f>'Expenditures 15-22'!D330</f>
        <v>3956</v>
      </c>
      <c r="D7200" s="2" t="str">
        <f t="shared" si="111"/>
        <v>Error?</v>
      </c>
    </row>
    <row r="7201" spans="1:4" x14ac:dyDescent="0.2">
      <c r="A7201">
        <v>7140</v>
      </c>
      <c r="B7201" s="1831">
        <f>'Expenditures 15-22'!E330</f>
        <v>48057</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164300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112287</v>
      </c>
      <c r="D7216" s="2" t="str">
        <f t="shared" si="111"/>
        <v>Error?</v>
      </c>
    </row>
    <row r="7217" spans="1:4" x14ac:dyDescent="0.2">
      <c r="A7217">
        <v>7156</v>
      </c>
      <c r="B7217" s="1831">
        <f>'Expenditures 15-22'!D342</f>
        <v>3956</v>
      </c>
      <c r="D7217" s="2" t="str">
        <f t="shared" si="111"/>
        <v>Error?</v>
      </c>
    </row>
    <row r="7218" spans="1:4" x14ac:dyDescent="0.2">
      <c r="A7218">
        <v>7157</v>
      </c>
      <c r="B7218" s="1831">
        <f>'Expenditures 15-22'!E342</f>
        <v>48057</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164300</v>
      </c>
      <c r="D7224" s="2" t="str">
        <f t="shared" si="111"/>
        <v>Error?</v>
      </c>
    </row>
    <row r="7225" spans="1:4" x14ac:dyDescent="0.2">
      <c r="A7225">
        <v>7164</v>
      </c>
      <c r="B7225" s="1831">
        <f>'Expenditures 15-22'!K343</f>
        <v>-12871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12692</v>
      </c>
      <c r="D7263" s="2" t="str">
        <f t="shared" si="112"/>
        <v>Error?</v>
      </c>
    </row>
    <row r="7264" spans="1:4" x14ac:dyDescent="0.2">
      <c r="A7264">
        <f t="shared" si="113"/>
        <v>7203</v>
      </c>
      <c r="B7264" s="1831">
        <f>'Expenditures 15-22'!D17</f>
        <v>1495</v>
      </c>
      <c r="D7264" s="2" t="str">
        <f t="shared" si="112"/>
        <v>Error?</v>
      </c>
    </row>
    <row r="7265" spans="1:5" x14ac:dyDescent="0.2">
      <c r="A7265">
        <f t="shared" si="113"/>
        <v>7204</v>
      </c>
      <c r="B7265" s="1831">
        <f>'Expenditures 15-22'!E17</f>
        <v>3022</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140465</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50000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-51011</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525</v>
      </c>
      <c r="D7712" s="2" t="str">
        <f t="shared" si="126"/>
        <v>Error?</v>
      </c>
      <c r="E7712" s="2" t="s">
        <v>821</v>
      </c>
    </row>
    <row r="7713" spans="1:6" x14ac:dyDescent="0.2">
      <c r="A7713">
        <v>7652</v>
      </c>
      <c r="B7713" s="1831">
        <f>'Rest Tax Levies-Tort Im 25'!J8</f>
        <v>13185</v>
      </c>
      <c r="D7713" s="2" t="str">
        <f t="shared" si="126"/>
        <v>Error?</v>
      </c>
      <c r="E7713" s="2" t="s">
        <v>821</v>
      </c>
    </row>
    <row r="7714" spans="1:6" x14ac:dyDescent="0.2">
      <c r="A7714">
        <v>7653</v>
      </c>
      <c r="B7714" s="1831">
        <f>'Rest Tax Levies-Tort Im 25'!K9</f>
        <v>2079</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13185</v>
      </c>
      <c r="D7718" s="2" t="str">
        <f t="shared" si="126"/>
        <v>Error?</v>
      </c>
      <c r="E7718" s="2" t="s">
        <v>821</v>
      </c>
    </row>
    <row r="7719" spans="1:6" x14ac:dyDescent="0.2">
      <c r="A7719">
        <v>7658</v>
      </c>
      <c r="B7719" s="1831">
        <f>'Rest Tax Levies-Tort Im 25'!K12</f>
        <v>2604</v>
      </c>
      <c r="D7719" s="2" t="str">
        <f t="shared" si="126"/>
        <v>Error?</v>
      </c>
      <c r="E7719" s="2" t="s">
        <v>821</v>
      </c>
    </row>
    <row r="7720" spans="1:6" x14ac:dyDescent="0.2">
      <c r="A7720">
        <v>7659</v>
      </c>
      <c r="B7720" s="1831">
        <f>'Rest Tax Levies-Tort Im 25'!H14</f>
        <v>17204</v>
      </c>
      <c r="D7720" s="2" t="str">
        <f t="shared" si="126"/>
        <v>Error?</v>
      </c>
      <c r="E7720" s="2" t="s">
        <v>821</v>
      </c>
    </row>
    <row r="7721" spans="1:6" x14ac:dyDescent="0.2">
      <c r="A7721">
        <v>7660</v>
      </c>
      <c r="B7721" s="1831">
        <f>'Rest Tax Levies-Tort Im 25'!K14</f>
        <v>17209</v>
      </c>
      <c r="D7721" s="2" t="str">
        <f t="shared" si="126"/>
        <v>Error?</v>
      </c>
      <c r="E7721" s="2" t="s">
        <v>821</v>
      </c>
    </row>
    <row r="7722" spans="1:6" x14ac:dyDescent="0.2">
      <c r="A7722">
        <v>7661</v>
      </c>
      <c r="B7722" s="1831">
        <f>'Rest Tax Levies-Tort Im 25'!J15</f>
        <v>13185</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13185</v>
      </c>
      <c r="D7730" s="2" t="str">
        <f t="shared" si="126"/>
        <v>Error?</v>
      </c>
      <c r="E7730" s="2" t="s">
        <v>821</v>
      </c>
    </row>
    <row r="7731" spans="1:6" x14ac:dyDescent="0.2">
      <c r="A7731">
        <v>7670</v>
      </c>
      <c r="B7731" s="1831">
        <f>'Revenues 9-14'!H103</f>
        <v>13185</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-65616</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-65616</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1629133</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0</v>
      </c>
      <c r="D7759" s="2" t="str">
        <f t="shared" si="127"/>
        <v>Error?</v>
      </c>
      <c r="E7759" s="4" t="s">
        <v>1323</v>
      </c>
    </row>
    <row r="7760" spans="1:6" x14ac:dyDescent="0.2">
      <c r="A7760">
        <v>7699</v>
      </c>
      <c r="B7760" s="1831">
        <f>'Aud Quest 2'!J90</f>
        <v>0</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1999</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1828</v>
      </c>
    </row>
    <row r="7775" spans="1:5" x14ac:dyDescent="0.2">
      <c r="A7775">
        <v>7714</v>
      </c>
      <c r="B7775" s="1831">
        <f>'Expenditures 15-22'!H133</f>
        <v>0</v>
      </c>
      <c r="D7775" s="2" t="str">
        <f t="shared" si="127"/>
        <v>Error?</v>
      </c>
      <c r="E7775" s="4" t="s">
        <v>1828</v>
      </c>
    </row>
    <row r="7776" spans="1:5" x14ac:dyDescent="0.2">
      <c r="A7776">
        <v>7715</v>
      </c>
      <c r="B7776" s="1831">
        <f>'Expenditures 15-22'!K133</f>
        <v>0</v>
      </c>
      <c r="D7776" s="2" t="str">
        <f t="shared" si="127"/>
        <v>Error?</v>
      </c>
      <c r="E7776" s="4" t="s">
        <v>1828</v>
      </c>
    </row>
    <row r="7777" spans="1:5" x14ac:dyDescent="0.2">
      <c r="A7777">
        <v>7716</v>
      </c>
      <c r="B7777" s="1831">
        <f>'Expenditures 15-22'!H157</f>
        <v>0</v>
      </c>
      <c r="D7777" s="2" t="str">
        <f t="shared" si="127"/>
        <v>Error?</v>
      </c>
      <c r="E7777" s="4" t="s">
        <v>1828</v>
      </c>
    </row>
    <row r="7778" spans="1:5" x14ac:dyDescent="0.2">
      <c r="A7778">
        <v>7717</v>
      </c>
      <c r="B7778" s="1831">
        <f>'Expenditures 15-22'!K157</f>
        <v>0</v>
      </c>
      <c r="D7778" s="2" t="str">
        <f t="shared" si="127"/>
        <v>Error?</v>
      </c>
      <c r="E7778" s="4" t="s">
        <v>1828</v>
      </c>
    </row>
    <row r="7779" spans="1:5" x14ac:dyDescent="0.2">
      <c r="A7779">
        <v>7718</v>
      </c>
      <c r="B7779" s="1831">
        <f>'Expenditures 15-22'!H158</f>
        <v>0</v>
      </c>
      <c r="D7779" s="2" t="str">
        <f t="shared" si="127"/>
        <v>Error?</v>
      </c>
      <c r="E7779" s="4" t="s">
        <v>1828</v>
      </c>
    </row>
    <row r="7780" spans="1:5" x14ac:dyDescent="0.2">
      <c r="A7780">
        <v>7719</v>
      </c>
      <c r="B7780" s="1831">
        <f>'Expenditures 15-22'!K158</f>
        <v>0</v>
      </c>
      <c r="D7780" s="2" t="str">
        <f t="shared" si="127"/>
        <v>Error?</v>
      </c>
      <c r="E7780" s="4" t="s">
        <v>1828</v>
      </c>
    </row>
    <row r="7781" spans="1:5" x14ac:dyDescent="0.2">
      <c r="A7781">
        <v>7720</v>
      </c>
      <c r="B7781" s="1831">
        <f>'Expenditures 15-22'!H159</f>
        <v>0</v>
      </c>
      <c r="D7781" s="2" t="str">
        <f t="shared" si="127"/>
        <v>Error?</v>
      </c>
      <c r="E7781" s="4" t="s">
        <v>1828</v>
      </c>
    </row>
    <row r="7782" spans="1:5" x14ac:dyDescent="0.2">
      <c r="A7782">
        <v>7721</v>
      </c>
      <c r="B7782" s="1831">
        <f>'Expenditures 15-22'!K159</f>
        <v>0</v>
      </c>
      <c r="D7782" s="2" t="str">
        <f t="shared" si="127"/>
        <v>Error?</v>
      </c>
      <c r="E7782" s="4" t="s">
        <v>1828</v>
      </c>
    </row>
    <row r="7783" spans="1:5" x14ac:dyDescent="0.2">
      <c r="A7783">
        <v>7722</v>
      </c>
      <c r="B7783" s="1831">
        <f>'Expenditures 15-22'!D282</f>
        <v>0</v>
      </c>
      <c r="D7783" s="2" t="str">
        <f t="shared" si="127"/>
        <v>Error?</v>
      </c>
      <c r="E7783" s="4" t="s">
        <v>1828</v>
      </c>
    </row>
    <row r="7784" spans="1:5" x14ac:dyDescent="0.2">
      <c r="A7784">
        <v>7723</v>
      </c>
      <c r="B7784" s="1831">
        <f>'Expenditures 15-22'!K282</f>
        <v>0</v>
      </c>
      <c r="D7784" s="2" t="str">
        <f t="shared" si="127"/>
        <v>Error?</v>
      </c>
      <c r="E7784" s="4" t="s">
        <v>1828</v>
      </c>
    </row>
    <row r="7785" spans="1:5" x14ac:dyDescent="0.2">
      <c r="A7785">
        <v>7724</v>
      </c>
      <c r="B7785" s="1831">
        <f>'Expenditures 15-22'!H332</f>
        <v>0</v>
      </c>
      <c r="D7785" s="2" t="str">
        <f t="shared" si="127"/>
        <v>Error?</v>
      </c>
      <c r="E7785" s="4" t="s">
        <v>1828</v>
      </c>
    </row>
    <row r="7786" spans="1:5" x14ac:dyDescent="0.2">
      <c r="A7786">
        <v>7725</v>
      </c>
      <c r="B7786" s="1831">
        <f>'Expenditures 15-22'!K332</f>
        <v>0</v>
      </c>
      <c r="D7786" s="2" t="str">
        <f t="shared" si="127"/>
        <v>Error?</v>
      </c>
      <c r="E7786" s="4" t="s">
        <v>1828</v>
      </c>
    </row>
    <row r="7787" spans="1:5" x14ac:dyDescent="0.2">
      <c r="A7787">
        <v>7726</v>
      </c>
      <c r="B7787" s="1831">
        <f>'Expenditures 15-22'!H333</f>
        <v>0</v>
      </c>
      <c r="D7787" s="2" t="str">
        <f t="shared" si="127"/>
        <v>Error?</v>
      </c>
      <c r="E7787" s="4" t="s">
        <v>1828</v>
      </c>
    </row>
    <row r="7788" spans="1:5" x14ac:dyDescent="0.2">
      <c r="A7788">
        <v>7727</v>
      </c>
      <c r="B7788" s="1831">
        <f>'Expenditures 15-22'!K333</f>
        <v>0</v>
      </c>
      <c r="D7788" s="2" t="str">
        <f t="shared" si="127"/>
        <v>Error?</v>
      </c>
      <c r="E7788" s="4" t="s">
        <v>1828</v>
      </c>
    </row>
    <row r="7789" spans="1:5" x14ac:dyDescent="0.2">
      <c r="A7789">
        <v>7728</v>
      </c>
      <c r="B7789" s="1831">
        <f>'Expenditures 15-22'!H334</f>
        <v>0</v>
      </c>
      <c r="D7789" s="2" t="str">
        <f t="shared" si="127"/>
        <v>Error?</v>
      </c>
      <c r="E7789" s="4" t="s">
        <v>1828</v>
      </c>
    </row>
    <row r="7790" spans="1:5" x14ac:dyDescent="0.2">
      <c r="A7790">
        <v>7729</v>
      </c>
      <c r="B7790" s="1831">
        <f>'Expenditures 15-22'!K334</f>
        <v>0</v>
      </c>
      <c r="D7790" s="2" t="str">
        <f t="shared" si="127"/>
        <v>Error?</v>
      </c>
      <c r="E7790" s="4" t="s">
        <v>1828</v>
      </c>
    </row>
    <row r="7791" spans="1:5" x14ac:dyDescent="0.2">
      <c r="A7791">
        <v>7730</v>
      </c>
      <c r="B7791" s="1831">
        <f>'Expenditures 15-22'!H354</f>
        <v>0</v>
      </c>
      <c r="D7791" s="2" t="str">
        <f t="shared" si="127"/>
        <v>Error?</v>
      </c>
      <c r="E7791" s="4" t="s">
        <v>1828</v>
      </c>
    </row>
    <row r="7792" spans="1:5" x14ac:dyDescent="0.2">
      <c r="A7792">
        <v>7731</v>
      </c>
      <c r="B7792" s="1831">
        <f>'Expenditures 15-22'!K354</f>
        <v>0</v>
      </c>
      <c r="D7792" s="2" t="str">
        <f t="shared" si="127"/>
        <v>Error?</v>
      </c>
      <c r="E7792" s="4" t="s">
        <v>1828</v>
      </c>
    </row>
    <row r="7793" spans="1:5" x14ac:dyDescent="0.2">
      <c r="A7793">
        <v>7732</v>
      </c>
      <c r="B7793" s="1831">
        <f>'Expenditures 15-22'!H355</f>
        <v>0</v>
      </c>
      <c r="D7793" s="2" t="str">
        <f t="shared" si="127"/>
        <v>Error?</v>
      </c>
      <c r="E7793" s="4" t="s">
        <v>1828</v>
      </c>
    </row>
    <row r="7794" spans="1:5" x14ac:dyDescent="0.2">
      <c r="A7794">
        <v>7733</v>
      </c>
      <c r="B7794" s="1831">
        <f>'Expenditures 15-22'!K355</f>
        <v>0</v>
      </c>
      <c r="D7794" s="2" t="str">
        <f t="shared" si="127"/>
        <v>Error?</v>
      </c>
      <c r="E7794" s="4" t="s">
        <v>1828</v>
      </c>
    </row>
    <row r="7795" spans="1:5" x14ac:dyDescent="0.2">
      <c r="A7795">
        <v>7734</v>
      </c>
      <c r="B7795" s="1831">
        <f>'Expenditures 15-22'!E138</f>
        <v>0</v>
      </c>
      <c r="D7795" s="2" t="str">
        <f t="shared" si="127"/>
        <v>Error?</v>
      </c>
      <c r="E7795" s="4" t="s">
        <v>1828</v>
      </c>
    </row>
    <row r="7796" spans="1:5" x14ac:dyDescent="0.2">
      <c r="A7796">
        <v>7735</v>
      </c>
      <c r="B7796" s="1831">
        <f>'Acct Summary 7-8'!J15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25'!K23</f>
        <v>17209</v>
      </c>
      <c r="D7800" s="2" t="str">
        <f t="shared" si="127"/>
        <v>Error?</v>
      </c>
      <c r="E7800" s="4" t="s">
        <v>1968</v>
      </c>
    </row>
    <row r="7801" spans="1:5" x14ac:dyDescent="0.2">
      <c r="A7801">
        <v>7740</v>
      </c>
      <c r="B7801" s="1831">
        <f>'Revenues 9-14'!C120</f>
        <v>0</v>
      </c>
      <c r="D7801" s="2" t="str">
        <f t="shared" si="127"/>
        <v>Error?</v>
      </c>
      <c r="E7801" s="4" t="s">
        <v>1902</v>
      </c>
    </row>
    <row r="7802" spans="1:5" x14ac:dyDescent="0.2">
      <c r="A7802">
        <v>7741</v>
      </c>
      <c r="B7802" s="1831">
        <f>'Revenues 9-14'!D120</f>
        <v>0</v>
      </c>
      <c r="D7802" s="2" t="str">
        <f t="shared" si="127"/>
        <v>Error?</v>
      </c>
      <c r="E7802" s="4" t="s">
        <v>1902</v>
      </c>
    </row>
    <row r="7803" spans="1:5" x14ac:dyDescent="0.2">
      <c r="A7803">
        <v>7742</v>
      </c>
      <c r="B7803" s="1831">
        <f>'Revenues 9-14'!E120</f>
        <v>0</v>
      </c>
      <c r="D7803" s="2" t="str">
        <f t="shared" si="127"/>
        <v>Error?</v>
      </c>
      <c r="E7803" s="4" t="s">
        <v>1902</v>
      </c>
    </row>
    <row r="7804" spans="1:5" x14ac:dyDescent="0.2">
      <c r="A7804">
        <v>7743</v>
      </c>
      <c r="B7804" s="1831">
        <f>'Revenues 9-14'!F120</f>
        <v>0</v>
      </c>
      <c r="D7804" s="2" t="str">
        <f t="shared" si="127"/>
        <v>Error?</v>
      </c>
      <c r="E7804" s="4" t="s">
        <v>1902</v>
      </c>
    </row>
    <row r="7805" spans="1:5" x14ac:dyDescent="0.2">
      <c r="A7805">
        <v>7744</v>
      </c>
      <c r="B7805" s="1831">
        <f>'Revenues 9-14'!G120</f>
        <v>0</v>
      </c>
      <c r="D7805" s="2" t="str">
        <f t="shared" si="127"/>
        <v>Error?</v>
      </c>
      <c r="E7805" s="4" t="s">
        <v>1902</v>
      </c>
    </row>
    <row r="7806" spans="1:5" x14ac:dyDescent="0.2">
      <c r="A7806">
        <v>7745</v>
      </c>
      <c r="B7806" s="1831">
        <f>'Revenues 9-14'!H120</f>
        <v>0</v>
      </c>
      <c r="D7806" s="2" t="str">
        <f t="shared" si="127"/>
        <v>Error?</v>
      </c>
      <c r="E7806" s="4" t="s">
        <v>1902</v>
      </c>
    </row>
    <row r="7807" spans="1:5" x14ac:dyDescent="0.2">
      <c r="A7807">
        <v>7746</v>
      </c>
      <c r="B7807" s="1831">
        <f>'Revenues 9-14'!J120</f>
        <v>0</v>
      </c>
      <c r="D7807" s="2" t="str">
        <f t="shared" ref="D7807:D7821" si="128">IF(ISBLANK(B7807),"OK",IF(A7807-B7807=0,"OK","Error?"))</f>
        <v>Error?</v>
      </c>
      <c r="E7807" s="4" t="s">
        <v>1902</v>
      </c>
    </row>
    <row r="7808" spans="1:5" x14ac:dyDescent="0.2">
      <c r="A7808">
        <v>7747</v>
      </c>
      <c r="B7808" s="1831">
        <f>'Revenues 9-14'!K120</f>
        <v>0</v>
      </c>
      <c r="D7808" s="2" t="str">
        <f t="shared" si="128"/>
        <v>Error?</v>
      </c>
      <c r="E7808" s="4" t="s">
        <v>1902</v>
      </c>
    </row>
    <row r="7809" spans="1:5" x14ac:dyDescent="0.2">
      <c r="A7809">
        <v>7748</v>
      </c>
      <c r="B7809" s="1831">
        <f>'Revenues 9-14'!C261</f>
        <v>0</v>
      </c>
      <c r="D7809" s="2" t="str">
        <f t="shared" si="128"/>
        <v>Error?</v>
      </c>
      <c r="E7809" s="4" t="s">
        <v>1903</v>
      </c>
    </row>
    <row r="7810" spans="1:5" x14ac:dyDescent="0.2">
      <c r="A7810">
        <v>7749</v>
      </c>
      <c r="B7810" s="1831">
        <f>'Revenues 9-14'!D261</f>
        <v>0</v>
      </c>
      <c r="D7810" s="2" t="str">
        <f t="shared" si="128"/>
        <v>Error?</v>
      </c>
      <c r="E7810" s="4" t="s">
        <v>1903</v>
      </c>
    </row>
    <row r="7811" spans="1:5" x14ac:dyDescent="0.2">
      <c r="A7811">
        <v>7750</v>
      </c>
      <c r="B7811" s="1831">
        <f>'Revenues 9-14'!F261</f>
        <v>0</v>
      </c>
      <c r="D7811" s="2" t="str">
        <f t="shared" si="128"/>
        <v>Error?</v>
      </c>
      <c r="E7811" s="4" t="s">
        <v>1903</v>
      </c>
    </row>
    <row r="7812" spans="1:5" x14ac:dyDescent="0.2">
      <c r="A7812">
        <v>7751</v>
      </c>
      <c r="B7812" s="1831">
        <f>'Revenues 9-14'!G261</f>
        <v>0</v>
      </c>
      <c r="D7812" s="2" t="str">
        <f t="shared" si="128"/>
        <v>Error?</v>
      </c>
      <c r="E7812" s="4" t="s">
        <v>1903</v>
      </c>
    </row>
    <row r="7813" spans="1:5" x14ac:dyDescent="0.2">
      <c r="A7813">
        <v>7752</v>
      </c>
      <c r="B7813" s="1831">
        <f>'Revenues 9-14'!C262</f>
        <v>0</v>
      </c>
      <c r="D7813" s="2" t="str">
        <f t="shared" si="128"/>
        <v>Error?</v>
      </c>
      <c r="E7813" s="4" t="s">
        <v>1904</v>
      </c>
    </row>
    <row r="7814" spans="1:5" x14ac:dyDescent="0.2">
      <c r="A7814">
        <v>7753</v>
      </c>
      <c r="B7814" s="1831">
        <f>'Revenues 9-14'!D262</f>
        <v>0</v>
      </c>
      <c r="D7814" s="2" t="str">
        <f t="shared" si="128"/>
        <v>Error?</v>
      </c>
      <c r="E7814" s="4" t="s">
        <v>1904</v>
      </c>
    </row>
    <row r="7815" spans="1:5" x14ac:dyDescent="0.2">
      <c r="A7815">
        <v>7754</v>
      </c>
      <c r="B7815" s="1831">
        <f>'Revenues 9-14'!F262</f>
        <v>0</v>
      </c>
      <c r="D7815" s="2" t="str">
        <f t="shared" si="128"/>
        <v>Error?</v>
      </c>
      <c r="E7815" s="4" t="s">
        <v>1904</v>
      </c>
    </row>
    <row r="7816" spans="1:5" x14ac:dyDescent="0.2">
      <c r="A7816">
        <v>7755</v>
      </c>
      <c r="B7816" s="1831">
        <f>'Revenues 9-14'!G262</f>
        <v>0</v>
      </c>
      <c r="D7816" s="2" t="str">
        <f t="shared" si="128"/>
        <v>Error?</v>
      </c>
      <c r="E7816" s="4" t="s">
        <v>1904</v>
      </c>
    </row>
    <row r="7817" spans="1:5" x14ac:dyDescent="0.2">
      <c r="A7817">
        <v>7756</v>
      </c>
      <c r="B7817" s="1831">
        <f>'Short-Term Long-Term Debt 24'!C49</f>
        <v>4470165</v>
      </c>
      <c r="D7817" s="2" t="str">
        <f t="shared" si="128"/>
        <v>Error?</v>
      </c>
      <c r="E7817" s="4" t="s">
        <v>1968</v>
      </c>
    </row>
    <row r="7818" spans="1:5" x14ac:dyDescent="0.2">
      <c r="A7818">
        <v>7757</v>
      </c>
      <c r="B7818" s="1831">
        <f>'PCTC-OEPP 27-28'!F172</f>
        <v>68865</v>
      </c>
      <c r="D7818" s="2" t="str">
        <f t="shared" si="128"/>
        <v>Error?</v>
      </c>
      <c r="E7818" s="4" t="s">
        <v>1982</v>
      </c>
    </row>
    <row r="7819" spans="1:5" x14ac:dyDescent="0.2">
      <c r="A7819">
        <v>7758</v>
      </c>
      <c r="B7819" s="1831">
        <f>'PCTC-OEPP 27-28'!F173</f>
        <v>0</v>
      </c>
      <c r="D7819" s="2" t="str">
        <f t="shared" si="128"/>
        <v>Error?</v>
      </c>
      <c r="E7819" s="4" t="s">
        <v>1982</v>
      </c>
    </row>
    <row r="7820" spans="1:5" x14ac:dyDescent="0.2">
      <c r="A7820">
        <v>7759</v>
      </c>
      <c r="B7820" s="1831">
        <f>'ICR Computation 30'!E40</f>
        <v>-141251</v>
      </c>
      <c r="D7820" s="2" t="str">
        <f t="shared" si="128"/>
        <v>Error?</v>
      </c>
    </row>
    <row r="7821" spans="1:5" x14ac:dyDescent="0.2">
      <c r="A7821">
        <v>7760</v>
      </c>
      <c r="B7821" s="1831">
        <f>'ICR Computation 30'!G40</f>
        <v>-141251</v>
      </c>
      <c r="D7821" s="2" t="str">
        <f t="shared" si="128"/>
        <v>Error?</v>
      </c>
    </row>
    <row r="7822" spans="1:5" x14ac:dyDescent="0.2">
      <c r="A7822" s="1">
        <v>7761</v>
      </c>
      <c r="B7822" s="1831">
        <f>'PCTC-OEPP 27-28'!F14</f>
        <v>3296208</v>
      </c>
      <c r="D7822" s="4" t="s">
        <v>1999</v>
      </c>
      <c r="E7822" s="4" t="s">
        <v>2000</v>
      </c>
    </row>
    <row r="7823" spans="1:5" x14ac:dyDescent="0.2">
      <c r="A7823" s="1">
        <v>7762</v>
      </c>
      <c r="B7823" s="1831">
        <f>'PCTC-OEPP 27-28'!F30</f>
        <v>0</v>
      </c>
      <c r="D7823" s="4" t="s">
        <v>1999</v>
      </c>
      <c r="E7823" s="4" t="s">
        <v>2000</v>
      </c>
    </row>
    <row r="7824" spans="1:5" x14ac:dyDescent="0.2">
      <c r="A7824" s="1">
        <v>7763</v>
      </c>
      <c r="B7824" s="1831">
        <f>'PCTC-OEPP 27-28'!F31</f>
        <v>0</v>
      </c>
      <c r="D7824" s="4" t="s">
        <v>1999</v>
      </c>
      <c r="E7824" s="4" t="s">
        <v>2000</v>
      </c>
    </row>
    <row r="7825" spans="1:5" x14ac:dyDescent="0.2">
      <c r="A7825" s="1">
        <v>7764</v>
      </c>
      <c r="B7825" s="1831">
        <f>'PCTC-OEPP 27-28'!F32</f>
        <v>0</v>
      </c>
      <c r="D7825" s="2" t="str">
        <f t="shared" ref="D7825:D7887" si="129">IF(ISBLANK(B7825),"OK",IF(A7825-B7825=0,"OK","Error?"))</f>
        <v>Error?</v>
      </c>
      <c r="E7825" s="4" t="s">
        <v>2000</v>
      </c>
    </row>
    <row r="7826" spans="1:5" x14ac:dyDescent="0.2">
      <c r="A7826">
        <v>7765</v>
      </c>
      <c r="B7826" s="1831">
        <f>'PCTC-OEPP 27-28'!F34</f>
        <v>0</v>
      </c>
      <c r="D7826" s="2" t="str">
        <f t="shared" si="129"/>
        <v>Error?</v>
      </c>
      <c r="E7826" s="4" t="s">
        <v>2000</v>
      </c>
    </row>
    <row r="7827" spans="1:5" x14ac:dyDescent="0.2">
      <c r="A7827">
        <v>7766</v>
      </c>
      <c r="B7827" s="1831">
        <f>'PCTC-OEPP 27-28'!F35</f>
        <v>0</v>
      </c>
      <c r="D7827" s="2" t="str">
        <f t="shared" si="129"/>
        <v>Error?</v>
      </c>
      <c r="E7827" s="4" t="s">
        <v>2000</v>
      </c>
    </row>
    <row r="7828" spans="1:5" x14ac:dyDescent="0.2">
      <c r="A7828">
        <v>7767</v>
      </c>
      <c r="B7828" s="1831">
        <f>'PCTC-OEPP 27-28'!F36</f>
        <v>0</v>
      </c>
      <c r="D7828" s="2" t="str">
        <f t="shared" si="129"/>
        <v>Error?</v>
      </c>
      <c r="E7828" s="4" t="s">
        <v>2000</v>
      </c>
    </row>
    <row r="7829" spans="1:5" x14ac:dyDescent="0.2">
      <c r="A7829">
        <v>7768</v>
      </c>
      <c r="B7829" s="1831">
        <f>'PCTC-OEPP 27-28'!F37</f>
        <v>0</v>
      </c>
      <c r="D7829" s="2" t="str">
        <f t="shared" si="129"/>
        <v>Error?</v>
      </c>
      <c r="E7829" s="4" t="s">
        <v>2000</v>
      </c>
    </row>
    <row r="7830" spans="1:5" x14ac:dyDescent="0.2">
      <c r="A7830">
        <v>7769</v>
      </c>
      <c r="B7830" s="1831">
        <f>'PCTC-OEPP 27-28'!F38</f>
        <v>0</v>
      </c>
      <c r="D7830" s="2" t="str">
        <f t="shared" si="129"/>
        <v>Error?</v>
      </c>
      <c r="E7830" s="4" t="s">
        <v>2000</v>
      </c>
    </row>
    <row r="7831" spans="1:5" x14ac:dyDescent="0.2">
      <c r="A7831">
        <v>7770</v>
      </c>
      <c r="B7831" s="1831">
        <f>'PCTC-OEPP 27-28'!F52</f>
        <v>5006</v>
      </c>
      <c r="D7831" s="2" t="str">
        <f t="shared" si="129"/>
        <v>Error?</v>
      </c>
      <c r="E7831" s="4" t="s">
        <v>2000</v>
      </c>
    </row>
    <row r="7832" spans="1:5" x14ac:dyDescent="0.2">
      <c r="A7832">
        <v>7771</v>
      </c>
      <c r="B7832" s="1831">
        <f>'PCTC-OEPP 27-28'!F56</f>
        <v>0</v>
      </c>
      <c r="D7832" s="2" t="str">
        <f t="shared" si="129"/>
        <v>Error?</v>
      </c>
      <c r="E7832" s="4" t="s">
        <v>2000</v>
      </c>
    </row>
    <row r="7833" spans="1:5" x14ac:dyDescent="0.2">
      <c r="A7833">
        <v>7772</v>
      </c>
      <c r="B7833" s="1831">
        <f>'PCTC-OEPP 27-28'!F62</f>
        <v>0</v>
      </c>
      <c r="D7833" s="2" t="str">
        <f t="shared" si="129"/>
        <v>Error?</v>
      </c>
      <c r="E7833" s="4" t="s">
        <v>2000</v>
      </c>
    </row>
    <row r="7834" spans="1:5" x14ac:dyDescent="0.2">
      <c r="A7834">
        <v>7773</v>
      </c>
      <c r="B7834" s="1831">
        <f>'PCTC-OEPP 27-28'!F77</f>
        <v>138173</v>
      </c>
      <c r="D7834" s="2" t="str">
        <f t="shared" si="129"/>
        <v>Error?</v>
      </c>
      <c r="E7834" s="4" t="s">
        <v>2000</v>
      </c>
    </row>
    <row r="7835" spans="1:5" x14ac:dyDescent="0.2">
      <c r="A7835">
        <v>7774</v>
      </c>
      <c r="B7835" s="1831">
        <f>'PCTC-OEPP 27-28'!F78</f>
        <v>3158035</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27-28'!F80</f>
        <v>14480.420927140171</v>
      </c>
      <c r="D7837" s="2" t="str">
        <f t="shared" si="129"/>
        <v>Error?</v>
      </c>
      <c r="E7837" s="4" t="s">
        <v>2000</v>
      </c>
    </row>
    <row r="7838" spans="1:5" x14ac:dyDescent="0.2">
      <c r="A7838">
        <v>7777</v>
      </c>
      <c r="B7838" s="1831">
        <f>'PCTC-OEPP 27-28'!F96</f>
        <v>13612</v>
      </c>
      <c r="D7838" s="2" t="str">
        <f t="shared" si="129"/>
        <v>Error?</v>
      </c>
      <c r="E7838" s="4" t="s">
        <v>2000</v>
      </c>
    </row>
    <row r="7839" spans="1:5" x14ac:dyDescent="0.2">
      <c r="A7839">
        <v>7778</v>
      </c>
      <c r="B7839" s="1831">
        <f>'PCTC-OEPP 27-28'!F102</f>
        <v>0</v>
      </c>
      <c r="D7839" s="2" t="str">
        <f t="shared" si="129"/>
        <v>Error?</v>
      </c>
      <c r="E7839" s="4" t="s">
        <v>2000</v>
      </c>
    </row>
    <row r="7840" spans="1:5" x14ac:dyDescent="0.2">
      <c r="A7840">
        <v>7779</v>
      </c>
      <c r="B7840" s="1831">
        <f>'PCTC-OEPP 27-28'!F103</f>
        <v>0</v>
      </c>
      <c r="D7840" s="2" t="str">
        <f t="shared" si="129"/>
        <v>Error?</v>
      </c>
      <c r="E7840" s="4" t="s">
        <v>2000</v>
      </c>
    </row>
    <row r="7841" spans="1:5" x14ac:dyDescent="0.2">
      <c r="A7841">
        <v>7780</v>
      </c>
      <c r="B7841" s="1831">
        <f>'PCTC-OEPP 27-28'!F104</f>
        <v>0</v>
      </c>
      <c r="D7841" s="2" t="str">
        <f t="shared" si="129"/>
        <v>Error?</v>
      </c>
      <c r="E7841" s="4" t="s">
        <v>2000</v>
      </c>
    </row>
    <row r="7842" spans="1:5" x14ac:dyDescent="0.2">
      <c r="A7842">
        <v>7781</v>
      </c>
      <c r="B7842" s="1831">
        <f>'PCTC-OEPP 27-28'!F106</f>
        <v>49587</v>
      </c>
      <c r="D7842" s="2" t="str">
        <f t="shared" si="129"/>
        <v>Error?</v>
      </c>
      <c r="E7842" s="4" t="s">
        <v>2000</v>
      </c>
    </row>
    <row r="7843" spans="1:5" x14ac:dyDescent="0.2">
      <c r="A7843">
        <v>7782</v>
      </c>
      <c r="B7843" s="1831">
        <f>'PCTC-OEPP 27-28'!F107</f>
        <v>1971</v>
      </c>
      <c r="D7843" s="2" t="str">
        <f t="shared" si="129"/>
        <v>Error?</v>
      </c>
      <c r="E7843" s="4" t="s">
        <v>2000</v>
      </c>
    </row>
    <row r="7844" spans="1:5" x14ac:dyDescent="0.2">
      <c r="A7844">
        <v>7783</v>
      </c>
      <c r="B7844" s="1831">
        <f>'PCTC-OEPP 27-28'!F108</f>
        <v>0</v>
      </c>
      <c r="D7844" s="2" t="str">
        <f t="shared" si="129"/>
        <v>Error?</v>
      </c>
      <c r="E7844" s="4" t="s">
        <v>2000</v>
      </c>
    </row>
    <row r="7845" spans="1:5" x14ac:dyDescent="0.2">
      <c r="A7845">
        <v>7784</v>
      </c>
      <c r="B7845" s="1831">
        <f>'PCTC-OEPP 27-28'!F110</f>
        <v>0</v>
      </c>
      <c r="D7845" s="2" t="str">
        <f t="shared" si="129"/>
        <v>Error?</v>
      </c>
      <c r="E7845" s="4" t="s">
        <v>2000</v>
      </c>
    </row>
    <row r="7846" spans="1:5" x14ac:dyDescent="0.2">
      <c r="A7846">
        <v>7785</v>
      </c>
      <c r="B7846" s="1831">
        <f>'PCTC-OEPP 27-28'!F111</f>
        <v>2079</v>
      </c>
      <c r="D7846" s="2" t="str">
        <f t="shared" si="129"/>
        <v>Error?</v>
      </c>
      <c r="E7846" s="4" t="s">
        <v>2000</v>
      </c>
    </row>
    <row r="7847" spans="1:5" x14ac:dyDescent="0.2">
      <c r="A7847">
        <v>7786</v>
      </c>
      <c r="B7847" s="1831">
        <f>'PCTC-OEPP 27-28'!F112</f>
        <v>155527</v>
      </c>
      <c r="D7847" s="2" t="str">
        <f t="shared" si="129"/>
        <v>Error?</v>
      </c>
      <c r="E7847" s="4" t="s">
        <v>2000</v>
      </c>
    </row>
    <row r="7848" spans="1:5" x14ac:dyDescent="0.2">
      <c r="A7848">
        <v>7787</v>
      </c>
      <c r="B7848" s="1831">
        <f>'PCTC-OEPP 27-28'!F114</f>
        <v>0</v>
      </c>
      <c r="D7848" s="2" t="str">
        <f t="shared" si="129"/>
        <v>Error?</v>
      </c>
      <c r="E7848" s="4" t="s">
        <v>2000</v>
      </c>
    </row>
    <row r="7849" spans="1:5" x14ac:dyDescent="0.2">
      <c r="A7849">
        <v>7788</v>
      </c>
      <c r="B7849" s="1831">
        <f>'PCTC-OEPP 27-28'!F115</f>
        <v>0</v>
      </c>
      <c r="D7849" s="2" t="str">
        <f t="shared" si="129"/>
        <v>Error?</v>
      </c>
      <c r="E7849" s="4" t="s">
        <v>2000</v>
      </c>
    </row>
    <row r="7850" spans="1:5" x14ac:dyDescent="0.2">
      <c r="A7850">
        <v>7789</v>
      </c>
      <c r="B7850" s="1831">
        <f>'PCTC-OEPP 27-28'!F116</f>
        <v>0</v>
      </c>
      <c r="D7850" s="2" t="str">
        <f t="shared" si="129"/>
        <v>Error?</v>
      </c>
      <c r="E7850" s="4" t="s">
        <v>2000</v>
      </c>
    </row>
    <row r="7851" spans="1:5" x14ac:dyDescent="0.2">
      <c r="A7851">
        <v>7790</v>
      </c>
      <c r="B7851" s="1831">
        <f>'PCTC-OEPP 27-28'!F117</f>
        <v>0</v>
      </c>
      <c r="D7851" s="2" t="str">
        <f t="shared" si="129"/>
        <v>Error?</v>
      </c>
      <c r="E7851" s="4" t="s">
        <v>2000</v>
      </c>
    </row>
    <row r="7852" spans="1:5" x14ac:dyDescent="0.2">
      <c r="A7852">
        <v>7791</v>
      </c>
      <c r="B7852" s="1831">
        <f>'PCTC-OEPP 27-28'!F118</f>
        <v>0</v>
      </c>
      <c r="D7852" s="2" t="str">
        <f t="shared" si="129"/>
        <v>Error?</v>
      </c>
      <c r="E7852" s="4" t="s">
        <v>2000</v>
      </c>
    </row>
    <row r="7853" spans="1:5" x14ac:dyDescent="0.2">
      <c r="A7853">
        <v>7792</v>
      </c>
      <c r="B7853" s="1831">
        <f>'PCTC-OEPP 27-28'!F119</f>
        <v>0</v>
      </c>
      <c r="D7853" s="2" t="str">
        <f t="shared" si="129"/>
        <v>Error?</v>
      </c>
      <c r="E7853" s="4" t="s">
        <v>2000</v>
      </c>
    </row>
    <row r="7854" spans="1:5" x14ac:dyDescent="0.2">
      <c r="A7854">
        <v>7793</v>
      </c>
      <c r="B7854" s="1831">
        <f>'PCTC-OEPP 27-28'!F120</f>
        <v>0</v>
      </c>
      <c r="D7854" s="2" t="str">
        <f t="shared" si="129"/>
        <v>Error?</v>
      </c>
      <c r="E7854" s="4" t="s">
        <v>2000</v>
      </c>
    </row>
    <row r="7855" spans="1:5" x14ac:dyDescent="0.2">
      <c r="A7855">
        <v>7794</v>
      </c>
      <c r="B7855" s="1831">
        <f>'PCTC-OEPP 27-28'!F122</f>
        <v>0</v>
      </c>
      <c r="D7855" s="2" t="str">
        <f t="shared" si="129"/>
        <v>Error?</v>
      </c>
      <c r="E7855" s="4" t="s">
        <v>2000</v>
      </c>
    </row>
    <row r="7856" spans="1:5" x14ac:dyDescent="0.2">
      <c r="A7856">
        <v>7795</v>
      </c>
      <c r="B7856" s="1831">
        <f>'PCTC-OEPP 27-28'!F124</f>
        <v>0</v>
      </c>
      <c r="D7856" s="2" t="str">
        <f t="shared" si="129"/>
        <v>Error?</v>
      </c>
      <c r="E7856" s="4" t="s">
        <v>2000</v>
      </c>
    </row>
    <row r="7857" spans="1:5" x14ac:dyDescent="0.2">
      <c r="A7857">
        <v>7796</v>
      </c>
      <c r="B7857" s="1831">
        <f>'PCTC-OEPP 27-28'!F125</f>
        <v>17924</v>
      </c>
      <c r="D7857" s="2" t="str">
        <f t="shared" si="129"/>
        <v>Error?</v>
      </c>
      <c r="E7857" s="4" t="s">
        <v>2000</v>
      </c>
    </row>
    <row r="7858" spans="1:5" x14ac:dyDescent="0.2">
      <c r="A7858">
        <v>7797</v>
      </c>
      <c r="B7858" s="1831">
        <f>'PCTC-OEPP 27-28'!F126</f>
        <v>69961</v>
      </c>
      <c r="D7858" s="2" t="str">
        <f t="shared" si="129"/>
        <v>Error?</v>
      </c>
      <c r="E7858" s="4" t="s">
        <v>2000</v>
      </c>
    </row>
    <row r="7859" spans="1:5" x14ac:dyDescent="0.2">
      <c r="A7859">
        <v>7798</v>
      </c>
      <c r="B7859" s="1831">
        <f>'PCTC-OEPP 27-28'!F127</f>
        <v>33024</v>
      </c>
      <c r="D7859" s="2" t="str">
        <f t="shared" si="129"/>
        <v>Error?</v>
      </c>
      <c r="E7859" s="4" t="s">
        <v>2000</v>
      </c>
    </row>
    <row r="7860" spans="1:5" x14ac:dyDescent="0.2">
      <c r="A7860">
        <v>7799</v>
      </c>
      <c r="B7860" s="1831">
        <f>'PCTC-OEPP 27-28'!F128</f>
        <v>3939</v>
      </c>
      <c r="D7860" s="2" t="str">
        <f t="shared" si="129"/>
        <v>Error?</v>
      </c>
      <c r="E7860" s="4" t="s">
        <v>2000</v>
      </c>
    </row>
    <row r="7861" spans="1:5" x14ac:dyDescent="0.2">
      <c r="A7861">
        <v>7800</v>
      </c>
      <c r="B7861" s="1831">
        <f>'PCTC-OEPP 27-28'!F129</f>
        <v>11886</v>
      </c>
      <c r="D7861" s="2" t="str">
        <f t="shared" si="129"/>
        <v>Error?</v>
      </c>
      <c r="E7861" s="4" t="s">
        <v>2000</v>
      </c>
    </row>
    <row r="7862" spans="1:5" x14ac:dyDescent="0.2">
      <c r="A7862">
        <v>7801</v>
      </c>
      <c r="B7862" s="1831">
        <f>'PCTC-OEPP 27-28'!F130</f>
        <v>4583</v>
      </c>
      <c r="D7862" s="2" t="str">
        <f t="shared" si="129"/>
        <v>Error?</v>
      </c>
      <c r="E7862" s="4" t="s">
        <v>2000</v>
      </c>
    </row>
    <row r="7863" spans="1:5" x14ac:dyDescent="0.2">
      <c r="A7863">
        <v>7802</v>
      </c>
      <c r="B7863" s="1831">
        <f>'PCTC-OEPP 27-28'!F131</f>
        <v>0</v>
      </c>
      <c r="D7863" s="2" t="str">
        <f t="shared" si="129"/>
        <v>Error?</v>
      </c>
      <c r="E7863" s="4" t="s">
        <v>2000</v>
      </c>
    </row>
    <row r="7864" spans="1:5" x14ac:dyDescent="0.2">
      <c r="A7864">
        <v>7803</v>
      </c>
      <c r="B7864" s="1831">
        <f>'PCTC-OEPP 27-28'!F132</f>
        <v>0</v>
      </c>
      <c r="D7864" s="2" t="str">
        <f t="shared" si="129"/>
        <v>Error?</v>
      </c>
      <c r="E7864" s="4" t="s">
        <v>2000</v>
      </c>
    </row>
    <row r="7865" spans="1:5" x14ac:dyDescent="0.2">
      <c r="A7865">
        <v>7804</v>
      </c>
      <c r="B7865" s="1831">
        <f>'PCTC-OEPP 27-28'!F133</f>
        <v>0</v>
      </c>
      <c r="D7865" s="2" t="str">
        <f t="shared" si="129"/>
        <v>Error?</v>
      </c>
      <c r="E7865" s="4" t="s">
        <v>2000</v>
      </c>
    </row>
    <row r="7866" spans="1:5" x14ac:dyDescent="0.2">
      <c r="A7866">
        <v>7805</v>
      </c>
      <c r="B7866" s="1831">
        <f>'PCTC-OEPP 27-28'!F158</f>
        <v>0</v>
      </c>
      <c r="D7866" s="2" t="str">
        <f t="shared" si="129"/>
        <v>Error?</v>
      </c>
      <c r="E7866" s="4" t="s">
        <v>2000</v>
      </c>
    </row>
    <row r="7867" spans="1:5" x14ac:dyDescent="0.2">
      <c r="A7867">
        <v>7806</v>
      </c>
      <c r="B7867" s="1831">
        <f>'PCTC-OEPP 27-28'!F160</f>
        <v>0</v>
      </c>
      <c r="D7867" s="2" t="str">
        <f t="shared" si="129"/>
        <v>Error?</v>
      </c>
      <c r="E7867" s="4" t="s">
        <v>2000</v>
      </c>
    </row>
    <row r="7868" spans="1:5" x14ac:dyDescent="0.2">
      <c r="A7868">
        <v>7807</v>
      </c>
      <c r="B7868" s="1831">
        <f>'PCTC-OEPP 27-28'!F161</f>
        <v>0</v>
      </c>
      <c r="D7868" s="2" t="str">
        <f t="shared" si="129"/>
        <v>Error?</v>
      </c>
      <c r="E7868" s="4" t="s">
        <v>2000</v>
      </c>
    </row>
    <row r="7869" spans="1:5" x14ac:dyDescent="0.2">
      <c r="A7869">
        <v>7808</v>
      </c>
      <c r="B7869" s="1831">
        <f>'PCTC-OEPP 27-28'!F162</f>
        <v>0</v>
      </c>
      <c r="D7869" s="2" t="str">
        <f t="shared" si="129"/>
        <v>Error?</v>
      </c>
      <c r="E7869" s="4" t="s">
        <v>2000</v>
      </c>
    </row>
    <row r="7870" spans="1:5" x14ac:dyDescent="0.2">
      <c r="A7870">
        <v>7809</v>
      </c>
      <c r="B7870" s="1831">
        <f>'PCTC-OEPP 27-28'!F163</f>
        <v>0</v>
      </c>
      <c r="D7870" s="2" t="str">
        <f t="shared" si="129"/>
        <v>Error?</v>
      </c>
      <c r="E7870" s="4" t="s">
        <v>2000</v>
      </c>
    </row>
    <row r="7871" spans="1:5" x14ac:dyDescent="0.2">
      <c r="A7871">
        <v>7810</v>
      </c>
      <c r="B7871" s="1831">
        <f>'PCTC-OEPP 27-28'!F164</f>
        <v>0</v>
      </c>
      <c r="D7871" s="2" t="str">
        <f t="shared" si="129"/>
        <v>Error?</v>
      </c>
      <c r="E7871" s="4" t="s">
        <v>2000</v>
      </c>
    </row>
    <row r="7872" spans="1:5" x14ac:dyDescent="0.2">
      <c r="A7872">
        <v>7811</v>
      </c>
      <c r="B7872" s="1831">
        <f>'PCTC-OEPP 27-28'!F165</f>
        <v>4411</v>
      </c>
      <c r="D7872" s="2" t="str">
        <f t="shared" si="129"/>
        <v>Error?</v>
      </c>
      <c r="E7872" s="4" t="s">
        <v>2000</v>
      </c>
    </row>
    <row r="7873" spans="1:5" x14ac:dyDescent="0.2">
      <c r="A7873">
        <v>7812</v>
      </c>
      <c r="B7873" s="1831">
        <f>'PCTC-OEPP 27-28'!F166</f>
        <v>0</v>
      </c>
      <c r="D7873" s="2" t="str">
        <f t="shared" si="129"/>
        <v>Error?</v>
      </c>
      <c r="E7873" s="4" t="s">
        <v>2000</v>
      </c>
    </row>
    <row r="7874" spans="1:5" x14ac:dyDescent="0.2">
      <c r="A7874">
        <v>7813</v>
      </c>
      <c r="B7874" s="1831">
        <f>'PCTC-OEPP 27-28'!F169</f>
        <v>4924</v>
      </c>
      <c r="D7874" s="2" t="str">
        <f t="shared" si="129"/>
        <v>Error?</v>
      </c>
      <c r="E7874" s="4" t="s">
        <v>2000</v>
      </c>
    </row>
    <row r="7875" spans="1:5" x14ac:dyDescent="0.2">
      <c r="A7875">
        <v>7814</v>
      </c>
      <c r="B7875" s="1831">
        <f>'PCTC-OEPP 27-28'!F170</f>
        <v>40730</v>
      </c>
      <c r="D7875" s="2" t="str">
        <f t="shared" si="129"/>
        <v>Error?</v>
      </c>
      <c r="E7875" s="4" t="s">
        <v>2000</v>
      </c>
    </row>
    <row r="7876" spans="1:5" x14ac:dyDescent="0.2">
      <c r="A7876">
        <v>7815</v>
      </c>
      <c r="B7876" s="1831">
        <f>'PCTC-OEPP 27-28'!F171</f>
        <v>0</v>
      </c>
      <c r="D7876" s="2" t="str">
        <f t="shared" si="129"/>
        <v>Error?</v>
      </c>
      <c r="E7876" s="4" t="s">
        <v>2000</v>
      </c>
    </row>
    <row r="7877" spans="1:5" x14ac:dyDescent="0.2">
      <c r="A7877">
        <v>7816</v>
      </c>
      <c r="B7877" s="1831">
        <f>'PCTC-OEPP 27-28'!F175</f>
        <v>529723</v>
      </c>
      <c r="D7877" s="2" t="str">
        <f t="shared" si="129"/>
        <v>Error?</v>
      </c>
      <c r="E7877" s="4" t="s">
        <v>2000</v>
      </c>
    </row>
    <row r="7878" spans="1:5" x14ac:dyDescent="0.2">
      <c r="A7878">
        <v>7817</v>
      </c>
      <c r="B7878" s="1831">
        <f>'PCTC-OEPP 27-28'!F176</f>
        <v>2628312</v>
      </c>
      <c r="D7878" s="2" t="str">
        <f t="shared" si="129"/>
        <v>Error?</v>
      </c>
      <c r="E7878" s="4" t="s">
        <v>2000</v>
      </c>
    </row>
    <row r="7879" spans="1:5" x14ac:dyDescent="0.2">
      <c r="A7879">
        <v>7818</v>
      </c>
      <c r="B7879" s="1831">
        <f>'PCTC-OEPP 27-28'!F178</f>
        <v>2768777</v>
      </c>
      <c r="D7879" s="2" t="str">
        <f t="shared" si="129"/>
        <v>Error?</v>
      </c>
      <c r="E7879" s="4" t="s">
        <v>2000</v>
      </c>
    </row>
    <row r="7880" spans="1:5" x14ac:dyDescent="0.2">
      <c r="A7880">
        <v>7819</v>
      </c>
      <c r="B7880" s="1831">
        <f>'PCTC-OEPP 27-28'!F180</f>
        <v>12695.570635975973</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63" t="s">
        <v>1182</v>
      </c>
      <c r="B2" s="2563"/>
      <c r="C2" s="2563"/>
      <c r="D2" s="2563"/>
      <c r="E2" s="2563"/>
      <c r="F2" s="2563"/>
      <c r="G2" s="2563"/>
      <c r="H2" s="2563"/>
      <c r="I2" s="2563"/>
      <c r="J2" s="2563"/>
      <c r="K2" s="2563"/>
      <c r="L2" s="2563"/>
    </row>
    <row r="3" spans="1:29" ht="13.5" customHeight="1" x14ac:dyDescent="0.2">
      <c r="A3" s="2549" t="s">
        <v>1181</v>
      </c>
      <c r="B3" s="2549"/>
      <c r="C3" s="2549"/>
      <c r="D3" s="2549"/>
      <c r="E3" s="2549"/>
      <c r="F3" s="2549"/>
      <c r="G3" s="2549"/>
      <c r="H3" s="2549"/>
      <c r="I3" s="2549"/>
      <c r="J3" s="2549"/>
      <c r="K3" s="2549"/>
      <c r="L3" s="2549"/>
    </row>
    <row r="4" spans="1:29" ht="13.5" customHeight="1" x14ac:dyDescent="0.2">
      <c r="A4" s="2580" t="str">
        <f>"Year Ending June 30, "&amp;'AFR20'!E2</f>
        <v>Year Ending June 30, 2020</v>
      </c>
      <c r="B4" s="2581"/>
      <c r="C4" s="2581"/>
      <c r="D4" s="2581"/>
      <c r="E4" s="2581"/>
      <c r="F4" s="2581"/>
      <c r="G4" s="2581"/>
      <c r="H4" s="2581"/>
      <c r="I4" s="2581"/>
      <c r="J4" s="2581"/>
      <c r="K4" s="2581"/>
      <c r="L4" s="258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543" t="str">
        <f>COVER!A17</f>
        <v xml:space="preserve"> Patoka CUSD 100</v>
      </c>
      <c r="B7" s="2544"/>
      <c r="C7" s="2544"/>
      <c r="D7" s="2582"/>
      <c r="E7" s="2583">
        <f>COVER!A13</f>
        <v>13058100026</v>
      </c>
      <c r="F7" s="2584"/>
      <c r="G7" s="2550" t="str">
        <f>COVER!T23</f>
        <v>066-004976</v>
      </c>
      <c r="H7" s="2551"/>
      <c r="I7" s="2551"/>
      <c r="J7" s="2551"/>
      <c r="K7" s="2551"/>
      <c r="L7" s="2552"/>
    </row>
    <row r="8" spans="1:29" ht="13.5" customHeight="1" x14ac:dyDescent="0.2">
      <c r="A8" s="962" t="s">
        <v>1502</v>
      </c>
      <c r="B8" s="963"/>
      <c r="C8" s="964"/>
      <c r="D8" s="964"/>
      <c r="E8" s="969"/>
      <c r="F8" s="968"/>
      <c r="G8" s="970" t="s">
        <v>1177</v>
      </c>
      <c r="H8" s="971"/>
      <c r="I8" s="971"/>
      <c r="J8" s="971"/>
      <c r="K8" s="971"/>
      <c r="L8" s="972"/>
    </row>
    <row r="9" spans="1:29" ht="13.5" customHeight="1" x14ac:dyDescent="0.2">
      <c r="A9" s="2553"/>
      <c r="B9" s="2554"/>
      <c r="C9" s="2554"/>
      <c r="D9" s="2554"/>
      <c r="E9" s="2554"/>
      <c r="F9" s="2555"/>
      <c r="G9" s="2556" t="str">
        <f>COVER!T13</f>
        <v>Glass &amp; Shuffett, Ltd.</v>
      </c>
      <c r="H9" s="2557"/>
      <c r="I9" s="2557"/>
      <c r="J9" s="2557"/>
      <c r="K9" s="2557"/>
      <c r="L9" s="2558"/>
    </row>
    <row r="10" spans="1:29" ht="13.5" customHeight="1" x14ac:dyDescent="0.2">
      <c r="A10" s="2540" t="str">
        <f>COVER!A38</f>
        <v>David Rademacher</v>
      </c>
      <c r="B10" s="2541"/>
      <c r="C10" s="2541"/>
      <c r="D10" s="2541"/>
      <c r="E10" s="2541"/>
      <c r="F10" s="2542"/>
      <c r="G10" s="2556" t="str">
        <f>COVER!T17</f>
        <v>1819 W. McCord, PO Box 489</v>
      </c>
      <c r="H10" s="2569"/>
      <c r="I10" s="2569"/>
      <c r="J10" s="2569"/>
      <c r="K10" s="2569"/>
      <c r="L10" s="2570"/>
    </row>
    <row r="11" spans="1:29" ht="13.5" customHeight="1" x14ac:dyDescent="0.2">
      <c r="A11" s="962" t="s">
        <v>1504</v>
      </c>
      <c r="B11" s="963"/>
      <c r="C11" s="964"/>
      <c r="D11" s="969"/>
      <c r="E11" s="964"/>
      <c r="F11" s="968"/>
      <c r="G11" s="2556" t="str">
        <f>COVER!T19</f>
        <v>Centralia</v>
      </c>
      <c r="H11" s="2569"/>
      <c r="I11" s="2569"/>
      <c r="J11" s="2569"/>
      <c r="K11" s="2569"/>
      <c r="L11" s="2570"/>
    </row>
    <row r="12" spans="1:29" ht="13.5" customHeight="1" x14ac:dyDescent="0.2">
      <c r="A12" s="2574" t="s">
        <v>1503</v>
      </c>
      <c r="B12" s="2575"/>
      <c r="C12" s="2575"/>
      <c r="D12" s="2575"/>
      <c r="E12" s="2575"/>
      <c r="F12" s="2576"/>
      <c r="G12" s="2571"/>
      <c r="H12" s="2572"/>
      <c r="I12" s="2572"/>
      <c r="J12" s="2572"/>
      <c r="K12" s="2572"/>
      <c r="L12" s="2573"/>
    </row>
    <row r="13" spans="1:29" ht="13.5" customHeight="1" x14ac:dyDescent="0.2">
      <c r="A13" s="2556"/>
      <c r="B13" s="2569"/>
      <c r="C13" s="2569"/>
      <c r="D13" s="2569"/>
      <c r="E13" s="2569"/>
      <c r="F13" s="2570"/>
      <c r="G13" s="2564" t="s">
        <v>1505</v>
      </c>
      <c r="H13" s="2565"/>
      <c r="I13" s="2577" t="str">
        <f>COVER!T25</f>
        <v>gandscpa@sbcglobal.net</v>
      </c>
      <c r="J13" s="2578"/>
      <c r="K13" s="2578"/>
      <c r="L13" s="2579"/>
    </row>
    <row r="14" spans="1:29" ht="13.5" customHeight="1" x14ac:dyDescent="0.2">
      <c r="A14" s="2556" t="str">
        <f>COVER!A19</f>
        <v>1220 Kinoka Road</v>
      </c>
      <c r="B14" s="2569"/>
      <c r="C14" s="2569"/>
      <c r="D14" s="2569"/>
      <c r="E14" s="2569"/>
      <c r="F14" s="2570"/>
      <c r="G14" s="973" t="s">
        <v>1176</v>
      </c>
      <c r="H14" s="971"/>
      <c r="I14" s="971"/>
      <c r="J14" s="971"/>
      <c r="K14" s="971"/>
      <c r="L14" s="972"/>
    </row>
    <row r="15" spans="1:29" ht="13.5" customHeight="1" x14ac:dyDescent="0.2">
      <c r="A15" s="2556" t="str">
        <f>COVER!A21</f>
        <v>Patoka Community Unit School District No. 100</v>
      </c>
      <c r="B15" s="2569"/>
      <c r="C15" s="2569"/>
      <c r="D15" s="2569"/>
      <c r="E15" s="2569"/>
      <c r="F15" s="2570"/>
      <c r="G15" s="2566" t="str">
        <f>COVER!T15</f>
        <v>Bo V. Thomas, CPA</v>
      </c>
      <c r="H15" s="2567"/>
      <c r="I15" s="2567"/>
      <c r="J15" s="2567"/>
      <c r="K15" s="2567"/>
      <c r="L15" s="2568"/>
    </row>
    <row r="16" spans="1:29" ht="12.2" customHeight="1" x14ac:dyDescent="0.2">
      <c r="A16" s="2546">
        <f>COVER!A25</f>
        <v>61875</v>
      </c>
      <c r="B16" s="2547"/>
      <c r="C16" s="2547"/>
      <c r="D16" s="2547"/>
      <c r="E16" s="2547"/>
      <c r="F16" s="2548"/>
      <c r="G16" s="2559"/>
      <c r="H16" s="2560"/>
      <c r="I16" s="2560"/>
      <c r="J16" s="2560"/>
      <c r="K16" s="2560"/>
      <c r="L16" s="2561"/>
    </row>
    <row r="17" spans="1:13" ht="12.2" customHeight="1" x14ac:dyDescent="0.2">
      <c r="A17" s="2562"/>
      <c r="B17" s="2547"/>
      <c r="C17" s="2547"/>
      <c r="D17" s="2547"/>
      <c r="E17" s="2547"/>
      <c r="F17" s="2548"/>
      <c r="G17" s="973" t="s">
        <v>1175</v>
      </c>
      <c r="H17" s="971"/>
      <c r="I17" s="971"/>
      <c r="J17" s="971"/>
      <c r="K17" s="975" t="s">
        <v>1174</v>
      </c>
      <c r="L17" s="968"/>
      <c r="M17" s="961"/>
    </row>
    <row r="18" spans="1:13" ht="12.2" customHeight="1" x14ac:dyDescent="0.2">
      <c r="A18" s="2540"/>
      <c r="B18" s="2541"/>
      <c r="C18" s="2541"/>
      <c r="D18" s="2541"/>
      <c r="E18" s="2541"/>
      <c r="F18" s="2542"/>
      <c r="G18" s="2543" t="str">
        <f>COVER!T21</f>
        <v>618-532-5683</v>
      </c>
      <c r="H18" s="2544"/>
      <c r="I18" s="2544"/>
      <c r="J18" s="2544"/>
      <c r="K18" s="2543" t="str">
        <f>COVER!X21</f>
        <v>618-532-5684</v>
      </c>
      <c r="L18" s="254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1678</v>
      </c>
    </row>
    <row r="22" spans="1:13" ht="12.2" customHeight="1" x14ac:dyDescent="0.2">
      <c r="A22" s="978"/>
    </row>
    <row r="23" spans="1:13" ht="12.2" customHeight="1" x14ac:dyDescent="0.2">
      <c r="A23" s="978"/>
      <c r="B23" s="979"/>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c r="C26" s="980" t="s">
        <v>1679</v>
      </c>
    </row>
    <row r="27" spans="1:13" s="976" customFormat="1" ht="9" customHeight="1" x14ac:dyDescent="0.2">
      <c r="B27" s="981"/>
      <c r="C27" s="980"/>
    </row>
    <row r="28" spans="1:13" s="976" customFormat="1" ht="12.2" customHeight="1" x14ac:dyDescent="0.2">
      <c r="A28" s="983"/>
      <c r="B28" s="979"/>
      <c r="C28" s="980" t="s">
        <v>1680</v>
      </c>
    </row>
    <row r="29" spans="1:13" s="976" customFormat="1" ht="9" customHeight="1" x14ac:dyDescent="0.2">
      <c r="A29" s="983"/>
      <c r="B29" s="981"/>
      <c r="C29" s="980"/>
    </row>
    <row r="30" spans="1:13" s="976" customFormat="1" ht="12.2" customHeight="1" x14ac:dyDescent="0.2">
      <c r="B30" s="979"/>
      <c r="C30" s="980" t="s">
        <v>1547</v>
      </c>
      <c r="D30" s="974"/>
      <c r="E30" s="974"/>
    </row>
    <row r="31" spans="1:13" s="976" customFormat="1" ht="9" customHeight="1" x14ac:dyDescent="0.2">
      <c r="B31" s="981"/>
      <c r="C31" s="980"/>
      <c r="D31" s="974"/>
      <c r="E31" s="974"/>
    </row>
    <row r="32" spans="1:13" s="976" customFormat="1" ht="12.2" customHeight="1" x14ac:dyDescent="0.2">
      <c r="B32" s="979"/>
      <c r="C32" s="980" t="s">
        <v>1548</v>
      </c>
      <c r="D32" s="974"/>
      <c r="E32" s="974"/>
    </row>
    <row r="33" spans="1:8" s="976" customFormat="1" ht="10.9" customHeight="1" x14ac:dyDescent="0.2">
      <c r="B33" s="981"/>
      <c r="C33" s="984" t="s">
        <v>1681</v>
      </c>
      <c r="D33" s="974"/>
      <c r="E33" s="974"/>
    </row>
    <row r="34" spans="1:8" ht="9" customHeight="1" x14ac:dyDescent="0.2">
      <c r="B34" s="981"/>
      <c r="C34" s="984"/>
    </row>
    <row r="35" spans="1:8" s="976" customFormat="1" ht="13.5" customHeight="1" x14ac:dyDescent="0.2">
      <c r="B35" s="979"/>
      <c r="C35" s="980" t="s">
        <v>1549</v>
      </c>
    </row>
    <row r="36" spans="1:8" s="976" customFormat="1" ht="10.9" customHeight="1" x14ac:dyDescent="0.2">
      <c r="B36" s="981"/>
      <c r="C36" s="984" t="s">
        <v>1550</v>
      </c>
    </row>
    <row r="37" spans="1:8" ht="9" customHeight="1" x14ac:dyDescent="0.2">
      <c r="B37" s="981"/>
      <c r="C37" s="984"/>
    </row>
    <row r="38" spans="1:8" s="976" customFormat="1" ht="12.2" customHeight="1" x14ac:dyDescent="0.2">
      <c r="B38" s="979"/>
      <c r="C38" s="980" t="s">
        <v>1551</v>
      </c>
    </row>
    <row r="39" spans="1:8" ht="9" customHeight="1" x14ac:dyDescent="0.2">
      <c r="B39" s="981"/>
      <c r="C39" s="984"/>
    </row>
    <row r="40" spans="1:8" s="976" customFormat="1" ht="13.5" customHeight="1" x14ac:dyDescent="0.2">
      <c r="B40" s="979"/>
      <c r="C40" s="980" t="s">
        <v>1552</v>
      </c>
    </row>
    <row r="41" spans="1:8" ht="9" customHeight="1" x14ac:dyDescent="0.2">
      <c r="A41" s="985"/>
      <c r="B41" s="981"/>
      <c r="C41" s="984"/>
    </row>
    <row r="42" spans="1:8" s="976" customFormat="1" ht="13.5" customHeight="1" x14ac:dyDescent="0.2">
      <c r="B42" s="979"/>
      <c r="C42" s="980" t="s">
        <v>1811</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1553</v>
      </c>
      <c r="D46" s="974"/>
      <c r="E46" s="974"/>
      <c r="F46" s="974"/>
      <c r="G46" s="974"/>
      <c r="H46" s="974"/>
    </row>
    <row r="47" spans="1:8" ht="9" customHeight="1" x14ac:dyDescent="0.2"/>
    <row r="48" spans="1:8" ht="12.2" customHeight="1" x14ac:dyDescent="0.2">
      <c r="B48" s="1540"/>
      <c r="C48" s="988" t="s">
        <v>1554</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5" t="str">
        <f>'Single Audit Cover'!A7</f>
        <v xml:space="preserve"> Patoka CUSD 100</v>
      </c>
      <c r="B1" s="2586"/>
      <c r="C1" s="2586"/>
      <c r="D1" s="2586"/>
    </row>
    <row r="2" spans="1:11" s="990" customFormat="1" ht="12.75" x14ac:dyDescent="0.2">
      <c r="A2" s="2587">
        <f>'Single Audit Cover'!E7</f>
        <v>13058100026</v>
      </c>
      <c r="B2" s="2588"/>
      <c r="C2" s="2588"/>
      <c r="D2" s="2588"/>
    </row>
    <row r="3" spans="1:11" s="990" customFormat="1" ht="12.75" x14ac:dyDescent="0.2">
      <c r="A3" s="2585" t="s">
        <v>1498</v>
      </c>
      <c r="B3" s="2586"/>
      <c r="C3" s="2586"/>
      <c r="D3" s="2586"/>
    </row>
    <row r="4" spans="1:11" s="990" customFormat="1" ht="4.5" customHeight="1" x14ac:dyDescent="0.2">
      <c r="A4" s="991"/>
      <c r="B4" s="992"/>
      <c r="C4" s="992"/>
      <c r="D4" s="992"/>
    </row>
    <row r="5" spans="1:11" x14ac:dyDescent="0.2">
      <c r="B5" s="994" t="s">
        <v>1499</v>
      </c>
      <c r="C5" s="995"/>
      <c r="D5" s="996"/>
    </row>
    <row r="6" spans="1:11" x14ac:dyDescent="0.2">
      <c r="B6" s="994" t="s">
        <v>1215</v>
      </c>
      <c r="C6" s="995"/>
      <c r="D6" s="996"/>
    </row>
    <row r="7" spans="1:11" x14ac:dyDescent="0.2">
      <c r="B7" s="994" t="s">
        <v>1500</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c r="C11" s="1001">
        <v>1</v>
      </c>
      <c r="D11" s="1002" t="s">
        <v>1682</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1683</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1684</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1685</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1706</v>
      </c>
      <c r="E24" s="1003"/>
      <c r="F24" s="1003"/>
      <c r="G24" s="1003"/>
      <c r="H24" s="1003"/>
      <c r="I24" s="1003"/>
      <c r="J24" s="1003"/>
      <c r="K24" s="1003"/>
    </row>
    <row r="25" spans="1:11" x14ac:dyDescent="0.2">
      <c r="A25" s="997"/>
      <c r="B25" s="1006"/>
      <c r="D25" s="1005" t="s">
        <v>1686</v>
      </c>
      <c r="E25" s="1003"/>
      <c r="F25" s="1003"/>
      <c r="G25" s="1003"/>
      <c r="H25" s="1003"/>
      <c r="I25" s="1003"/>
      <c r="J25" s="1003"/>
      <c r="K25" s="1003"/>
    </row>
    <row r="26" spans="1:11" x14ac:dyDescent="0.2">
      <c r="A26" s="997"/>
      <c r="B26" s="1006"/>
      <c r="D26" s="1010" t="s">
        <v>1687</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1555</v>
      </c>
      <c r="E28" s="1003"/>
      <c r="F28" s="1003"/>
      <c r="G28" s="1003"/>
      <c r="H28" s="1003"/>
      <c r="I28" s="1003"/>
      <c r="J28" s="1003"/>
      <c r="K28" s="1003"/>
    </row>
    <row r="29" spans="1:11" ht="10.5" customHeight="1" x14ac:dyDescent="0.2">
      <c r="A29" s="997"/>
      <c r="D29" s="1011" t="s">
        <v>1556</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c r="C33" s="1001">
        <v>8</v>
      </c>
      <c r="D33" s="1012" t="s">
        <v>1208</v>
      </c>
    </row>
    <row r="34" spans="1:5" ht="10.5" customHeight="1" x14ac:dyDescent="0.2">
      <c r="A34" s="997"/>
      <c r="B34" s="1013"/>
      <c r="C34" s="1001"/>
      <c r="D34" s="1012" t="s">
        <v>1557</v>
      </c>
    </row>
    <row r="35" spans="1:5" ht="3" customHeight="1" x14ac:dyDescent="0.2">
      <c r="A35" s="997"/>
      <c r="B35" s="1006"/>
      <c r="D35" s="996"/>
    </row>
    <row r="36" spans="1:5" x14ac:dyDescent="0.2">
      <c r="A36" s="997"/>
      <c r="B36" s="1000"/>
      <c r="C36" s="1001">
        <f>C33+1</f>
        <v>9</v>
      </c>
      <c r="D36" s="1012" t="s">
        <v>1207</v>
      </c>
    </row>
    <row r="37" spans="1:5" ht="10.5" customHeight="1" x14ac:dyDescent="0.2">
      <c r="A37" s="997"/>
      <c r="B37" s="1006"/>
      <c r="D37" s="1012" t="s">
        <v>1557</v>
      </c>
    </row>
    <row r="38" spans="1:5" ht="3" customHeight="1" x14ac:dyDescent="0.2">
      <c r="A38" s="997"/>
      <c r="B38" s="1014"/>
      <c r="C38" s="1015"/>
      <c r="D38" s="996"/>
    </row>
    <row r="39" spans="1:5" x14ac:dyDescent="0.2">
      <c r="A39" s="997"/>
      <c r="B39" s="1016"/>
      <c r="C39" s="1007">
        <f>C36+1</f>
        <v>10</v>
      </c>
      <c r="D39" s="996" t="s">
        <v>1206</v>
      </c>
    </row>
    <row r="40" spans="1:5" ht="10.5" customHeight="1" x14ac:dyDescent="0.2">
      <c r="A40" s="997"/>
      <c r="B40" s="1017"/>
      <c r="C40" s="1015"/>
      <c r="D40" s="996" t="s">
        <v>1558</v>
      </c>
    </row>
    <row r="41" spans="1:5" ht="3" customHeight="1" x14ac:dyDescent="0.2">
      <c r="A41" s="997"/>
      <c r="B41" s="1014"/>
      <c r="C41" s="1015"/>
      <c r="D41" s="996"/>
    </row>
    <row r="42" spans="1:5" ht="10.5" customHeight="1" x14ac:dyDescent="0.2">
      <c r="A42" s="997"/>
      <c r="B42" s="1016"/>
      <c r="C42" s="1007">
        <v>11</v>
      </c>
      <c r="D42" s="1018" t="s">
        <v>1559</v>
      </c>
      <c r="E42" s="290"/>
    </row>
    <row r="43" spans="1:5" ht="3" customHeight="1" x14ac:dyDescent="0.2">
      <c r="A43" s="997"/>
      <c r="B43" s="1014"/>
      <c r="C43" s="1015"/>
      <c r="D43" s="996"/>
    </row>
    <row r="44" spans="1:5" x14ac:dyDescent="0.2">
      <c r="A44" s="997"/>
      <c r="B44" s="1000"/>
      <c r="C44" s="1001">
        <f>C42+1</f>
        <v>12</v>
      </c>
      <c r="D44" s="1012" t="s">
        <v>1205</v>
      </c>
    </row>
    <row r="45" spans="1:5" ht="10.5" customHeight="1" x14ac:dyDescent="0.2">
      <c r="A45" s="997"/>
      <c r="B45" s="1013"/>
      <c r="C45" s="1001"/>
      <c r="D45" s="1012" t="s">
        <v>1971</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c r="C48" s="1001">
        <f>C44+1</f>
        <v>13</v>
      </c>
      <c r="D48" s="1012" t="s">
        <v>1560</v>
      </c>
    </row>
    <row r="49" spans="1:4" ht="3" customHeight="1" x14ac:dyDescent="0.2">
      <c r="A49" s="997"/>
      <c r="B49" s="1004"/>
      <c r="C49" s="1001"/>
      <c r="D49" s="1012"/>
    </row>
    <row r="50" spans="1:4" x14ac:dyDescent="0.2">
      <c r="A50" s="997"/>
      <c r="B50" s="1000"/>
      <c r="C50" s="1001">
        <f>C48+1</f>
        <v>14</v>
      </c>
      <c r="D50" s="1012" t="s">
        <v>1203</v>
      </c>
    </row>
    <row r="51" spans="1:4" ht="3" customHeight="1" x14ac:dyDescent="0.2">
      <c r="A51" s="997"/>
      <c r="B51" s="1004"/>
      <c r="C51" s="1001"/>
      <c r="D51" s="1012"/>
    </row>
    <row r="52" spans="1:4" x14ac:dyDescent="0.2">
      <c r="A52" s="997"/>
      <c r="B52" s="1000"/>
      <c r="C52" s="1001">
        <f>C50+1</f>
        <v>15</v>
      </c>
      <c r="D52" s="1012" t="s">
        <v>1202</v>
      </c>
    </row>
    <row r="53" spans="1:4" ht="3" customHeight="1" x14ac:dyDescent="0.2">
      <c r="A53" s="997"/>
      <c r="B53" s="1004"/>
      <c r="C53" s="1001"/>
      <c r="D53" s="1012"/>
    </row>
    <row r="54" spans="1:4" x14ac:dyDescent="0.2">
      <c r="A54" s="997"/>
      <c r="B54" s="1000"/>
      <c r="C54" s="1001">
        <f>C52+1</f>
        <v>16</v>
      </c>
      <c r="D54" s="1012" t="s">
        <v>1201</v>
      </c>
    </row>
    <row r="55" spans="1:4" ht="3" customHeight="1" x14ac:dyDescent="0.2">
      <c r="A55" s="997"/>
      <c r="B55" s="1004"/>
      <c r="C55" s="1001"/>
      <c r="D55" s="1012"/>
    </row>
    <row r="56" spans="1:4" x14ac:dyDescent="0.2">
      <c r="A56" s="997"/>
      <c r="B56" s="1000"/>
      <c r="C56" s="1001">
        <f>C54+1</f>
        <v>17</v>
      </c>
      <c r="D56" s="996" t="s">
        <v>1688</v>
      </c>
    </row>
    <row r="57" spans="1:4" ht="10.5" customHeight="1" x14ac:dyDescent="0.2">
      <c r="A57" s="997"/>
      <c r="D57" s="1012" t="s">
        <v>1689</v>
      </c>
    </row>
    <row r="58" spans="1:4" x14ac:dyDescent="0.2">
      <c r="A58" s="997"/>
      <c r="C58" s="1019"/>
      <c r="D58" s="1012" t="s">
        <v>1690</v>
      </c>
    </row>
    <row r="59" spans="1:4" ht="10.5" customHeight="1" x14ac:dyDescent="0.2">
      <c r="A59" s="997"/>
      <c r="D59" s="996" t="s">
        <v>1200</v>
      </c>
    </row>
    <row r="60" spans="1:4" ht="10.5" customHeight="1" x14ac:dyDescent="0.2">
      <c r="A60" s="997"/>
      <c r="D60" s="1020" t="s">
        <v>1584</v>
      </c>
    </row>
    <row r="61" spans="1:4" ht="10.5" customHeight="1" x14ac:dyDescent="0.2">
      <c r="A61" s="997"/>
      <c r="C61" s="1019"/>
      <c r="D61" s="1012" t="s">
        <v>1691</v>
      </c>
    </row>
    <row r="62" spans="1:4" ht="10.5" customHeight="1" x14ac:dyDescent="0.2">
      <c r="A62" s="997"/>
      <c r="D62" s="1021" t="s">
        <v>1199</v>
      </c>
    </row>
    <row r="63" spans="1:4" ht="10.5" customHeight="1" x14ac:dyDescent="0.2">
      <c r="A63" s="997"/>
      <c r="D63" s="996" t="s">
        <v>1561</v>
      </c>
    </row>
    <row r="64" spans="1:4" ht="10.5" customHeight="1" x14ac:dyDescent="0.2">
      <c r="A64" s="997"/>
      <c r="D64" s="1020" t="s">
        <v>1583</v>
      </c>
    </row>
    <row r="65" spans="1:4" x14ac:dyDescent="0.2">
      <c r="A65" s="997"/>
      <c r="C65" s="1019"/>
      <c r="D65" s="1012" t="s">
        <v>1692</v>
      </c>
    </row>
    <row r="66" spans="1:4" ht="10.5" customHeight="1" x14ac:dyDescent="0.2">
      <c r="A66" s="997"/>
      <c r="D66" s="1022" t="s">
        <v>1198</v>
      </c>
    </row>
    <row r="67" spans="1:4" ht="10.5" customHeight="1" x14ac:dyDescent="0.2">
      <c r="A67" s="997"/>
      <c r="D67" s="996" t="s">
        <v>1562</v>
      </c>
    </row>
    <row r="68" spans="1:4" ht="10.5" customHeight="1" x14ac:dyDescent="0.2">
      <c r="A68" s="997"/>
      <c r="D68" s="1020" t="s">
        <v>1583</v>
      </c>
    </row>
    <row r="69" spans="1:4" ht="10.5" customHeight="1" x14ac:dyDescent="0.2">
      <c r="A69" s="997"/>
      <c r="C69" s="1019"/>
      <c r="D69" s="1012" t="s">
        <v>1693</v>
      </c>
    </row>
    <row r="70" spans="1:4" x14ac:dyDescent="0.2">
      <c r="A70" s="997"/>
      <c r="D70" s="1021" t="s">
        <v>1197</v>
      </c>
    </row>
    <row r="71" spans="1:4" ht="3" customHeight="1" x14ac:dyDescent="0.2">
      <c r="A71" s="997"/>
      <c r="D71" s="996"/>
    </row>
    <row r="72" spans="1:4" x14ac:dyDescent="0.2">
      <c r="A72" s="997"/>
      <c r="B72" s="1000"/>
      <c r="C72" s="1001">
        <f>C56+1</f>
        <v>18</v>
      </c>
      <c r="D72" s="1022" t="s">
        <v>1694</v>
      </c>
    </row>
    <row r="73" spans="1:4" ht="3" customHeight="1" x14ac:dyDescent="0.2">
      <c r="A73" s="997"/>
      <c r="B73" s="1004"/>
      <c r="C73" s="1001"/>
      <c r="D73" s="1022"/>
    </row>
    <row r="74" spans="1:4" x14ac:dyDescent="0.2">
      <c r="A74" s="997"/>
      <c r="B74" s="1000"/>
      <c r="C74" s="1001">
        <f>C72+1</f>
        <v>19</v>
      </c>
      <c r="D74" s="1012" t="s">
        <v>1196</v>
      </c>
    </row>
    <row r="75" spans="1:4" ht="3" customHeight="1" x14ac:dyDescent="0.2">
      <c r="A75" s="997"/>
      <c r="B75" s="1004"/>
      <c r="C75" s="1001"/>
      <c r="D75" s="1012"/>
    </row>
    <row r="76" spans="1:4" x14ac:dyDescent="0.2">
      <c r="A76" s="997"/>
      <c r="B76" s="1000"/>
      <c r="C76" s="1001">
        <f>C74+1</f>
        <v>20</v>
      </c>
      <c r="D76" s="1023" t="s">
        <v>1695</v>
      </c>
    </row>
    <row r="77" spans="1:4" ht="3" customHeight="1" x14ac:dyDescent="0.2">
      <c r="A77" s="997"/>
      <c r="B77" s="1004"/>
      <c r="C77" s="1001"/>
      <c r="D77" s="1023"/>
    </row>
    <row r="78" spans="1:4" x14ac:dyDescent="0.2">
      <c r="A78" s="997"/>
      <c r="B78" s="1000"/>
      <c r="C78" s="1001">
        <f>C76+1</f>
        <v>21</v>
      </c>
      <c r="D78" s="996" t="s">
        <v>1696</v>
      </c>
    </row>
    <row r="79" spans="1:4" ht="3" customHeight="1" x14ac:dyDescent="0.2">
      <c r="A79" s="997"/>
      <c r="B79" s="1004"/>
      <c r="C79" s="1001"/>
      <c r="D79" s="996"/>
    </row>
    <row r="80" spans="1:4" x14ac:dyDescent="0.2">
      <c r="A80" s="997"/>
      <c r="B80" s="1000"/>
      <c r="C80" s="1001">
        <f>C78+1</f>
        <v>22</v>
      </c>
      <c r="D80" s="1024" t="s">
        <v>1697</v>
      </c>
    </row>
    <row r="81" spans="1:4" ht="3" customHeight="1" x14ac:dyDescent="0.2">
      <c r="A81" s="997"/>
      <c r="B81" s="1004"/>
      <c r="C81" s="1001"/>
      <c r="D81" s="1024"/>
    </row>
    <row r="82" spans="1:4" x14ac:dyDescent="0.2">
      <c r="A82" s="997"/>
      <c r="B82" s="1000"/>
      <c r="C82" s="1001">
        <f>C80+1</f>
        <v>23</v>
      </c>
      <c r="D82" s="1023" t="s">
        <v>1698</v>
      </c>
    </row>
    <row r="83" spans="1:4" ht="10.5" customHeight="1" x14ac:dyDescent="0.2">
      <c r="A83" s="997"/>
      <c r="B83" s="1006"/>
      <c r="D83" s="1012" t="s">
        <v>1195</v>
      </c>
    </row>
    <row r="84" spans="1:4" ht="3" customHeight="1" x14ac:dyDescent="0.2">
      <c r="A84" s="997"/>
      <c r="B84" s="1006"/>
      <c r="D84" s="1012"/>
    </row>
    <row r="85" spans="1:4" x14ac:dyDescent="0.2">
      <c r="A85" s="997"/>
      <c r="B85" s="1000"/>
      <c r="C85" s="1001">
        <f>C82+1</f>
        <v>24</v>
      </c>
      <c r="D85" s="1012" t="s">
        <v>1194</v>
      </c>
    </row>
    <row r="86" spans="1:4" ht="3" customHeight="1" x14ac:dyDescent="0.2">
      <c r="A86" s="997"/>
      <c r="B86" s="1004"/>
      <c r="C86" s="1001"/>
      <c r="D86" s="1012"/>
    </row>
    <row r="87" spans="1:4" x14ac:dyDescent="0.2">
      <c r="A87" s="997"/>
      <c r="B87" s="1000"/>
      <c r="C87" s="1001">
        <f>C85+1</f>
        <v>25</v>
      </c>
      <c r="D87" s="1012" t="s">
        <v>1193</v>
      </c>
    </row>
    <row r="88" spans="1:4" ht="3" customHeight="1" x14ac:dyDescent="0.2">
      <c r="A88" s="997"/>
      <c r="B88" s="1004"/>
      <c r="C88" s="1001"/>
      <c r="D88" s="1012"/>
    </row>
    <row r="89" spans="1:4" x14ac:dyDescent="0.2">
      <c r="A89" s="997"/>
      <c r="B89" s="1000"/>
      <c r="C89" s="1001">
        <f>C87+1</f>
        <v>26</v>
      </c>
      <c r="D89" s="1012" t="s">
        <v>1192</v>
      </c>
    </row>
    <row r="90" spans="1:4" ht="3" customHeight="1" x14ac:dyDescent="0.2">
      <c r="A90" s="997"/>
      <c r="B90" s="1004"/>
      <c r="C90" s="1001"/>
      <c r="D90" s="1012"/>
    </row>
    <row r="91" spans="1:4" x14ac:dyDescent="0.2">
      <c r="A91" s="997"/>
      <c r="B91" s="1000"/>
      <c r="C91" s="1001">
        <f>C89+1</f>
        <v>27</v>
      </c>
      <c r="D91" s="1012" t="s">
        <v>1699</v>
      </c>
    </row>
    <row r="92" spans="1:4" x14ac:dyDescent="0.2">
      <c r="A92" s="997"/>
      <c r="B92" s="1025"/>
      <c r="C92" s="1019"/>
      <c r="D92" s="1012" t="s">
        <v>1191</v>
      </c>
    </row>
    <row r="93" spans="1:4" ht="4.5" customHeight="1" x14ac:dyDescent="0.2">
      <c r="A93" s="997"/>
      <c r="D93" s="996"/>
    </row>
    <row r="94" spans="1:4" x14ac:dyDescent="0.2">
      <c r="A94" s="997"/>
      <c r="B94" s="998" t="s">
        <v>1563</v>
      </c>
      <c r="C94" s="999"/>
      <c r="D94" s="996"/>
    </row>
    <row r="95" spans="1:4" ht="4.5" customHeight="1" x14ac:dyDescent="0.2">
      <c r="A95" s="997"/>
      <c r="B95" s="998"/>
      <c r="C95" s="999"/>
      <c r="D95" s="996"/>
    </row>
    <row r="96" spans="1:4" x14ac:dyDescent="0.2">
      <c r="A96" s="997"/>
      <c r="B96" s="1000"/>
      <c r="C96" s="1001">
        <f>C91+1</f>
        <v>28</v>
      </c>
      <c r="D96" s="1012" t="s">
        <v>1700</v>
      </c>
    </row>
    <row r="97" spans="1:4" ht="3" customHeight="1" x14ac:dyDescent="0.2">
      <c r="A97" s="997"/>
      <c r="B97" s="1004"/>
      <c r="C97" s="1001"/>
      <c r="D97" s="1012"/>
    </row>
    <row r="98" spans="1:4" x14ac:dyDescent="0.2">
      <c r="A98" s="997"/>
      <c r="B98" s="1000"/>
      <c r="C98" s="1001">
        <f>C96+1</f>
        <v>29</v>
      </c>
      <c r="D98" s="1026" t="s">
        <v>1701</v>
      </c>
    </row>
    <row r="99" spans="1:4" ht="3" customHeight="1" x14ac:dyDescent="0.2">
      <c r="A99" s="997"/>
      <c r="B99" s="1004"/>
      <c r="C99" s="1001"/>
      <c r="D99" s="1026"/>
    </row>
    <row r="100" spans="1:4" x14ac:dyDescent="0.2">
      <c r="A100" s="997"/>
      <c r="B100" s="1000"/>
      <c r="C100" s="1001">
        <f>C98+1</f>
        <v>30</v>
      </c>
      <c r="D100" s="1012" t="s">
        <v>1702</v>
      </c>
    </row>
    <row r="101" spans="1:4" ht="3" customHeight="1" x14ac:dyDescent="0.2">
      <c r="A101" s="997"/>
      <c r="B101" s="1004"/>
      <c r="C101" s="1001"/>
      <c r="D101" s="1027"/>
    </row>
    <row r="102" spans="1:4" x14ac:dyDescent="0.2">
      <c r="A102" s="997"/>
      <c r="B102" s="1000"/>
      <c r="C102" s="1001">
        <f>C100+1</f>
        <v>31</v>
      </c>
      <c r="D102" s="1012" t="s">
        <v>1564</v>
      </c>
    </row>
    <row r="103" spans="1:4" ht="4.5" customHeight="1" x14ac:dyDescent="0.2">
      <c r="A103" s="997"/>
      <c r="B103" s="290"/>
      <c r="C103" s="1001"/>
      <c r="D103" s="1012"/>
    </row>
    <row r="104" spans="1:4" ht="14.1" customHeight="1" x14ac:dyDescent="0.2">
      <c r="A104" s="997"/>
      <c r="B104" s="1028" t="s">
        <v>1190</v>
      </c>
    </row>
    <row r="105" spans="1:4" ht="4.5" customHeight="1" x14ac:dyDescent="0.2">
      <c r="A105" s="997"/>
      <c r="B105" s="1028"/>
    </row>
    <row r="106" spans="1:4" x14ac:dyDescent="0.2">
      <c r="A106" s="997"/>
      <c r="B106" s="1000"/>
      <c r="C106" s="1001">
        <f>C102+1</f>
        <v>32</v>
      </c>
      <c r="D106" s="996" t="s">
        <v>1565</v>
      </c>
    </row>
    <row r="107" spans="1:4" ht="3" customHeight="1" x14ac:dyDescent="0.2">
      <c r="A107" s="997"/>
      <c r="B107" s="1004"/>
      <c r="C107" s="1001"/>
      <c r="D107" s="996"/>
    </row>
    <row r="108" spans="1:4" x14ac:dyDescent="0.2">
      <c r="A108" s="997"/>
      <c r="B108" s="1000"/>
      <c r="C108" s="1001">
        <v>33</v>
      </c>
      <c r="D108" s="996" t="s">
        <v>1703</v>
      </c>
    </row>
    <row r="109" spans="1:4" ht="3" customHeight="1" x14ac:dyDescent="0.2">
      <c r="A109" s="997"/>
      <c r="B109" s="1004"/>
      <c r="C109" s="1001"/>
      <c r="D109" s="996"/>
    </row>
    <row r="110" spans="1:4" x14ac:dyDescent="0.2">
      <c r="A110" s="997"/>
      <c r="B110" s="1000"/>
      <c r="C110" s="1001">
        <f>C108+1</f>
        <v>34</v>
      </c>
      <c r="D110" s="996" t="s">
        <v>1189</v>
      </c>
    </row>
    <row r="111" spans="1:4" ht="3" customHeight="1" x14ac:dyDescent="0.2">
      <c r="A111" s="997"/>
      <c r="B111" s="1004"/>
      <c r="C111" s="1001"/>
      <c r="D111" s="996"/>
    </row>
    <row r="112" spans="1:4" x14ac:dyDescent="0.2">
      <c r="A112" s="997"/>
      <c r="B112" s="1000"/>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c r="C115" s="1001">
        <f>C112+1</f>
        <v>36</v>
      </c>
      <c r="D115" s="1012" t="s">
        <v>1186</v>
      </c>
    </row>
    <row r="116" spans="1:4" ht="3" customHeight="1" x14ac:dyDescent="0.2">
      <c r="A116" s="997"/>
      <c r="B116" s="1004"/>
      <c r="C116" s="1001"/>
      <c r="D116" s="1012"/>
    </row>
    <row r="117" spans="1:4" x14ac:dyDescent="0.2">
      <c r="A117" s="997"/>
      <c r="B117" s="1000"/>
      <c r="C117" s="1001">
        <f>C115+1</f>
        <v>37</v>
      </c>
      <c r="D117" s="1012" t="s">
        <v>1704</v>
      </c>
    </row>
    <row r="118" spans="1:4" ht="3" customHeight="1" x14ac:dyDescent="0.2">
      <c r="A118" s="997"/>
      <c r="B118" s="1004"/>
      <c r="C118" s="1001"/>
      <c r="D118" s="1012"/>
    </row>
    <row r="119" spans="1:4" x14ac:dyDescent="0.2">
      <c r="A119" s="997"/>
      <c r="B119" s="1000"/>
      <c r="C119" s="1001">
        <f>C117+1</f>
        <v>38</v>
      </c>
      <c r="D119" s="1012" t="s">
        <v>1705</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c r="C123" s="1001">
        <f>C119+1</f>
        <v>39</v>
      </c>
      <c r="D123" s="1022" t="s">
        <v>1812</v>
      </c>
    </row>
    <row r="124" spans="1:4" x14ac:dyDescent="0.2">
      <c r="A124" s="997"/>
      <c r="B124" s="290"/>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90" t="str">
        <f>'Single Audit Cover'!A7</f>
        <v xml:space="preserve"> Patoka CUSD 100</v>
      </c>
      <c r="B1" s="2590"/>
      <c r="C1" s="2590"/>
      <c r="D1" s="2590"/>
      <c r="E1" s="2590"/>
    </row>
    <row r="2" spans="1:5" x14ac:dyDescent="0.2">
      <c r="A2" s="2591">
        <f>'Single Audit Cover'!E7</f>
        <v>13058100026</v>
      </c>
      <c r="B2" s="2591"/>
      <c r="C2" s="2591"/>
      <c r="D2" s="2591"/>
      <c r="E2" s="2591"/>
    </row>
    <row r="3" spans="1:5" ht="4.5" customHeight="1" x14ac:dyDescent="0.2"/>
    <row r="4" spans="1:5" x14ac:dyDescent="0.2">
      <c r="A4" s="2590" t="s">
        <v>1235</v>
      </c>
      <c r="B4" s="2590"/>
      <c r="C4" s="2590"/>
      <c r="D4" s="2590"/>
      <c r="E4" s="2590"/>
    </row>
    <row r="5" spans="1:5" x14ac:dyDescent="0.2">
      <c r="A5" s="2593" t="str">
        <f>'Single Audit Cover'!A4</f>
        <v>Year Ending June 30, 2020</v>
      </c>
      <c r="B5" s="2593"/>
      <c r="C5" s="2593"/>
      <c r="D5" s="2593"/>
      <c r="E5" s="2593"/>
    </row>
    <row r="6" spans="1:5" x14ac:dyDescent="0.2">
      <c r="A6" s="2590" t="s">
        <v>1234</v>
      </c>
      <c r="B6" s="2590"/>
      <c r="C6" s="2590"/>
      <c r="D6" s="2590"/>
      <c r="E6" s="2590"/>
    </row>
    <row r="8" spans="1:5" x14ac:dyDescent="0.2">
      <c r="A8" s="1035" t="s">
        <v>1233</v>
      </c>
    </row>
    <row r="10" spans="1:5" x14ac:dyDescent="0.2">
      <c r="A10" s="1036" t="s">
        <v>1232</v>
      </c>
      <c r="B10" s="1037" t="s">
        <v>1231</v>
      </c>
      <c r="C10" s="1037"/>
      <c r="D10" s="1038">
        <f>SUM('Acct Summary 7-8'!C7:K7)</f>
        <v>191382</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2006</v>
      </c>
      <c r="B14" s="1037"/>
      <c r="C14" s="1037"/>
      <c r="D14" s="1039">
        <f>'ICR Computation 30'!E11</f>
        <v>11894</v>
      </c>
    </row>
    <row r="15" spans="1:5" x14ac:dyDescent="0.2">
      <c r="A15" s="1036"/>
      <c r="B15" s="1037"/>
      <c r="C15" s="1037"/>
    </row>
    <row r="16" spans="1:5" x14ac:dyDescent="0.2">
      <c r="A16" s="1036" t="s">
        <v>1817</v>
      </c>
      <c r="B16" s="1037"/>
      <c r="C16" s="1037"/>
    </row>
    <row r="17" spans="1:4" x14ac:dyDescent="0.2">
      <c r="A17" s="1036" t="s">
        <v>1966</v>
      </c>
      <c r="B17" s="1037" t="s">
        <v>1226</v>
      </c>
      <c r="C17" s="1037"/>
      <c r="D17" s="1039">
        <f>-SUM('Revenues 9-14'!C264:D264,'Revenues 9-14'!F264:G264)</f>
        <v>-40730</v>
      </c>
    </row>
    <row r="19" spans="1:4" ht="13.5" thickBot="1" x14ac:dyDescent="0.25">
      <c r="A19" s="1040" t="s">
        <v>1225</v>
      </c>
      <c r="D19" s="1041">
        <f>SUM(D10:D17)</f>
        <v>162546</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92"/>
      <c r="B24" s="2592"/>
      <c r="D24" s="1043"/>
    </row>
    <row r="25" spans="1:4" x14ac:dyDescent="0.2">
      <c r="A25" s="2589"/>
      <c r="B25" s="2589"/>
      <c r="D25" s="1043"/>
    </row>
    <row r="26" spans="1:4" x14ac:dyDescent="0.2">
      <c r="A26" s="2589"/>
      <c r="B26" s="2589"/>
      <c r="D26" s="1043"/>
    </row>
    <row r="27" spans="1:4" x14ac:dyDescent="0.2">
      <c r="A27" s="2589"/>
      <c r="B27" s="2589"/>
      <c r="D27" s="1043"/>
    </row>
    <row r="28" spans="1:4" x14ac:dyDescent="0.2">
      <c r="A28" s="2589"/>
      <c r="B28" s="2589"/>
      <c r="D28" s="1043"/>
    </row>
    <row r="29" spans="1:4" x14ac:dyDescent="0.2">
      <c r="A29" s="2589"/>
      <c r="B29" s="2589"/>
      <c r="D29" s="1043"/>
    </row>
    <row r="30" spans="1:4" x14ac:dyDescent="0.2">
      <c r="A30" s="2589"/>
      <c r="B30" s="2589"/>
      <c r="D30" s="1043"/>
    </row>
    <row r="32" spans="1:4" x14ac:dyDescent="0.2">
      <c r="A32" s="1035" t="s">
        <v>1223</v>
      </c>
      <c r="D32" s="1038">
        <f>SUM(D19:D30)</f>
        <v>162546</v>
      </c>
    </row>
    <row r="33" spans="1:4" x14ac:dyDescent="0.2">
      <c r="D33" s="1044"/>
    </row>
    <row r="34" spans="1:4" x14ac:dyDescent="0.2">
      <c r="A34" s="295" t="s">
        <v>1222</v>
      </c>
    </row>
    <row r="35" spans="1:4" x14ac:dyDescent="0.2">
      <c r="A35" s="295" t="s">
        <v>1221</v>
      </c>
      <c r="B35" s="1033" t="s">
        <v>1220</v>
      </c>
      <c r="D35" s="1045"/>
    </row>
    <row r="37" spans="1:4" x14ac:dyDescent="0.2">
      <c r="A37" s="1035" t="s">
        <v>1219</v>
      </c>
    </row>
    <row r="39" spans="1:4" ht="13.35" customHeight="1" x14ac:dyDescent="0.2">
      <c r="A39" s="1042" t="s">
        <v>1218</v>
      </c>
    </row>
    <row r="40" spans="1:4" x14ac:dyDescent="0.2">
      <c r="A40" s="2589"/>
      <c r="B40" s="2589"/>
      <c r="D40" s="1043"/>
    </row>
    <row r="41" spans="1:4" x14ac:dyDescent="0.2">
      <c r="A41" s="2589"/>
      <c r="B41" s="2589"/>
      <c r="D41" s="1046"/>
    </row>
    <row r="42" spans="1:4" x14ac:dyDescent="0.2">
      <c r="A42" s="2589"/>
      <c r="B42" s="2589"/>
      <c r="D42" s="1046"/>
    </row>
    <row r="43" spans="1:4" x14ac:dyDescent="0.2">
      <c r="A43" s="2589"/>
      <c r="B43" s="2589"/>
      <c r="D43" s="1046"/>
    </row>
    <row r="44" spans="1:4" x14ac:dyDescent="0.2">
      <c r="A44" s="2589"/>
      <c r="B44" s="2589"/>
      <c r="D44" s="1046"/>
    </row>
    <row r="45" spans="1:4" x14ac:dyDescent="0.2">
      <c r="A45" s="2589"/>
      <c r="B45" s="2589"/>
      <c r="D45" s="1046"/>
    </row>
    <row r="47" spans="1:4" x14ac:dyDescent="0.2">
      <c r="B47" s="1047" t="s">
        <v>1217</v>
      </c>
      <c r="C47" s="1047"/>
      <c r="D47" s="1048">
        <f>SUM(D35:D45)</f>
        <v>0</v>
      </c>
    </row>
    <row r="49" spans="2:4" x14ac:dyDescent="0.2">
      <c r="B49" s="1047" t="s">
        <v>1216</v>
      </c>
      <c r="C49" s="1047"/>
      <c r="D49" s="1048">
        <f>D32-D47</f>
        <v>162546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Patoka CUSD 100</v>
      </c>
      <c r="C1" s="2594"/>
      <c r="D1" s="2594"/>
      <c r="E1" s="2594"/>
      <c r="F1" s="2594"/>
      <c r="G1" s="2594"/>
      <c r="H1" s="2594"/>
      <c r="I1" s="2594"/>
      <c r="J1" s="2594"/>
      <c r="K1" s="2594"/>
      <c r="L1" s="2594"/>
      <c r="M1" s="2594"/>
    </row>
    <row r="2" spans="2:14" ht="15" x14ac:dyDescent="0.2">
      <c r="B2" s="2595">
        <f>'Single Audit Cover'!E7</f>
        <v>13058100026</v>
      </c>
      <c r="C2" s="2595"/>
      <c r="D2" s="2595"/>
      <c r="E2" s="2595"/>
      <c r="F2" s="2595"/>
      <c r="G2" s="2595"/>
      <c r="H2" s="2595"/>
      <c r="I2" s="2595"/>
      <c r="J2" s="2595"/>
      <c r="K2" s="2595"/>
      <c r="L2" s="2595"/>
      <c r="M2" s="2595"/>
      <c r="N2" s="1077"/>
    </row>
    <row r="3" spans="2:14" ht="15" x14ac:dyDescent="0.2">
      <c r="B3" s="2596" t="s">
        <v>1209</v>
      </c>
      <c r="C3" s="2596"/>
      <c r="D3" s="2596"/>
      <c r="E3" s="2596"/>
      <c r="F3" s="2596"/>
      <c r="G3" s="2596"/>
      <c r="H3" s="2596"/>
      <c r="I3" s="2596"/>
      <c r="J3" s="2596"/>
      <c r="K3" s="2596"/>
      <c r="L3" s="2596"/>
      <c r="M3" s="2596"/>
      <c r="N3" s="1077"/>
    </row>
    <row r="4" spans="2:14" ht="15" x14ac:dyDescent="0.2">
      <c r="B4" s="2597" t="str">
        <f>'Single Audit Cover'!A4</f>
        <v>Year Ending June 30, 2020</v>
      </c>
      <c r="C4" s="2597"/>
      <c r="D4" s="2597"/>
      <c r="E4" s="2597"/>
      <c r="F4" s="2597"/>
      <c r="G4" s="2597"/>
      <c r="H4" s="2597"/>
      <c r="I4" s="2597"/>
      <c r="J4" s="2597"/>
      <c r="K4" s="2597"/>
      <c r="L4" s="2597"/>
      <c r="M4" s="2597"/>
      <c r="N4" s="1077"/>
    </row>
    <row r="5" spans="2:14" x14ac:dyDescent="0.2">
      <c r="H5" s="1914"/>
      <c r="J5" s="1914"/>
    </row>
    <row r="6" spans="2:14" x14ac:dyDescent="0.2">
      <c r="B6" s="1078"/>
      <c r="C6" s="1079"/>
      <c r="D6" s="1080" t="s">
        <v>1255</v>
      </c>
      <c r="E6" s="1081" t="s">
        <v>523</v>
      </c>
      <c r="F6" s="1082"/>
      <c r="G6" s="1083" t="s">
        <v>1713</v>
      </c>
      <c r="H6" s="1081"/>
      <c r="I6" s="1081"/>
      <c r="J6" s="1915"/>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1714</v>
      </c>
      <c r="D9" s="1089" t="s">
        <v>1715</v>
      </c>
      <c r="E9" s="1913" t="str">
        <f>"7/1/"&amp;MID('AFR20'!$E$2,3,2)-2&amp;"-6/30/"&amp;MID('AFR20'!$E$2,3,2)-1</f>
        <v>7/1/18-6/30/19</v>
      </c>
      <c r="F9" s="1913" t="str">
        <f>"7/1/"&amp;MID('AFR20'!$E$2,3,2)-1&amp;"-6/30/"&amp;MID('AFR20'!$E$2,3,2)</f>
        <v>7/1/19-6/30/20</v>
      </c>
      <c r="G9" s="1913" t="str">
        <f>"7/1/"&amp;MID('AFR20'!$E$2,3,2)-2&amp;"-6/30/"&amp;MID('AFR20'!$E$2,3,2)-1</f>
        <v>7/1/18-6/30/19</v>
      </c>
      <c r="H9" s="1092" t="s">
        <v>1567</v>
      </c>
      <c r="I9" s="1913"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1160</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1716</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1814</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1236</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1717</v>
      </c>
      <c r="C37" s="1134"/>
      <c r="D37" s="1134"/>
      <c r="E37" s="1134"/>
      <c r="F37" s="1134"/>
      <c r="G37" s="1134"/>
      <c r="H37" s="1134"/>
      <c r="I37" s="1135"/>
      <c r="J37" s="1135"/>
      <c r="K37" s="1135"/>
      <c r="L37" s="1135"/>
      <c r="M37" s="1135"/>
    </row>
    <row r="38" spans="2:13" ht="11.25" customHeight="1" x14ac:dyDescent="0.2">
      <c r="B38" s="1136" t="s">
        <v>1569</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1718</v>
      </c>
      <c r="C40" s="1135"/>
      <c r="D40" s="1135"/>
      <c r="E40" s="1135"/>
      <c r="F40" s="1135"/>
      <c r="G40" s="1135"/>
      <c r="H40" s="1135"/>
      <c r="I40" s="1135"/>
      <c r="J40" s="1135"/>
      <c r="K40" s="1135"/>
      <c r="L40" s="1135"/>
      <c r="M40" s="1135"/>
    </row>
    <row r="41" spans="2:13" ht="11.25" customHeight="1" x14ac:dyDescent="0.2">
      <c r="B41" s="1075" t="s">
        <v>1570</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1719</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1720</v>
      </c>
      <c r="C45" s="1137"/>
      <c r="D45" s="1138"/>
      <c r="E45" s="1075"/>
      <c r="F45" s="1075"/>
      <c r="G45" s="1075"/>
      <c r="H45" s="1075"/>
      <c r="I45" s="1075"/>
      <c r="J45" s="1075"/>
      <c r="K45" s="1139"/>
      <c r="L45" s="1139"/>
      <c r="M45" s="1075"/>
    </row>
    <row r="46" spans="2:13" ht="11.25" customHeight="1" x14ac:dyDescent="0.2">
      <c r="B46" s="1075" t="s">
        <v>1571</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9" t="str">
        <f>'Single Audit Cover'!A7</f>
        <v xml:space="preserve"> Patoka CUSD 100</v>
      </c>
      <c r="B1" s="2599"/>
      <c r="C1" s="2599"/>
      <c r="D1" s="2599"/>
      <c r="E1" s="2599"/>
      <c r="F1" s="2599"/>
    </row>
    <row r="2" spans="1:7" ht="13.5" customHeight="1" x14ac:dyDescent="0.2">
      <c r="A2" s="2595">
        <f>'Single Audit Cover'!E7</f>
        <v>13058100026</v>
      </c>
      <c r="B2" s="2595"/>
      <c r="C2" s="2595"/>
      <c r="D2" s="2595"/>
      <c r="E2" s="2595"/>
      <c r="F2" s="2595"/>
      <c r="G2" s="1050"/>
    </row>
    <row r="3" spans="1:7" ht="15.75" customHeight="1" x14ac:dyDescent="0.2">
      <c r="A3" s="2600" t="s">
        <v>1261</v>
      </c>
      <c r="B3" s="2600"/>
      <c r="C3" s="2600"/>
      <c r="D3" s="2600"/>
      <c r="E3" s="2600"/>
      <c r="F3" s="2600"/>
    </row>
    <row r="4" spans="1:7" ht="13.5" customHeight="1" x14ac:dyDescent="0.2">
      <c r="A4" s="2601" t="str">
        <f>'Single Audit Cover'!A4</f>
        <v>Year Ending June 30, 2020</v>
      </c>
      <c r="B4" s="2601"/>
      <c r="C4" s="2601"/>
      <c r="D4" s="2601"/>
      <c r="E4" s="2601"/>
      <c r="F4" s="2601"/>
    </row>
    <row r="5" spans="1:7" ht="8.25" customHeight="1" x14ac:dyDescent="0.2">
      <c r="C5" s="295"/>
      <c r="D5" s="295"/>
    </row>
    <row r="6" spans="1:7" ht="13.5" customHeight="1" x14ac:dyDescent="0.2">
      <c r="A6" s="1051" t="s">
        <v>1707</v>
      </c>
      <c r="C6" s="295"/>
      <c r="D6" s="295"/>
    </row>
    <row r="7" spans="1:7" ht="60.95" customHeight="1" x14ac:dyDescent="0.2">
      <c r="A7" s="2598" t="s">
        <v>1708</v>
      </c>
      <c r="B7" s="2598"/>
      <c r="C7" s="2598"/>
      <c r="D7" s="2598"/>
      <c r="E7" s="2598"/>
      <c r="F7" s="2598"/>
    </row>
    <row r="8" spans="1:7" ht="12" customHeight="1" x14ac:dyDescent="0.2">
      <c r="A8" s="1051"/>
      <c r="B8" s="1057"/>
      <c r="C8" s="1057"/>
      <c r="D8" s="1057"/>
    </row>
    <row r="9" spans="1:7" ht="15" customHeight="1" x14ac:dyDescent="0.2">
      <c r="A9" s="1052" t="s">
        <v>1709</v>
      </c>
      <c r="B9" s="1055"/>
      <c r="C9" s="1055"/>
      <c r="D9" s="1055"/>
      <c r="E9" s="1053"/>
      <c r="F9" s="1053"/>
      <c r="G9" s="1053"/>
    </row>
    <row r="10" spans="1:7" ht="15" customHeight="1" x14ac:dyDescent="0.2">
      <c r="A10" s="1054" t="s">
        <v>1532</v>
      </c>
      <c r="B10" s="1055"/>
      <c r="C10" s="1056"/>
      <c r="D10" s="1055" t="s">
        <v>1533</v>
      </c>
      <c r="E10" s="1056"/>
      <c r="F10" s="1055" t="s">
        <v>99</v>
      </c>
      <c r="G10" s="1053"/>
    </row>
    <row r="11" spans="1:7" ht="12" customHeight="1" x14ac:dyDescent="0.2">
      <c r="A11" s="1054"/>
      <c r="B11" s="1055"/>
      <c r="C11" s="1524"/>
      <c r="D11" s="1055"/>
      <c r="E11" s="1524"/>
      <c r="F11" s="1055"/>
      <c r="G11" s="1053"/>
    </row>
    <row r="12" spans="1:7" x14ac:dyDescent="0.2">
      <c r="A12" s="1051" t="s">
        <v>1572</v>
      </c>
      <c r="C12" s="1035"/>
      <c r="D12" s="1035"/>
    </row>
    <row r="13" spans="1:7" ht="15" customHeight="1" x14ac:dyDescent="0.2">
      <c r="A13" s="2598" t="s">
        <v>1710</v>
      </c>
      <c r="B13" s="2598"/>
      <c r="C13" s="2598"/>
      <c r="D13" s="2598"/>
      <c r="E13" s="2598"/>
      <c r="F13" s="2598"/>
    </row>
    <row r="14" spans="1:7" ht="9.75" customHeight="1" x14ac:dyDescent="0.2">
      <c r="C14" s="1035"/>
      <c r="D14" s="1035"/>
    </row>
    <row r="15" spans="1:7" ht="13.5" customHeight="1" x14ac:dyDescent="0.2">
      <c r="C15" s="1475" t="s">
        <v>1260</v>
      </c>
      <c r="D15" s="2603" t="s">
        <v>1259</v>
      </c>
      <c r="E15" s="2603"/>
      <c r="F15" s="2603"/>
    </row>
    <row r="16" spans="1:7" ht="13.5" customHeight="1" x14ac:dyDescent="0.2">
      <c r="A16" s="1057"/>
      <c r="B16" s="1051" t="s">
        <v>1258</v>
      </c>
      <c r="C16" s="1475" t="s">
        <v>1257</v>
      </c>
      <c r="D16" s="2604" t="s">
        <v>1573</v>
      </c>
      <c r="E16" s="2604"/>
      <c r="F16" s="2604"/>
    </row>
    <row r="17" spans="1:6" ht="20.45" customHeight="1" x14ac:dyDescent="0.2">
      <c r="A17" s="1058"/>
      <c r="B17" s="1059"/>
      <c r="C17" s="1060"/>
      <c r="D17" s="2602"/>
      <c r="E17" s="2602"/>
      <c r="F17" s="2602"/>
    </row>
    <row r="18" spans="1:6" ht="20.65" customHeight="1" x14ac:dyDescent="0.2">
      <c r="A18" s="1058"/>
      <c r="B18" s="1059"/>
      <c r="C18" s="1060"/>
      <c r="D18" s="2602"/>
      <c r="E18" s="2602"/>
      <c r="F18" s="2602"/>
    </row>
    <row r="19" spans="1:6" ht="20.65" customHeight="1" x14ac:dyDescent="0.2">
      <c r="A19" s="1058"/>
      <c r="B19" s="1059"/>
      <c r="C19" s="1060"/>
      <c r="D19" s="2602"/>
      <c r="E19" s="2602"/>
      <c r="F19" s="2602"/>
    </row>
    <row r="20" spans="1:6" ht="20.65" customHeight="1" x14ac:dyDescent="0.2">
      <c r="A20" s="1058"/>
      <c r="B20" s="1059"/>
      <c r="C20" s="1060"/>
      <c r="D20" s="2602"/>
      <c r="E20" s="2602"/>
      <c r="F20" s="2602"/>
    </row>
    <row r="21" spans="1:6" ht="20.65" customHeight="1" x14ac:dyDescent="0.2">
      <c r="A21" s="1058"/>
      <c r="B21" s="1059"/>
      <c r="C21" s="1060"/>
      <c r="D21" s="2602"/>
      <c r="E21" s="2602"/>
      <c r="F21" s="2602"/>
    </row>
    <row r="22" spans="1:6" ht="20.65" customHeight="1" x14ac:dyDescent="0.2">
      <c r="A22" s="1058"/>
      <c r="B22" s="1059"/>
      <c r="C22" s="1060"/>
      <c r="D22" s="2602"/>
      <c r="E22" s="2602"/>
      <c r="F22" s="2602"/>
    </row>
    <row r="23" spans="1:6" ht="20.65" customHeight="1" x14ac:dyDescent="0.2">
      <c r="A23" s="1058"/>
      <c r="B23" s="1059"/>
      <c r="C23" s="1060"/>
      <c r="D23" s="2602"/>
      <c r="E23" s="2602"/>
      <c r="F23" s="2602"/>
    </row>
    <row r="24" spans="1:6" ht="20.65" customHeight="1" x14ac:dyDescent="0.2">
      <c r="A24" s="1058"/>
      <c r="B24" s="1059"/>
      <c r="C24" s="1060"/>
      <c r="D24" s="2602"/>
      <c r="E24" s="2602"/>
      <c r="F24" s="2602"/>
    </row>
    <row r="25" spans="1:6" ht="20.65" customHeight="1" x14ac:dyDescent="0.2">
      <c r="A25" s="1058"/>
      <c r="B25" s="1059"/>
      <c r="C25" s="1060"/>
      <c r="D25" s="2602"/>
      <c r="E25" s="2602"/>
      <c r="F25" s="2602"/>
    </row>
    <row r="26" spans="1:6" ht="20.65" customHeight="1" x14ac:dyDescent="0.2">
      <c r="A26" s="1058"/>
      <c r="B26" s="1059"/>
      <c r="C26" s="1060"/>
      <c r="D26" s="2602"/>
      <c r="E26" s="2602"/>
      <c r="F26" s="2602"/>
    </row>
    <row r="27" spans="1:6" ht="20.65" customHeight="1" x14ac:dyDescent="0.2">
      <c r="A27" s="1058"/>
      <c r="B27" s="1059"/>
      <c r="C27" s="1060"/>
      <c r="D27" s="2602"/>
      <c r="E27" s="2602"/>
      <c r="F27" s="2602"/>
    </row>
    <row r="28" spans="1:6" ht="20.65" customHeight="1" x14ac:dyDescent="0.2">
      <c r="A28" s="1058"/>
      <c r="B28" s="1059"/>
      <c r="C28" s="1060"/>
      <c r="D28" s="2602"/>
      <c r="E28" s="2602"/>
      <c r="F28" s="2602"/>
    </row>
    <row r="29" spans="1:6" ht="20.65" customHeight="1" x14ac:dyDescent="0.2">
      <c r="A29" s="1058"/>
      <c r="B29" s="1059"/>
      <c r="C29" s="1060"/>
      <c r="D29" s="2602"/>
      <c r="E29" s="2602"/>
      <c r="F29" s="2602"/>
    </row>
    <row r="30" spans="1:6" ht="12" customHeight="1" x14ac:dyDescent="0.2">
      <c r="A30" s="306"/>
      <c r="B30" s="306"/>
      <c r="C30" s="1232"/>
      <c r="D30" s="1525"/>
      <c r="E30" s="1061"/>
    </row>
    <row r="31" spans="1:6" ht="12" customHeight="1" x14ac:dyDescent="0.2">
      <c r="A31" s="1062" t="s">
        <v>1534</v>
      </c>
      <c r="B31" s="306"/>
      <c r="C31" s="1232"/>
      <c r="D31" s="1525"/>
      <c r="E31" s="1061"/>
    </row>
    <row r="32" spans="1:6" ht="30" customHeight="1" x14ac:dyDescent="0.2">
      <c r="A32" s="2606" t="s">
        <v>1711</v>
      </c>
      <c r="B32" s="2606"/>
      <c r="C32" s="2606"/>
      <c r="D32" s="2606"/>
      <c r="E32" s="2606"/>
      <c r="F32" s="2606"/>
    </row>
    <row r="33" spans="1:6" ht="13.5" customHeight="1" x14ac:dyDescent="0.2">
      <c r="A33" s="306" t="s">
        <v>1419</v>
      </c>
      <c r="B33" s="306"/>
      <c r="C33" s="1063">
        <v>0</v>
      </c>
      <c r="D33" s="1525"/>
      <c r="E33" s="1061"/>
    </row>
    <row r="34" spans="1:6" ht="13.5" customHeight="1" x14ac:dyDescent="0.2">
      <c r="A34" s="306" t="s">
        <v>1813</v>
      </c>
      <c r="B34" s="306"/>
      <c r="C34" s="1064">
        <v>0</v>
      </c>
      <c r="D34" s="1525" t="s">
        <v>1574</v>
      </c>
      <c r="E34" s="2607">
        <f>+C33+C34</f>
        <v>0</v>
      </c>
      <c r="F34" s="2608"/>
    </row>
    <row r="35" spans="1:6" ht="12" customHeight="1" x14ac:dyDescent="0.2">
      <c r="A35" s="306"/>
      <c r="B35" s="306"/>
      <c r="C35" s="1526"/>
      <c r="D35" s="1525"/>
      <c r="E35" s="1065"/>
      <c r="F35" s="1066"/>
    </row>
    <row r="36" spans="1:6" ht="13.5" customHeight="1" x14ac:dyDescent="0.2">
      <c r="A36" s="1062" t="s">
        <v>1535</v>
      </c>
      <c r="B36" s="306"/>
      <c r="C36" s="1232"/>
      <c r="D36" s="1525"/>
      <c r="E36" s="1061"/>
    </row>
    <row r="37" spans="1:6" ht="14.25" customHeight="1" x14ac:dyDescent="0.2">
      <c r="A37" s="306" t="s">
        <v>1469</v>
      </c>
      <c r="B37" s="306"/>
      <c r="C37" s="1527"/>
      <c r="D37" s="1525"/>
      <c r="E37" s="1061"/>
    </row>
    <row r="38" spans="1:6" ht="14.25" customHeight="1" x14ac:dyDescent="0.2">
      <c r="A38" s="306"/>
      <c r="B38" s="306" t="s">
        <v>1420</v>
      </c>
      <c r="C38" s="1067"/>
      <c r="D38" s="1525"/>
      <c r="E38" s="1061"/>
    </row>
    <row r="39" spans="1:6" ht="14.25" customHeight="1" x14ac:dyDescent="0.2">
      <c r="A39" s="306"/>
      <c r="B39" s="306" t="s">
        <v>1421</v>
      </c>
      <c r="C39" s="1067"/>
      <c r="D39" s="1525"/>
      <c r="E39" s="1061"/>
    </row>
    <row r="40" spans="1:6" ht="14.25" customHeight="1" x14ac:dyDescent="0.2">
      <c r="A40" s="306"/>
      <c r="B40" s="306" t="s">
        <v>1422</v>
      </c>
      <c r="C40" s="1067"/>
      <c r="D40" s="1525"/>
      <c r="E40" s="1061"/>
    </row>
    <row r="41" spans="1:6" ht="14.25" customHeight="1" x14ac:dyDescent="0.2">
      <c r="A41" s="306"/>
      <c r="B41" s="306" t="s">
        <v>1423</v>
      </c>
      <c r="C41" s="1067"/>
      <c r="D41" s="1525"/>
      <c r="E41" s="1061"/>
    </row>
    <row r="42" spans="1:6" ht="14.25" customHeight="1" x14ac:dyDescent="0.2">
      <c r="A42" s="306" t="s">
        <v>1424</v>
      </c>
      <c r="B42" s="306"/>
      <c r="C42" s="1523"/>
      <c r="D42" s="1525"/>
      <c r="E42" s="1061"/>
    </row>
    <row r="43" spans="1:6" ht="14.25" customHeight="1" x14ac:dyDescent="0.2">
      <c r="A43" s="306" t="s">
        <v>1425</v>
      </c>
      <c r="B43" s="306"/>
      <c r="C43" s="1068"/>
      <c r="D43" s="1525"/>
      <c r="E43" s="1061"/>
    </row>
    <row r="44" spans="1:6" ht="14.25" customHeight="1" x14ac:dyDescent="0.2">
      <c r="A44" s="306"/>
      <c r="B44" s="306"/>
      <c r="C44" s="1527" t="s">
        <v>1426</v>
      </c>
      <c r="D44" s="1525"/>
      <c r="E44" s="1061"/>
    </row>
    <row r="45" spans="1:6" ht="13.5" customHeight="1" x14ac:dyDescent="0.2">
      <c r="B45" s="300"/>
      <c r="C45" s="1069"/>
      <c r="D45" s="1069"/>
    </row>
    <row r="46" spans="1:6" x14ac:dyDescent="0.2">
      <c r="A46" s="1070" t="s">
        <v>1712</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09" t="s">
        <v>1575</v>
      </c>
      <c r="C49" s="2609"/>
      <c r="D49" s="2609"/>
      <c r="E49" s="1167"/>
    </row>
    <row r="50" spans="1:5" s="1075" customFormat="1" ht="3.75" customHeight="1" x14ac:dyDescent="0.2">
      <c r="A50" s="1074"/>
      <c r="B50" s="1474"/>
      <c r="C50" s="1474"/>
      <c r="D50" s="1474"/>
      <c r="E50" s="1167"/>
    </row>
    <row r="51" spans="1:5" s="1075" customFormat="1" ht="20.25" customHeight="1" x14ac:dyDescent="0.2">
      <c r="A51" s="1076">
        <v>6</v>
      </c>
      <c r="B51" s="2605" t="s">
        <v>1536</v>
      </c>
      <c r="C51" s="2605"/>
      <c r="D51" s="2605"/>
    </row>
    <row r="52" spans="1:5" ht="14.25" customHeight="1" x14ac:dyDescent="0.2">
      <c r="A52" s="1076"/>
      <c r="B52" s="2605"/>
      <c r="C52" s="2605"/>
      <c r="D52" s="260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9"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1159</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89" t="s">
        <v>1618</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9" t="s">
        <v>309</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1313</v>
      </c>
      <c r="B70" s="2192"/>
      <c r="C70" s="2192"/>
      <c r="D70" s="2192"/>
      <c r="E70" s="2193"/>
      <c r="F70" s="2193"/>
      <c r="G70" s="2193"/>
      <c r="H70" s="2193"/>
      <c r="I70" s="219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1310</v>
      </c>
      <c r="B83" s="2194"/>
      <c r="C83" s="2194"/>
      <c r="D83" s="219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05" t="s">
        <v>1991</v>
      </c>
      <c r="B85" s="2205"/>
      <c r="C85" s="2205"/>
      <c r="D85" s="2206"/>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07" t="s">
        <v>1991</v>
      </c>
      <c r="B88" s="2208"/>
      <c r="C88" s="2208"/>
      <c r="D88" s="2209"/>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2020</v>
      </c>
      <c r="D114" s="218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1320</v>
      </c>
      <c r="D117" s="2187"/>
      <c r="E117" s="2188"/>
      <c r="F117" s="2188"/>
      <c r="G117" s="2188"/>
      <c r="H117" s="218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47"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4" t="str">
        <f>'Single Audit Cover'!A7</f>
        <v xml:space="preserve"> Patoka CUSD 100</v>
      </c>
      <c r="C1" s="2615"/>
      <c r="D1" s="2615"/>
      <c r="E1" s="2615"/>
      <c r="F1" s="2615"/>
      <c r="G1" s="2615"/>
      <c r="H1" s="2615"/>
      <c r="I1" s="2615"/>
      <c r="J1" s="1177"/>
    </row>
    <row r="2" spans="2:10" s="295" customFormat="1" ht="12.75" customHeight="1" x14ac:dyDescent="0.2">
      <c r="B2" s="2616">
        <f>'Single Audit Cover'!E7</f>
        <v>13058100026</v>
      </c>
      <c r="C2" s="2617"/>
      <c r="D2" s="2617"/>
      <c r="E2" s="2617"/>
      <c r="F2" s="2617"/>
      <c r="G2" s="2617"/>
      <c r="H2" s="2617"/>
      <c r="I2" s="2617"/>
      <c r="J2" s="1177"/>
    </row>
    <row r="3" spans="2:10" s="295" customFormat="1" ht="12.75" customHeight="1" x14ac:dyDescent="0.2">
      <c r="B3" s="2618" t="s">
        <v>1275</v>
      </c>
      <c r="C3" s="2619"/>
      <c r="D3" s="2619"/>
      <c r="E3" s="2619"/>
      <c r="F3" s="2619"/>
      <c r="G3" s="2619"/>
      <c r="H3" s="2619"/>
      <c r="I3" s="2619"/>
      <c r="J3" s="1178"/>
    </row>
    <row r="4" spans="2:10" s="295" customFormat="1" ht="12.75" customHeight="1" x14ac:dyDescent="0.2">
      <c r="B4" s="2618" t="str">
        <f>'Single Audit Cover'!A4</f>
        <v>Year Ending June 30, 2020</v>
      </c>
      <c r="C4" s="2619"/>
      <c r="D4" s="2619"/>
      <c r="E4" s="2619"/>
      <c r="F4" s="2619"/>
      <c r="G4" s="2619"/>
      <c r="H4" s="2619"/>
      <c r="I4" s="2619"/>
    </row>
    <row r="5" spans="2:10" s="295" customFormat="1" ht="6.2" customHeight="1" x14ac:dyDescent="0.2">
      <c r="B5" s="1179" t="s">
        <v>1160</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8" t="s">
        <v>1274</v>
      </c>
      <c r="C7" s="2619"/>
      <c r="D7" s="2619"/>
      <c r="E7" s="2619"/>
      <c r="F7" s="2619"/>
      <c r="G7" s="2619"/>
      <c r="H7" s="2619"/>
      <c r="I7" s="2619"/>
    </row>
    <row r="8" spans="2:10" s="295" customFormat="1" ht="6.2" customHeight="1" x14ac:dyDescent="0.2">
      <c r="B8" s="1181" t="s">
        <v>1160</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1273</v>
      </c>
      <c r="C10" s="1186"/>
      <c r="D10" s="1186"/>
      <c r="E10" s="1033"/>
    </row>
    <row r="11" spans="2:10" s="295" customFormat="1" ht="13.5" customHeight="1" x14ac:dyDescent="0.2">
      <c r="B11" s="1118" t="s">
        <v>1272</v>
      </c>
      <c r="C11" s="2620"/>
      <c r="D11" s="2620"/>
      <c r="E11" s="1187"/>
      <c r="F11" s="1187"/>
      <c r="G11" s="1187"/>
    </row>
    <row r="12" spans="2:10" s="295" customFormat="1" ht="11.45" customHeight="1" x14ac:dyDescent="0.2">
      <c r="B12" s="1126"/>
      <c r="C12" s="1188" t="s">
        <v>1427</v>
      </c>
      <c r="D12" s="1189"/>
      <c r="E12" s="1033"/>
    </row>
    <row r="13" spans="2:10" s="295" customFormat="1" ht="12.75" customHeight="1" x14ac:dyDescent="0.2">
      <c r="B13" s="1190"/>
      <c r="C13" s="1155"/>
      <c r="D13" s="1155"/>
      <c r="E13" s="1033"/>
    </row>
    <row r="14" spans="2:10" s="295" customFormat="1" ht="12.75" customHeight="1" x14ac:dyDescent="0.2">
      <c r="B14" s="1137" t="s">
        <v>1271</v>
      </c>
      <c r="C14" s="1057"/>
      <c r="E14" s="1033"/>
    </row>
    <row r="15" spans="2:10" s="295" customFormat="1" ht="13.5" customHeight="1" x14ac:dyDescent="0.2">
      <c r="B15" s="1191" t="s">
        <v>1268</v>
      </c>
      <c r="C15" s="1192"/>
      <c r="D15" s="1166"/>
      <c r="E15" s="1193"/>
      <c r="F15" s="1075" t="s">
        <v>878</v>
      </c>
      <c r="G15" s="1193"/>
      <c r="H15" s="1075" t="s">
        <v>1266</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1267</v>
      </c>
      <c r="C17" s="1192"/>
      <c r="D17" s="1166"/>
      <c r="E17" s="1194"/>
      <c r="F17" s="1032"/>
      <c r="G17" s="1194"/>
      <c r="H17" s="1075"/>
      <c r="I17" s="1075"/>
    </row>
    <row r="18" spans="2:9" s="295" customFormat="1" ht="12.75" customHeight="1" x14ac:dyDescent="0.2">
      <c r="B18" s="1191" t="s">
        <v>1428</v>
      </c>
      <c r="C18" s="1192"/>
      <c r="D18" s="1166"/>
      <c r="E18" s="1193"/>
      <c r="F18" s="1075" t="s">
        <v>878</v>
      </c>
      <c r="G18" s="1193"/>
      <c r="H18" s="1075" t="s">
        <v>1266</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1576</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1270</v>
      </c>
      <c r="C22" s="1195"/>
      <c r="D22" s="1186"/>
      <c r="E22" s="1152"/>
      <c r="F22" s="1075"/>
      <c r="G22" s="300"/>
      <c r="H22" s="1075"/>
      <c r="I22" s="1075"/>
    </row>
    <row r="23" spans="2:9" s="295" customFormat="1" ht="12.75" customHeight="1" x14ac:dyDescent="0.2">
      <c r="B23" s="1137" t="s">
        <v>1269</v>
      </c>
      <c r="C23" s="1057"/>
      <c r="E23" s="1152"/>
      <c r="F23" s="1075"/>
      <c r="G23" s="300"/>
      <c r="H23" s="1075"/>
      <c r="I23" s="1075"/>
    </row>
    <row r="24" spans="2:9" s="295" customFormat="1" ht="13.5" customHeight="1" x14ac:dyDescent="0.2">
      <c r="B24" s="1191" t="s">
        <v>1268</v>
      </c>
      <c r="C24" s="1192"/>
      <c r="D24" s="1166"/>
      <c r="E24" s="1193"/>
      <c r="F24" s="1075" t="s">
        <v>878</v>
      </c>
      <c r="G24" s="1193"/>
      <c r="H24" s="1075" t="s">
        <v>1266</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1267</v>
      </c>
      <c r="C26" s="1192"/>
      <c r="D26" s="1166"/>
      <c r="E26" s="1194"/>
      <c r="F26" s="1032"/>
      <c r="G26" s="1194"/>
      <c r="H26" s="1075"/>
      <c r="I26" s="1075"/>
    </row>
    <row r="27" spans="2:9" s="295" customFormat="1" ht="12.75" customHeight="1" x14ac:dyDescent="0.2">
      <c r="B27" s="1191" t="s">
        <v>1428</v>
      </c>
      <c r="C27" s="1192"/>
      <c r="D27" s="1166"/>
      <c r="E27" s="1193"/>
      <c r="F27" s="1075" t="s">
        <v>878</v>
      </c>
      <c r="G27" s="1193"/>
      <c r="H27" s="1075" t="s">
        <v>1266</v>
      </c>
      <c r="I27" s="1075"/>
    </row>
    <row r="28" spans="2:9" s="295" customFormat="1" ht="12.75" customHeight="1" x14ac:dyDescent="0.2">
      <c r="B28" s="1137"/>
      <c r="C28" s="1057"/>
      <c r="E28" s="1033"/>
    </row>
    <row r="29" spans="2:9" s="295" customFormat="1" ht="12.75" customHeight="1" x14ac:dyDescent="0.2">
      <c r="B29" s="1137" t="s">
        <v>1265</v>
      </c>
      <c r="C29" s="1057"/>
      <c r="D29" s="2621"/>
      <c r="E29" s="2621"/>
      <c r="F29" s="2621"/>
      <c r="G29" s="2621"/>
      <c r="H29" s="2621"/>
      <c r="I29" s="2621"/>
    </row>
    <row r="30" spans="2:9" s="295" customFormat="1" x14ac:dyDescent="0.2">
      <c r="B30" s="1137"/>
      <c r="C30" s="300"/>
      <c r="D30" s="1188" t="s">
        <v>1727</v>
      </c>
      <c r="E30" s="1189"/>
      <c r="F30" s="1189"/>
      <c r="G30" s="1189"/>
      <c r="H30" s="1189"/>
      <c r="I30" s="1189"/>
    </row>
    <row r="31" spans="2:9" s="295" customFormat="1" ht="9.9499999999999993" customHeight="1" x14ac:dyDescent="0.2">
      <c r="B31" s="1137"/>
      <c r="E31" s="1033"/>
    </row>
    <row r="32" spans="2:9" s="295" customFormat="1" x14ac:dyDescent="0.2">
      <c r="B32" s="1137" t="s">
        <v>1264</v>
      </c>
      <c r="C32" s="1057"/>
      <c r="E32" s="1033"/>
    </row>
    <row r="33" spans="2:9" ht="13.5" customHeight="1" x14ac:dyDescent="0.2">
      <c r="B33" s="1137" t="s">
        <v>1537</v>
      </c>
      <c r="C33" s="1057"/>
      <c r="E33" s="1193"/>
      <c r="F33" s="1075" t="s">
        <v>878</v>
      </c>
      <c r="G33" s="1193"/>
      <c r="H33" s="1075" t="s">
        <v>99</v>
      </c>
    </row>
    <row r="35" spans="2:9" x14ac:dyDescent="0.2">
      <c r="B35" s="1196" t="s">
        <v>1728</v>
      </c>
      <c r="C35" s="1197"/>
      <c r="D35" s="1042"/>
    </row>
    <row r="36" spans="2:9" ht="6" customHeight="1" x14ac:dyDescent="0.2">
      <c r="B36" s="1196"/>
      <c r="C36" s="1197"/>
      <c r="D36" s="1042"/>
    </row>
    <row r="37" spans="2:9" ht="17.25" customHeight="1" x14ac:dyDescent="0.2">
      <c r="B37" s="1198" t="s">
        <v>1729</v>
      </c>
      <c r="C37" s="2622" t="s">
        <v>1730</v>
      </c>
      <c r="D37" s="2623"/>
      <c r="E37" s="2623"/>
      <c r="F37" s="2624"/>
      <c r="G37" s="2622" t="s">
        <v>1577</v>
      </c>
      <c r="H37" s="2623"/>
      <c r="I37" s="2624"/>
    </row>
    <row r="38" spans="2:9" ht="16.5" customHeight="1" x14ac:dyDescent="0.2">
      <c r="B38" s="1199"/>
      <c r="C38" s="2610"/>
      <c r="D38" s="2611"/>
      <c r="E38" s="2611"/>
      <c r="F38" s="2612"/>
      <c r="G38" s="2625"/>
      <c r="H38" s="2626"/>
      <c r="I38" s="2627"/>
    </row>
    <row r="39" spans="2:9" ht="16.5" customHeight="1" x14ac:dyDescent="0.2">
      <c r="B39" s="1199"/>
      <c r="C39" s="2610"/>
      <c r="D39" s="2611"/>
      <c r="E39" s="2611"/>
      <c r="F39" s="2612"/>
      <c r="G39" s="2613"/>
      <c r="H39" s="2613"/>
      <c r="I39" s="2613"/>
    </row>
    <row r="40" spans="2:9" ht="16.5" customHeight="1" x14ac:dyDescent="0.2">
      <c r="B40" s="1199"/>
      <c r="C40" s="2610"/>
      <c r="D40" s="2611"/>
      <c r="E40" s="2611"/>
      <c r="F40" s="2612"/>
      <c r="G40" s="2613"/>
      <c r="H40" s="2613"/>
      <c r="I40" s="2613"/>
    </row>
    <row r="41" spans="2:9" ht="16.5" customHeight="1" x14ac:dyDescent="0.2">
      <c r="B41" s="1199"/>
      <c r="C41" s="2610"/>
      <c r="D41" s="2611"/>
      <c r="E41" s="2611"/>
      <c r="F41" s="2612"/>
      <c r="G41" s="2613"/>
      <c r="H41" s="2613"/>
      <c r="I41" s="2613"/>
    </row>
    <row r="42" spans="2:9" ht="16.5" customHeight="1" x14ac:dyDescent="0.2">
      <c r="B42" s="1199"/>
      <c r="C42" s="2610"/>
      <c r="D42" s="2611"/>
      <c r="E42" s="2611"/>
      <c r="F42" s="2612"/>
      <c r="G42" s="2613"/>
      <c r="H42" s="2613"/>
      <c r="I42" s="2613"/>
    </row>
    <row r="43" spans="2:9" ht="16.5" customHeight="1" x14ac:dyDescent="0.2">
      <c r="B43" s="1199"/>
      <c r="C43" s="2628" t="s">
        <v>1578</v>
      </c>
      <c r="D43" s="2629"/>
      <c r="E43" s="2629"/>
      <c r="F43" s="2630"/>
      <c r="G43" s="2631">
        <f>SUM(G38:I42)</f>
        <v>0</v>
      </c>
      <c r="H43" s="2631"/>
      <c r="I43" s="2631"/>
    </row>
    <row r="44" spans="2:9" ht="12.75" customHeight="1" x14ac:dyDescent="0.2"/>
    <row r="45" spans="2:9" ht="12.75" customHeight="1" x14ac:dyDescent="0.2">
      <c r="B45" s="1916" t="str">
        <f>"Total Federal Expenditures for 7/1/"&amp;MID('AFR20'!E2,3,2)-1&amp;"-6/30/"&amp;MID('AFR20'!E2,3,2)</f>
        <v>Total Federal Expenditures for 7/1/19-6/30/20</v>
      </c>
      <c r="C45" s="1917"/>
      <c r="D45" s="2632">
        <v>0</v>
      </c>
      <c r="E45" s="2633"/>
    </row>
    <row r="46" spans="2:9" ht="5.25" customHeight="1" x14ac:dyDescent="0.2">
      <c r="B46" s="1200"/>
      <c r="D46" s="1201"/>
      <c r="E46" s="1202"/>
    </row>
    <row r="47" spans="2:9" ht="12.75" customHeight="1" x14ac:dyDescent="0.2">
      <c r="B47" s="1075" t="s">
        <v>1579</v>
      </c>
      <c r="C47" s="1075"/>
      <c r="D47" s="1203" t="e">
        <f>+G43/D45</f>
        <v>#DIV/0!</v>
      </c>
      <c r="E47" s="1204"/>
      <c r="F47" s="1205"/>
      <c r="I47" s="1206"/>
    </row>
    <row r="48" spans="2:9" ht="9.9499999999999993" customHeight="1" x14ac:dyDescent="0.2"/>
    <row r="49" spans="1:9" x14ac:dyDescent="0.2">
      <c r="B49" s="1137" t="s">
        <v>1263</v>
      </c>
      <c r="C49" s="1057"/>
      <c r="D49" s="1057"/>
      <c r="E49" s="2634"/>
      <c r="F49" s="2634"/>
      <c r="G49" s="2634"/>
      <c r="H49" s="300"/>
    </row>
    <row r="51" spans="1:9" ht="13.5" customHeight="1" x14ac:dyDescent="0.2">
      <c r="B51" s="1137" t="s">
        <v>1262</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1731</v>
      </c>
      <c r="C54" s="1215"/>
      <c r="D54" s="1215"/>
    </row>
    <row r="55" spans="1:9" s="1216" customFormat="1" ht="12.75" customHeight="1" x14ac:dyDescent="0.2">
      <c r="A55" s="1213"/>
      <c r="B55" s="1217" t="s">
        <v>1580</v>
      </c>
      <c r="C55" s="1213"/>
      <c r="D55" s="1213"/>
    </row>
    <row r="56" spans="1:9" s="1216" customFormat="1" ht="12.75" customHeight="1" x14ac:dyDescent="0.2">
      <c r="A56" s="1213"/>
      <c r="B56" s="1217" t="s">
        <v>1581</v>
      </c>
      <c r="C56" s="1213"/>
      <c r="D56" s="1213"/>
    </row>
    <row r="57" spans="1:9" s="1216" customFormat="1" ht="3.95" customHeight="1" x14ac:dyDescent="0.2">
      <c r="A57" s="1213"/>
      <c r="B57" s="1217"/>
      <c r="C57" s="1213"/>
      <c r="D57" s="1213"/>
    </row>
    <row r="58" spans="1:9" s="1216" customFormat="1" ht="13.5" customHeight="1" x14ac:dyDescent="0.2">
      <c r="A58" s="1213"/>
      <c r="B58" s="1218" t="s">
        <v>1732</v>
      </c>
      <c r="C58" s="1219"/>
      <c r="D58" s="1219"/>
    </row>
    <row r="59" spans="1:9" s="1216" customFormat="1" ht="3.95" customHeight="1" x14ac:dyDescent="0.2">
      <c r="A59" s="1213"/>
      <c r="B59" s="1218"/>
      <c r="C59" s="1219"/>
      <c r="D59" s="1219"/>
    </row>
    <row r="60" spans="1:9" s="1216" customFormat="1" ht="13.5" customHeight="1" x14ac:dyDescent="0.2">
      <c r="A60" s="1213"/>
      <c r="B60" s="1218" t="s">
        <v>1733</v>
      </c>
      <c r="C60" s="1219"/>
      <c r="D60" s="1219"/>
    </row>
    <row r="61" spans="1:9" s="1216" customFormat="1" ht="3.95" customHeight="1" x14ac:dyDescent="0.2">
      <c r="A61" s="1213"/>
      <c r="B61" s="1218"/>
      <c r="C61" s="1219"/>
      <c r="D61" s="1219"/>
    </row>
    <row r="62" spans="1:9" s="1216" customFormat="1" ht="12.75" customHeight="1" x14ac:dyDescent="0.2">
      <c r="A62" s="1213"/>
      <c r="B62" s="1218" t="s">
        <v>1734</v>
      </c>
      <c r="C62" s="1219"/>
      <c r="D62" s="1219"/>
    </row>
    <row r="63" spans="1:9" s="1216" customFormat="1" ht="13.5" customHeight="1" x14ac:dyDescent="0.2">
      <c r="A63" s="1213"/>
      <c r="B63" s="1217" t="s">
        <v>1582</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4" t="str">
        <f>'Single Audit Cover'!A7</f>
        <v xml:space="preserve"> Patoka CUSD 100</v>
      </c>
      <c r="C1" s="2614"/>
      <c r="D1" s="2614"/>
      <c r="E1" s="2614"/>
      <c r="F1" s="2614"/>
      <c r="G1" s="2614"/>
      <c r="H1" s="2614"/>
      <c r="I1" s="2614"/>
      <c r="J1" s="2614"/>
      <c r="K1" s="2614"/>
      <c r="L1" s="1143"/>
      <c r="M1" s="1143"/>
    </row>
    <row r="2" spans="1:13" ht="12" customHeight="1" x14ac:dyDescent="0.2">
      <c r="B2" s="2616">
        <f>'Single Audit Cover'!E7</f>
        <v>13058100026</v>
      </c>
      <c r="C2" s="2616"/>
      <c r="D2" s="2616"/>
      <c r="E2" s="2616"/>
      <c r="F2" s="2616"/>
      <c r="G2" s="2616"/>
      <c r="H2" s="2616"/>
      <c r="I2" s="2616"/>
      <c r="J2" s="2616"/>
      <c r="K2" s="2616"/>
      <c r="L2" s="1144"/>
      <c r="M2" s="1145"/>
    </row>
    <row r="3" spans="1:13" ht="10.35" customHeight="1" x14ac:dyDescent="0.2">
      <c r="B3" s="2637" t="s">
        <v>1275</v>
      </c>
      <c r="C3" s="2637"/>
      <c r="D3" s="2637"/>
      <c r="E3" s="2637"/>
      <c r="F3" s="2637"/>
      <c r="G3" s="2637"/>
      <c r="H3" s="2637"/>
      <c r="I3" s="2637"/>
      <c r="J3" s="2637"/>
      <c r="K3" s="2637"/>
      <c r="L3" s="1146"/>
      <c r="M3" s="1146"/>
    </row>
    <row r="4" spans="1:13" ht="14.25" customHeight="1" x14ac:dyDescent="0.2">
      <c r="B4" s="2638" t="str">
        <f>'Single Audit Cover'!A4</f>
        <v>Year Ending June 30, 2020</v>
      </c>
      <c r="C4" s="2638"/>
      <c r="D4" s="2638"/>
      <c r="E4" s="2638"/>
      <c r="F4" s="2638"/>
      <c r="G4" s="2638"/>
      <c r="H4" s="2638"/>
      <c r="I4" s="2638"/>
      <c r="J4" s="2638"/>
      <c r="K4" s="2638"/>
      <c r="L4" s="291"/>
      <c r="M4" s="291"/>
    </row>
    <row r="5" spans="1:13" ht="7.5" customHeight="1" x14ac:dyDescent="0.2">
      <c r="B5" s="1035" t="s">
        <v>1160</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38" t="s">
        <v>1286</v>
      </c>
      <c r="C7" s="2638"/>
      <c r="D7" s="2639"/>
      <c r="E7" s="2639"/>
      <c r="F7" s="2639"/>
      <c r="G7" s="2639"/>
      <c r="H7" s="2639"/>
      <c r="I7" s="2639"/>
      <c r="J7" s="2639"/>
      <c r="K7" s="263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1721</v>
      </c>
      <c r="C10" s="1918" t="str">
        <f>'AFR20'!$E$2&amp;"-"</f>
        <v>2020-</v>
      </c>
      <c r="D10" s="1154"/>
      <c r="E10" s="300"/>
      <c r="F10" s="1155" t="s">
        <v>1285</v>
      </c>
      <c r="G10" s="1156"/>
      <c r="H10" s="1157" t="s">
        <v>1284</v>
      </c>
      <c r="I10" s="1156"/>
      <c r="J10" s="1158" t="s">
        <v>1283</v>
      </c>
      <c r="K10" s="300"/>
      <c r="L10" s="1150"/>
    </row>
    <row r="11" spans="1:13" ht="13.5" customHeight="1" x14ac:dyDescent="0.2">
      <c r="B11" s="300"/>
      <c r="C11" s="300"/>
      <c r="D11" s="300"/>
      <c r="E11" s="300"/>
      <c r="F11" s="300"/>
      <c r="G11" s="1152"/>
      <c r="H11" s="300"/>
      <c r="I11" s="1159" t="s">
        <v>1282</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1281</v>
      </c>
      <c r="C13" s="1161"/>
      <c r="D13" s="1162"/>
      <c r="E13" s="1162"/>
      <c r="F13" s="1162"/>
      <c r="G13" s="1163"/>
      <c r="H13" s="1162"/>
      <c r="I13" s="1163"/>
      <c r="J13" s="1162"/>
      <c r="K13" s="1162"/>
      <c r="L13" s="1164"/>
    </row>
    <row r="14" spans="1:13" ht="45.75" customHeight="1" x14ac:dyDescent="0.2">
      <c r="B14" s="2636"/>
      <c r="C14" s="2636"/>
      <c r="D14" s="2636"/>
      <c r="E14" s="2636"/>
      <c r="F14" s="2636"/>
      <c r="G14" s="2636"/>
      <c r="H14" s="2636"/>
      <c r="I14" s="2636"/>
      <c r="J14" s="2636"/>
      <c r="K14" s="263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1280</v>
      </c>
      <c r="C16" s="1161"/>
      <c r="D16" s="1162"/>
      <c r="E16" s="1162"/>
      <c r="F16" s="1162"/>
      <c r="G16" s="1163"/>
      <c r="H16" s="1162"/>
      <c r="I16" s="1163"/>
      <c r="J16" s="1162"/>
      <c r="K16" s="1162"/>
      <c r="L16" s="1164"/>
    </row>
    <row r="17" spans="2:12" ht="45.75" customHeight="1" x14ac:dyDescent="0.2">
      <c r="B17" s="2636"/>
      <c r="C17" s="2636"/>
      <c r="D17" s="2636"/>
      <c r="E17" s="2636"/>
      <c r="F17" s="2636"/>
      <c r="G17" s="2636"/>
      <c r="H17" s="2636"/>
      <c r="I17" s="2636"/>
      <c r="J17" s="2636"/>
      <c r="K17" s="2636"/>
      <c r="L17" s="1150"/>
    </row>
    <row r="18" spans="2:12" ht="4.5" customHeight="1" x14ac:dyDescent="0.2">
      <c r="B18" s="1166"/>
      <c r="C18" s="1166"/>
      <c r="L18" s="1150"/>
    </row>
    <row r="19" spans="2:12" s="1057" customFormat="1" ht="13.5" customHeight="1" x14ac:dyDescent="0.2">
      <c r="B19" s="1161" t="s">
        <v>1722</v>
      </c>
      <c r="C19" s="1161"/>
      <c r="D19" s="1162"/>
      <c r="E19" s="1162"/>
      <c r="F19" s="1162"/>
      <c r="G19" s="1163"/>
      <c r="H19" s="1162"/>
      <c r="I19" s="1163"/>
      <c r="J19" s="1162"/>
      <c r="K19" s="1162"/>
      <c r="L19" s="1164"/>
    </row>
    <row r="20" spans="2:12" ht="45.75" customHeight="1" x14ac:dyDescent="0.2">
      <c r="B20" s="2640"/>
      <c r="C20" s="2640"/>
      <c r="D20" s="2636"/>
      <c r="E20" s="2636"/>
      <c r="F20" s="2636"/>
      <c r="G20" s="2636"/>
      <c r="H20" s="2636"/>
      <c r="I20" s="2636"/>
      <c r="J20" s="2636"/>
      <c r="K20" s="2636"/>
      <c r="L20" s="1150"/>
    </row>
    <row r="21" spans="2:12" ht="4.5" customHeight="1" x14ac:dyDescent="0.2">
      <c r="B21" s="1168"/>
      <c r="C21" s="1168"/>
      <c r="L21" s="1150"/>
    </row>
    <row r="22" spans="2:12" ht="13.5" customHeight="1" x14ac:dyDescent="0.2">
      <c r="B22" s="1161" t="s">
        <v>1279</v>
      </c>
      <c r="C22" s="1161"/>
      <c r="D22" s="1148"/>
      <c r="E22" s="1148"/>
      <c r="F22" s="1148"/>
      <c r="G22" s="1149"/>
      <c r="H22" s="1148"/>
      <c r="I22" s="1149"/>
      <c r="J22" s="1148"/>
      <c r="K22" s="1148"/>
      <c r="L22" s="1150"/>
    </row>
    <row r="23" spans="2:12" ht="45" customHeight="1" x14ac:dyDescent="0.2">
      <c r="B23" s="2636"/>
      <c r="C23" s="2636"/>
      <c r="D23" s="2636"/>
      <c r="E23" s="2636"/>
      <c r="F23" s="2636"/>
      <c r="G23" s="2636"/>
      <c r="H23" s="2636"/>
      <c r="I23" s="2636"/>
      <c r="J23" s="2636"/>
      <c r="K23" s="2636"/>
      <c r="L23" s="1150"/>
    </row>
    <row r="24" spans="2:12" ht="4.5" customHeight="1" x14ac:dyDescent="0.2">
      <c r="B24" s="1166"/>
      <c r="C24" s="1166"/>
      <c r="L24" s="1150"/>
    </row>
    <row r="25" spans="2:12" ht="13.5" customHeight="1" x14ac:dyDescent="0.2">
      <c r="B25" s="1161" t="s">
        <v>1278</v>
      </c>
      <c r="C25" s="1161"/>
      <c r="D25" s="1148"/>
      <c r="E25" s="1148"/>
      <c r="F25" s="1148"/>
      <c r="G25" s="1149"/>
      <c r="H25" s="1148"/>
      <c r="I25" s="1149"/>
      <c r="J25" s="1148"/>
      <c r="K25" s="1148"/>
      <c r="L25" s="1150"/>
    </row>
    <row r="26" spans="2:12" ht="45.75" customHeight="1" x14ac:dyDescent="0.2">
      <c r="B26" s="2636"/>
      <c r="C26" s="2636"/>
      <c r="D26" s="2636"/>
      <c r="E26" s="2636"/>
      <c r="F26" s="2636"/>
      <c r="G26" s="2636"/>
      <c r="H26" s="2636"/>
      <c r="I26" s="2636"/>
      <c r="J26" s="2636"/>
      <c r="K26" s="2636"/>
      <c r="L26" s="1150"/>
    </row>
    <row r="27" spans="2:12" ht="4.5" customHeight="1" x14ac:dyDescent="0.2">
      <c r="B27" s="1166"/>
      <c r="C27" s="1166"/>
      <c r="L27" s="1150"/>
    </row>
    <row r="28" spans="2:12" ht="13.5" customHeight="1" x14ac:dyDescent="0.2">
      <c r="B28" s="1169" t="s">
        <v>1277</v>
      </c>
      <c r="C28" s="1169"/>
      <c r="D28" s="1148"/>
      <c r="E28" s="1148"/>
      <c r="F28" s="1148"/>
      <c r="G28" s="1149"/>
      <c r="H28" s="1148"/>
      <c r="I28" s="1149"/>
      <c r="J28" s="1148"/>
      <c r="K28" s="1148"/>
      <c r="L28" s="1150"/>
    </row>
    <row r="29" spans="2:12" ht="45.75" customHeight="1" x14ac:dyDescent="0.2">
      <c r="B29" s="2635"/>
      <c r="C29" s="2635"/>
      <c r="D29" s="2636"/>
      <c r="E29" s="2636"/>
      <c r="F29" s="2636"/>
      <c r="G29" s="2636"/>
      <c r="H29" s="2636"/>
      <c r="I29" s="2636"/>
      <c r="J29" s="2636"/>
      <c r="K29" s="263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1723</v>
      </c>
      <c r="C31" s="1171"/>
      <c r="D31" s="1147"/>
      <c r="E31" s="1148"/>
      <c r="F31" s="1148"/>
      <c r="G31" s="1149"/>
      <c r="H31" s="1148"/>
      <c r="I31" s="1149"/>
      <c r="J31" s="1148"/>
      <c r="K31" s="1148"/>
      <c r="L31" s="1150"/>
    </row>
    <row r="32" spans="2:12" s="300" customFormat="1" ht="44.25" customHeight="1" x14ac:dyDescent="0.2">
      <c r="B32" s="2635"/>
      <c r="C32" s="2635"/>
      <c r="D32" s="2636"/>
      <c r="E32" s="2636"/>
      <c r="F32" s="2636"/>
      <c r="G32" s="2636"/>
      <c r="H32" s="2636"/>
      <c r="I32" s="2636"/>
      <c r="J32" s="2636"/>
      <c r="K32" s="263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1724</v>
      </c>
      <c r="C35" s="1174"/>
      <c r="D35" s="300"/>
      <c r="E35" s="300"/>
      <c r="F35" s="300"/>
      <c r="L35" s="1150"/>
    </row>
    <row r="36" spans="1:13" ht="9.6" customHeight="1" x14ac:dyDescent="0.2">
      <c r="B36" s="1075" t="s">
        <v>1815</v>
      </c>
      <c r="C36" s="1075"/>
      <c r="L36" s="1150"/>
    </row>
    <row r="37" spans="1:13" ht="9.6" customHeight="1" x14ac:dyDescent="0.2">
      <c r="B37" s="1075" t="s">
        <v>1816</v>
      </c>
      <c r="C37" s="1075"/>
    </row>
    <row r="38" spans="1:13" ht="11.85" customHeight="1" x14ac:dyDescent="0.2">
      <c r="B38" s="1175" t="s">
        <v>1725</v>
      </c>
      <c r="C38" s="1175"/>
    </row>
    <row r="39" spans="1:13" ht="9.6" customHeight="1" x14ac:dyDescent="0.2">
      <c r="B39" s="1075" t="s">
        <v>1276</v>
      </c>
      <c r="C39" s="1075"/>
      <c r="M39" s="1176"/>
    </row>
    <row r="40" spans="1:13" ht="12.6" customHeight="1" x14ac:dyDescent="0.2">
      <c r="B40" s="1175" t="s">
        <v>1726</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1" t="str">
        <f>'Single Audit Cover'!A7</f>
        <v xml:space="preserve"> Patoka CUSD 100</v>
      </c>
      <c r="C1" s="2641"/>
      <c r="D1" s="2641"/>
      <c r="E1" s="2641"/>
      <c r="F1" s="2641"/>
      <c r="G1" s="2641"/>
      <c r="H1" s="2641"/>
      <c r="I1" s="2641"/>
      <c r="J1" s="2641"/>
      <c r="K1" s="2641"/>
      <c r="L1" s="1220"/>
    </row>
    <row r="2" spans="1:12" ht="12.75" customHeight="1" x14ac:dyDescent="0.2">
      <c r="B2" s="2642">
        <f>'Single Audit Cover'!E7</f>
        <v>13058100026</v>
      </c>
      <c r="C2" s="2642"/>
      <c r="D2" s="2642"/>
      <c r="E2" s="2642"/>
      <c r="F2" s="2642"/>
      <c r="G2" s="2642"/>
      <c r="H2" s="2642"/>
      <c r="I2" s="2642"/>
      <c r="J2" s="2642"/>
      <c r="K2" s="2642"/>
      <c r="L2" s="1221"/>
    </row>
    <row r="3" spans="1:12" ht="12.75" customHeight="1" x14ac:dyDescent="0.2">
      <c r="B3" s="2637" t="s">
        <v>1275</v>
      </c>
      <c r="C3" s="2637"/>
      <c r="D3" s="2637"/>
      <c r="E3" s="2637"/>
      <c r="F3" s="2637"/>
      <c r="G3" s="2637"/>
      <c r="H3" s="2637"/>
      <c r="I3" s="2637"/>
      <c r="J3" s="2637"/>
      <c r="K3" s="2637"/>
      <c r="L3" s="1146"/>
    </row>
    <row r="4" spans="1:12" ht="12.75" customHeight="1" x14ac:dyDescent="0.2">
      <c r="B4" s="2637" t="str">
        <f>'Single Audit Cover'!A4</f>
        <v>Year Ending June 30, 2020</v>
      </c>
      <c r="C4" s="2637"/>
      <c r="D4" s="2637"/>
      <c r="E4" s="2637"/>
      <c r="F4" s="2637"/>
      <c r="G4" s="2637"/>
      <c r="H4" s="2637"/>
      <c r="I4" s="2637"/>
      <c r="J4" s="2637"/>
      <c r="K4" s="2637"/>
      <c r="L4" s="1146"/>
    </row>
    <row r="5" spans="1:12" ht="5.25" customHeight="1" x14ac:dyDescent="0.2">
      <c r="B5" s="1035" t="s">
        <v>1160</v>
      </c>
      <c r="C5" s="1035"/>
      <c r="L5" s="300"/>
    </row>
    <row r="6" spans="1:12" ht="30.75" customHeight="1" x14ac:dyDescent="0.2">
      <c r="A6" s="300"/>
      <c r="B6" s="2643" t="s">
        <v>1298</v>
      </c>
      <c r="C6" s="2643"/>
      <c r="D6" s="2643"/>
      <c r="E6" s="2643"/>
      <c r="F6" s="2643"/>
      <c r="G6" s="2643"/>
      <c r="H6" s="2643"/>
      <c r="I6" s="2643"/>
      <c r="J6" s="2643"/>
      <c r="K6" s="2643"/>
      <c r="L6" s="300"/>
    </row>
    <row r="7" spans="1:12" ht="4.5" customHeight="1" x14ac:dyDescent="0.2">
      <c r="B7" s="1148"/>
      <c r="C7" s="1148"/>
      <c r="D7" s="1148"/>
      <c r="E7" s="1148"/>
      <c r="F7" s="1148"/>
      <c r="G7" s="1149"/>
      <c r="H7" s="1148"/>
      <c r="I7" s="1149"/>
      <c r="J7" s="1148"/>
      <c r="K7" s="1148"/>
      <c r="L7" s="300"/>
    </row>
    <row r="8" spans="1:12" ht="13.5" customHeight="1" x14ac:dyDescent="0.2">
      <c r="B8" s="1155" t="s">
        <v>1735</v>
      </c>
      <c r="C8" s="1918" t="str">
        <f>'AFR20'!$E$2&amp;"-"</f>
        <v>2020-</v>
      </c>
      <c r="D8" s="1222"/>
      <c r="E8" s="300"/>
      <c r="F8" s="1153" t="s">
        <v>1285</v>
      </c>
      <c r="G8" s="1223"/>
      <c r="H8" s="1224" t="s">
        <v>1297</v>
      </c>
      <c r="I8" s="1223"/>
      <c r="J8" s="1225" t="s">
        <v>1296</v>
      </c>
      <c r="L8" s="300"/>
    </row>
    <row r="9" spans="1:12" ht="13.5" customHeight="1" x14ac:dyDescent="0.2">
      <c r="D9" s="300"/>
      <c r="E9" s="300"/>
      <c r="F9" s="300"/>
      <c r="G9" s="1152"/>
      <c r="H9" s="300"/>
      <c r="I9" s="1226" t="s">
        <v>1282</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1295</v>
      </c>
      <c r="C12" s="1153"/>
      <c r="D12" s="282"/>
      <c r="E12" s="300"/>
      <c r="F12" s="2621"/>
      <c r="G12" s="2621"/>
      <c r="H12" s="2621"/>
      <c r="I12" s="2621"/>
      <c r="J12" s="2621"/>
      <c r="K12" s="2621"/>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1294</v>
      </c>
      <c r="C14" s="1155"/>
      <c r="D14" s="2644"/>
      <c r="E14" s="2644"/>
      <c r="F14" s="2644"/>
      <c r="H14" s="1229" t="s">
        <v>1293</v>
      </c>
      <c r="I14" s="2645"/>
      <c r="J14" s="2645"/>
      <c r="K14" s="2645"/>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1292</v>
      </c>
      <c r="C16" s="1155"/>
      <c r="D16" s="2645"/>
      <c r="E16" s="2645"/>
      <c r="F16" s="2645"/>
      <c r="G16" s="2645"/>
      <c r="H16" s="2645"/>
      <c r="I16" s="2645"/>
      <c r="J16" s="2645"/>
      <c r="K16" s="2645"/>
      <c r="L16" s="300"/>
    </row>
    <row r="17" spans="2:12" ht="13.5" customHeight="1" x14ac:dyDescent="0.2">
      <c r="B17" s="1155" t="s">
        <v>1291</v>
      </c>
      <c r="C17" s="1155"/>
      <c r="D17" s="2646"/>
      <c r="E17" s="2646"/>
      <c r="F17" s="2646"/>
      <c r="G17" s="2646"/>
      <c r="H17" s="2646"/>
      <c r="I17" s="2646"/>
      <c r="J17" s="2646"/>
      <c r="K17" s="2646"/>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1290</v>
      </c>
      <c r="C19" s="1231"/>
      <c r="D19" s="306"/>
      <c r="E19" s="306"/>
      <c r="F19" s="306"/>
      <c r="G19" s="1232"/>
      <c r="H19" s="306"/>
      <c r="I19" s="1232"/>
      <c r="J19" s="300"/>
      <c r="K19" s="300"/>
      <c r="L19" s="300"/>
    </row>
    <row r="20" spans="2:12" ht="35.25" customHeight="1" x14ac:dyDescent="0.2">
      <c r="B20" s="2636"/>
      <c r="C20" s="2636"/>
      <c r="D20" s="2636"/>
      <c r="E20" s="2636"/>
      <c r="F20" s="2636"/>
      <c r="G20" s="2636"/>
      <c r="H20" s="2636"/>
      <c r="I20" s="2636"/>
      <c r="J20" s="2636"/>
      <c r="K20" s="2636"/>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1736</v>
      </c>
      <c r="C22" s="1231"/>
      <c r="D22" s="300"/>
      <c r="E22" s="300"/>
      <c r="F22" s="300"/>
      <c r="G22" s="1152"/>
      <c r="H22" s="300"/>
      <c r="I22" s="1152"/>
      <c r="J22" s="300"/>
      <c r="K22" s="300"/>
      <c r="L22" s="300"/>
    </row>
    <row r="23" spans="2:12" ht="37.5" customHeight="1" x14ac:dyDescent="0.2">
      <c r="B23" s="2636"/>
      <c r="C23" s="2636"/>
      <c r="D23" s="2636"/>
      <c r="E23" s="2636"/>
      <c r="F23" s="2636"/>
      <c r="G23" s="2636"/>
      <c r="H23" s="2636"/>
      <c r="I23" s="2636"/>
      <c r="J23" s="2636"/>
      <c r="K23" s="2636"/>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1737</v>
      </c>
      <c r="C25" s="1231"/>
      <c r="D25" s="300"/>
      <c r="E25" s="300"/>
      <c r="F25" s="300"/>
      <c r="G25" s="1152"/>
      <c r="H25" s="300"/>
      <c r="I25" s="1152"/>
      <c r="J25" s="300"/>
      <c r="K25" s="300"/>
      <c r="L25" s="300"/>
    </row>
    <row r="26" spans="2:12" ht="37.5" customHeight="1" x14ac:dyDescent="0.2">
      <c r="B26" s="2636"/>
      <c r="C26" s="2636"/>
      <c r="D26" s="2636"/>
      <c r="E26" s="2636"/>
      <c r="F26" s="2636"/>
      <c r="G26" s="2636"/>
      <c r="H26" s="2636"/>
      <c r="I26" s="2636"/>
      <c r="J26" s="2636"/>
      <c r="K26" s="2636"/>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1738</v>
      </c>
      <c r="C28" s="1231"/>
      <c r="D28" s="300"/>
      <c r="E28" s="300"/>
      <c r="F28" s="300"/>
      <c r="G28" s="1152"/>
      <c r="H28" s="300"/>
      <c r="I28" s="1152"/>
      <c r="J28" s="300"/>
      <c r="K28" s="300"/>
      <c r="L28" s="300"/>
    </row>
    <row r="29" spans="2:12" ht="37.5" customHeight="1" x14ac:dyDescent="0.2">
      <c r="B29" s="2636"/>
      <c r="C29" s="2636"/>
      <c r="D29" s="2636"/>
      <c r="E29" s="2636"/>
      <c r="F29" s="2636"/>
      <c r="G29" s="2636"/>
      <c r="H29" s="2636"/>
      <c r="I29" s="2636"/>
      <c r="J29" s="2636"/>
      <c r="K29" s="2636"/>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1289</v>
      </c>
      <c r="C31" s="1231"/>
      <c r="D31" s="300"/>
      <c r="E31" s="300"/>
      <c r="F31" s="300"/>
      <c r="G31" s="1152"/>
      <c r="H31" s="300"/>
      <c r="I31" s="1152"/>
      <c r="J31" s="300"/>
      <c r="K31" s="300"/>
      <c r="L31" s="300"/>
    </row>
    <row r="32" spans="2:12" ht="37.5" customHeight="1" x14ac:dyDescent="0.2">
      <c r="B32" s="2636"/>
      <c r="C32" s="2636"/>
      <c r="D32" s="2636"/>
      <c r="E32" s="2636"/>
      <c r="F32" s="2636"/>
      <c r="G32" s="2636"/>
      <c r="H32" s="2636"/>
      <c r="I32" s="2636"/>
      <c r="J32" s="2636"/>
      <c r="K32" s="2636"/>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1288</v>
      </c>
      <c r="C34" s="1153"/>
      <c r="D34" s="300"/>
      <c r="E34" s="300"/>
      <c r="F34" s="300"/>
      <c r="G34" s="1152"/>
      <c r="H34" s="300"/>
      <c r="I34" s="1152"/>
      <c r="J34" s="300"/>
      <c r="K34" s="300"/>
      <c r="L34" s="300"/>
    </row>
    <row r="35" spans="2:12" ht="37.5" customHeight="1" x14ac:dyDescent="0.2">
      <c r="B35" s="2636"/>
      <c r="C35" s="2636"/>
      <c r="D35" s="2636"/>
      <c r="E35" s="2636"/>
      <c r="F35" s="2636"/>
      <c r="G35" s="2636"/>
      <c r="H35" s="2636"/>
      <c r="I35" s="2636"/>
      <c r="J35" s="2636"/>
      <c r="K35" s="2636"/>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1287</v>
      </c>
      <c r="C37" s="1153"/>
      <c r="D37" s="300"/>
      <c r="E37" s="300"/>
      <c r="F37" s="300"/>
      <c r="G37" s="1152"/>
      <c r="H37" s="300"/>
      <c r="I37" s="1152"/>
      <c r="J37" s="300"/>
      <c r="K37" s="300"/>
      <c r="L37" s="300"/>
    </row>
    <row r="38" spans="2:12" ht="35.25" customHeight="1" x14ac:dyDescent="0.2">
      <c r="B38" s="2636"/>
      <c r="C38" s="2636"/>
      <c r="D38" s="2636"/>
      <c r="E38" s="2636"/>
      <c r="F38" s="2636"/>
      <c r="G38" s="2636"/>
      <c r="H38" s="2636"/>
      <c r="I38" s="2636"/>
      <c r="J38" s="2636"/>
      <c r="K38" s="2636"/>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1739</v>
      </c>
      <c r="C40" s="1171"/>
      <c r="D40" s="1147"/>
      <c r="E40" s="1148"/>
      <c r="F40" s="1148"/>
      <c r="G40" s="1149"/>
      <c r="H40" s="1148"/>
      <c r="I40" s="1149"/>
      <c r="J40" s="1148"/>
      <c r="K40" s="1148"/>
    </row>
    <row r="41" spans="2:12" s="300" customFormat="1" ht="33.75" customHeight="1" x14ac:dyDescent="0.2">
      <c r="B41" s="2636"/>
      <c r="C41" s="2636"/>
      <c r="D41" s="2636"/>
      <c r="E41" s="2636"/>
      <c r="F41" s="2636"/>
      <c r="G41" s="2636"/>
      <c r="H41" s="2636"/>
      <c r="I41" s="2636"/>
      <c r="J41" s="2636"/>
      <c r="K41" s="2636"/>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1740</v>
      </c>
      <c r="C44" s="1174"/>
      <c r="D44" s="300"/>
      <c r="E44" s="300"/>
      <c r="F44" s="300"/>
    </row>
    <row r="45" spans="2:12" ht="10.5" customHeight="1" x14ac:dyDescent="0.2">
      <c r="B45" s="1175" t="s">
        <v>1741</v>
      </c>
      <c r="C45" s="1175"/>
      <c r="G45" s="295"/>
      <c r="I45" s="295"/>
    </row>
    <row r="46" spans="2:12" ht="11.1" customHeight="1" x14ac:dyDescent="0.2">
      <c r="B46" s="1175" t="s">
        <v>1742</v>
      </c>
      <c r="C46" s="1175"/>
      <c r="G46" s="295"/>
      <c r="I46" s="295"/>
    </row>
    <row r="47" spans="2:12" ht="11.1" customHeight="1" x14ac:dyDescent="0.2">
      <c r="B47" s="1175" t="s">
        <v>1743</v>
      </c>
      <c r="C47" s="1175"/>
      <c r="G47" s="295"/>
      <c r="I47" s="295"/>
    </row>
    <row r="48" spans="2:12" ht="11.1" customHeight="1" x14ac:dyDescent="0.2">
      <c r="B48" s="1175" t="s">
        <v>1744</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4" t="str">
        <f>'Single Audit Cover'!A7</f>
        <v xml:space="preserve"> Patoka CUSD 100</v>
      </c>
      <c r="C1" s="2614"/>
      <c r="D1" s="2614"/>
      <c r="E1" s="1239"/>
    </row>
    <row r="2" spans="2:5" s="1057" customFormat="1" ht="12.75" customHeight="1" x14ac:dyDescent="0.2">
      <c r="B2" s="2616">
        <f>'Single Audit Cover'!E7</f>
        <v>13058100026</v>
      </c>
      <c r="C2" s="2616"/>
      <c r="D2" s="2616"/>
      <c r="E2" s="1240"/>
    </row>
    <row r="3" spans="2:5" ht="12.75" customHeight="1" x14ac:dyDescent="0.2">
      <c r="B3" s="2637" t="s">
        <v>1745</v>
      </c>
      <c r="C3" s="2637"/>
      <c r="D3" s="2637"/>
      <c r="E3" s="1049"/>
    </row>
    <row r="4" spans="2:5" s="1057" customFormat="1" ht="12.75" customHeight="1" x14ac:dyDescent="0.2">
      <c r="B4" s="2647" t="str">
        <f>'Single Audit Cover'!A4</f>
        <v>Year Ending June 30, 2020</v>
      </c>
      <c r="C4" s="2647"/>
      <c r="D4" s="2647"/>
      <c r="E4" s="1241"/>
    </row>
    <row r="5" spans="2:5" s="1057" customFormat="1" ht="40.15" customHeight="1" x14ac:dyDescent="0.2">
      <c r="B5" s="1242" t="s">
        <v>1746</v>
      </c>
      <c r="C5" s="306"/>
      <c r="D5" s="306"/>
      <c r="E5" s="306"/>
    </row>
    <row r="6" spans="2:5" s="1057" customFormat="1" ht="13.5" customHeight="1" x14ac:dyDescent="0.2">
      <c r="B6" s="1243" t="s">
        <v>1305</v>
      </c>
      <c r="C6" s="1243" t="s">
        <v>1304</v>
      </c>
      <c r="D6" s="1243" t="s">
        <v>1747</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1303</v>
      </c>
      <c r="C44" s="300"/>
    </row>
    <row r="45" spans="2:5" ht="12.2" customHeight="1" x14ac:dyDescent="0.2">
      <c r="B45" s="1253" t="s">
        <v>1748</v>
      </c>
    </row>
    <row r="46" spans="2:5" ht="12.2" customHeight="1" x14ac:dyDescent="0.2">
      <c r="B46" s="1253" t="s">
        <v>1749</v>
      </c>
    </row>
    <row r="47" spans="2:5" ht="12.2" customHeight="1" x14ac:dyDescent="0.2">
      <c r="B47" s="1254" t="s">
        <v>1302</v>
      </c>
    </row>
    <row r="48" spans="2:5" ht="12.2" customHeight="1" x14ac:dyDescent="0.2">
      <c r="B48" s="1254" t="s">
        <v>1301</v>
      </c>
    </row>
    <row r="49" spans="2:5" ht="12.2" customHeight="1" x14ac:dyDescent="0.2">
      <c r="B49" s="1254" t="s">
        <v>1300</v>
      </c>
    </row>
    <row r="50" spans="2:5" ht="12.2" customHeight="1" x14ac:dyDescent="0.2">
      <c r="B50" s="1254" t="s">
        <v>1299</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19" sqref="B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382</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47301439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2.2499999999999999E-2</v>
      </c>
      <c r="E10" s="333" t="s">
        <v>997</v>
      </c>
      <c r="F10" s="332">
        <v>5.0000000000000001E-3</v>
      </c>
      <c r="G10" s="333" t="s">
        <v>997</v>
      </c>
      <c r="H10" s="332">
        <v>2E-3</v>
      </c>
      <c r="I10" s="333" t="s">
        <v>998</v>
      </c>
      <c r="J10" s="1423">
        <f>ROUND(D10+F10+H10,5)</f>
        <v>2.9499999999999998E-2</v>
      </c>
      <c r="K10" s="217"/>
      <c r="L10" s="332">
        <v>5.0000000000000001E-4</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2851064</v>
      </c>
      <c r="E16" s="1546"/>
      <c r="F16" s="1545">
        <f>SUM('Acct Summary 7-8'!C17,'Acct Summary 7-8'!D17,'Acct Summary 7-8'!F17)</f>
        <v>2740482</v>
      </c>
      <c r="G16" s="1546"/>
      <c r="H16" s="1545">
        <f>SUM(D16-F16)</f>
        <v>110582</v>
      </c>
      <c r="I16" s="1547"/>
      <c r="J16" s="1545">
        <f>SUM('Acct Summary 7-8'!C81,'Acct Summary 7-8'!D81,'Acct Summary 7-8'!F81,'Acct Summary 7-8'!I81)</f>
        <v>1129212</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4">
        <f>IF(B31="X",(J7*0.069),IF(B32="X",(J7*0.138),"Enter x in a.or b."))</f>
        <v>6527598.5820000004</v>
      </c>
      <c r="I31" s="345"/>
      <c r="J31" s="217"/>
      <c r="K31" s="217"/>
      <c r="L31" s="217"/>
      <c r="M31" s="217"/>
    </row>
    <row r="32" spans="1:13" ht="13.35" customHeight="1" x14ac:dyDescent="0.2">
      <c r="B32" s="346" t="s">
        <v>2031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8">
        <f>'Assets-Liab 5-6'!N36</f>
        <v>4185041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2" zoomScale="110" zoomScaleNormal="110" workbookViewId="0">
      <selection activeCell="D34" sqref="D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551</v>
      </c>
      <c r="B2" s="2229"/>
      <c r="C2" s="2229"/>
      <c r="D2" s="2229"/>
      <c r="E2" s="2229"/>
      <c r="F2" s="2229"/>
      <c r="G2" s="2229"/>
      <c r="H2" s="2229"/>
      <c r="I2" s="2229"/>
      <c r="J2" s="2229"/>
      <c r="K2" s="2229"/>
      <c r="L2" s="2229"/>
      <c r="M2" s="2229"/>
      <c r="N2" s="2229"/>
      <c r="O2" s="2229"/>
      <c r="P2" s="2229"/>
      <c r="Q2" s="2229"/>
      <c r="R2" s="2229"/>
    </row>
    <row r="3" spans="1:18" ht="12.75" x14ac:dyDescent="0.2">
      <c r="A3" s="2230" t="s">
        <v>1398</v>
      </c>
      <c r="B3" s="2230"/>
      <c r="C3" s="2230"/>
      <c r="D3" s="2230"/>
      <c r="E3" s="2230"/>
      <c r="F3" s="2230"/>
      <c r="G3" s="2230"/>
      <c r="H3" s="2230"/>
      <c r="I3" s="2230"/>
      <c r="J3" s="2230"/>
      <c r="K3" s="2230"/>
      <c r="L3" s="2230"/>
      <c r="M3" s="2230"/>
      <c r="N3" s="2230"/>
      <c r="O3" s="2230"/>
      <c r="P3" s="2230"/>
      <c r="Q3" s="2230"/>
      <c r="R3" s="2230"/>
    </row>
    <row r="4" spans="1:18" x14ac:dyDescent="0.2">
      <c r="A4" s="2231" t="s">
        <v>1539</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Patoka CUSD 100</v>
      </c>
      <c r="E7" s="368"/>
      <c r="G7" s="247"/>
      <c r="H7" s="364"/>
      <c r="I7" s="364"/>
      <c r="J7" s="364"/>
      <c r="K7" s="364"/>
      <c r="L7" s="307"/>
      <c r="M7" s="307"/>
      <c r="N7" s="307"/>
      <c r="O7" s="307"/>
      <c r="P7" s="307"/>
    </row>
    <row r="8" spans="1:18" ht="12.75" x14ac:dyDescent="0.2">
      <c r="A8" s="307"/>
      <c r="B8" s="307"/>
      <c r="C8" s="366" t="s">
        <v>1116</v>
      </c>
      <c r="D8" s="369">
        <f>COVER!A13</f>
        <v>13058100026</v>
      </c>
      <c r="E8" s="370"/>
      <c r="G8" s="307"/>
      <c r="H8" s="307"/>
      <c r="I8" s="307"/>
      <c r="J8" s="307"/>
      <c r="K8" s="307"/>
      <c r="L8" s="307"/>
      <c r="M8" s="307"/>
      <c r="N8" s="307"/>
      <c r="O8" s="307"/>
      <c r="P8" s="307"/>
    </row>
    <row r="9" spans="1:18" ht="12.75" x14ac:dyDescent="0.2">
      <c r="A9" s="307"/>
      <c r="B9" s="307"/>
      <c r="C9" s="366" t="s">
        <v>707</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0" t="str">
        <f>IF(K12&gt;0.24999,"4",IF(K12&gt;0.09999,"3",IF(K12&gt;=0,"2",1)))</f>
        <v>4</v>
      </c>
      <c r="P11" s="211"/>
      <c r="Q11" s="211"/>
    </row>
    <row r="12" spans="1:18" s="382" customFormat="1" ht="11.25" x14ac:dyDescent="0.2">
      <c r="A12" s="213"/>
      <c r="B12" s="377"/>
      <c r="C12" s="213" t="s">
        <v>1350</v>
      </c>
      <c r="D12" s="213"/>
      <c r="E12" s="213"/>
      <c r="F12" s="213" t="s">
        <v>1083</v>
      </c>
      <c r="G12" s="378"/>
      <c r="H12" s="1550">
        <f>SUM('Acct Summary 7-8'!C81+'Acct Summary 7-8'!D81+'Acct Summary 7-8'!F81+'Acct Summary 7-8'!I81+IF('Acct Summary 7-8'!G81&lt;0,'Acct Summary 7-8'!G81,"0")+IF('Acct Summary 7-8'!J81&lt;0,'Acct Summary 7-8'!J81,"0"))</f>
        <v>1129212</v>
      </c>
      <c r="I12" s="380"/>
      <c r="J12" s="380"/>
      <c r="K12" s="1558">
        <f>TRUNC((H12/H13*100000),5)/100000</f>
        <v>0.3960668718</v>
      </c>
      <c r="L12" s="381"/>
      <c r="M12" s="337" t="s">
        <v>1135</v>
      </c>
      <c r="N12" s="337"/>
      <c r="O12" s="1561">
        <v>0.35</v>
      </c>
      <c r="P12" s="213"/>
      <c r="Q12" s="213"/>
    </row>
    <row r="13" spans="1:18" s="382" customFormat="1" ht="12.75" x14ac:dyDescent="0.2">
      <c r="A13" s="213"/>
      <c r="B13" s="377"/>
      <c r="C13" s="2227" t="s">
        <v>1314</v>
      </c>
      <c r="D13" s="2228"/>
      <c r="E13" s="213"/>
      <c r="F13" s="383" t="s">
        <v>787</v>
      </c>
      <c r="G13" s="378"/>
      <c r="H13" s="1550">
        <f>SUM('Acct Summary 7-8'!C8+'Acct Summary 7-8'!D8+'Acct Summary 7-8'!F8+'Acct Summary 7-8'!I8)+H14</f>
        <v>2851064</v>
      </c>
      <c r="I13" s="380"/>
      <c r="J13" s="380"/>
      <c r="K13" s="1557"/>
      <c r="L13" s="213"/>
      <c r="M13" s="337" t="s">
        <v>1136</v>
      </c>
      <c r="N13" s="337"/>
      <c r="O13" s="1562">
        <f>(O11*O12)</f>
        <v>1.4</v>
      </c>
      <c r="P13" s="213"/>
      <c r="Q13" s="213"/>
      <c r="R13" s="385"/>
    </row>
    <row r="14" spans="1:18" s="382" customFormat="1" ht="12.75" x14ac:dyDescent="0.2">
      <c r="A14" s="213"/>
      <c r="B14" s="377"/>
      <c r="C14" s="235" t="s">
        <v>1382</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1396</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1137</v>
      </c>
      <c r="D16" s="211"/>
      <c r="E16" s="211"/>
      <c r="F16" s="211"/>
      <c r="G16" s="211"/>
      <c r="H16" s="1552" t="s">
        <v>155</v>
      </c>
      <c r="I16" s="314"/>
      <c r="J16" s="314"/>
      <c r="K16" s="1559" t="s">
        <v>1133</v>
      </c>
      <c r="L16" s="314"/>
      <c r="M16" s="314" t="s">
        <v>1134</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2740482</v>
      </c>
      <c r="I17" s="380"/>
      <c r="J17" s="389"/>
      <c r="K17" s="1558">
        <f>TRUNC((H17/H18*100000),5)/100000</f>
        <v>0.9612137784</v>
      </c>
      <c r="L17" s="381"/>
      <c r="M17" s="390" t="s">
        <v>1162</v>
      </c>
      <c r="O17" s="1564" t="str">
        <f>IF(AND(O16="2", J20 &gt; 2),"1",IF(AND(O16 = "1", J20 &gt; 2),"2",IF(AND(O16="1", J20 &gt;1),"1","0")))</f>
        <v>0</v>
      </c>
      <c r="P17" s="213"/>
    </row>
    <row r="18" spans="1:18" s="382" customFormat="1" ht="11.25" x14ac:dyDescent="0.2">
      <c r="A18" s="213"/>
      <c r="B18" s="377"/>
      <c r="C18" s="2227" t="s">
        <v>1307</v>
      </c>
      <c r="D18" s="2228"/>
      <c r="E18" s="213"/>
      <c r="F18" s="391" t="s">
        <v>788</v>
      </c>
      <c r="G18" s="378"/>
      <c r="H18" s="1550">
        <f>SUM('Acct Summary 7-8'!C8+'Acct Summary 7-8'!D8+'Acct Summary 7-8'!F8+'Acct Summary 7-8'!I8)+H19</f>
        <v>2851064</v>
      </c>
      <c r="I18" s="380"/>
      <c r="J18" s="380"/>
      <c r="K18" s="1557"/>
      <c r="L18" s="213"/>
      <c r="M18" s="337" t="s">
        <v>1135</v>
      </c>
      <c r="N18" s="337"/>
      <c r="O18" s="1557">
        <v>0.35</v>
      </c>
      <c r="P18" s="213"/>
    </row>
    <row r="19" spans="1:18" s="382" customFormat="1" ht="11.25" x14ac:dyDescent="0.2">
      <c r="A19" s="213"/>
      <c r="B19" s="377"/>
      <c r="C19" s="235" t="s">
        <v>1382</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1396</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1136</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1138</v>
      </c>
      <c r="D23" s="211"/>
      <c r="E23" s="211"/>
      <c r="F23" s="211"/>
      <c r="G23" s="211"/>
      <c r="H23" s="1552" t="s">
        <v>155</v>
      </c>
      <c r="I23" s="314"/>
      <c r="J23" s="314"/>
      <c r="K23" s="1559" t="s">
        <v>1139</v>
      </c>
      <c r="L23" s="314"/>
      <c r="M23" s="314" t="s">
        <v>1134</v>
      </c>
      <c r="N23" s="314"/>
      <c r="O23" s="1560" t="str">
        <f>IF(K24&gt;=180,"4",IF(K24&gt;=90,"3",IF(K24&gt;=30,"2",1)))</f>
        <v>3</v>
      </c>
      <c r="P23" s="211"/>
      <c r="R23" s="361"/>
    </row>
    <row r="24" spans="1:18" s="382" customFormat="1" ht="11.25" x14ac:dyDescent="0.2">
      <c r="A24" s="213"/>
      <c r="B24" s="377"/>
      <c r="C24" s="2224" t="s">
        <v>1397</v>
      </c>
      <c r="D24" s="2224"/>
      <c r="E24" s="213"/>
      <c r="F24" s="213" t="s">
        <v>441</v>
      </c>
      <c r="G24" s="378"/>
      <c r="H24" s="1550">
        <f>SUM('Assets-Liab 5-6'!C4+'Assets-Liab 5-6'!D4+'Assets-Liab 5-6'!F4+'Assets-Liab 5-6'!I4+'Assets-Liab 5-6'!C5+'Assets-Liab 5-6'!D5+'Assets-Liab 5-6'!F5+'Assets-Liab 5-6'!I5)</f>
        <v>1129438</v>
      </c>
      <c r="I24" s="394"/>
      <c r="J24" s="394"/>
      <c r="K24" s="1554">
        <f>TRUNC(((H24/H25*100000)/100000),2)</f>
        <v>148.36000000000001</v>
      </c>
      <c r="L24" s="395"/>
      <c r="M24" s="337" t="s">
        <v>1135</v>
      </c>
      <c r="N24" s="337"/>
      <c r="O24" s="1562">
        <v>0.1</v>
      </c>
      <c r="P24" s="213"/>
    </row>
    <row r="25" spans="1:18" s="382" customFormat="1" ht="12.75" x14ac:dyDescent="0.2">
      <c r="A25" s="213"/>
      <c r="B25" s="377"/>
      <c r="C25" s="213" t="s">
        <v>792</v>
      </c>
      <c r="D25" s="213"/>
      <c r="E25" s="213"/>
      <c r="F25" s="213" t="s">
        <v>442</v>
      </c>
      <c r="G25" s="378"/>
      <c r="H25" s="1554">
        <f>ROUND((H17/360),5)</f>
        <v>7612.45</v>
      </c>
      <c r="I25" s="396"/>
      <c r="J25" s="396"/>
      <c r="K25" s="1557"/>
      <c r="L25" s="213"/>
      <c r="M25" s="337" t="s">
        <v>1136</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1134</v>
      </c>
      <c r="N27" s="314"/>
      <c r="O27" s="1565" t="str">
        <f>IF(K28&gt;=75,"4",IF(K28&gt;=50,"3",IF(K28&gt;=25,"2",1)))</f>
        <v>4</v>
      </c>
      <c r="P27" s="211"/>
    </row>
    <row r="28" spans="1:18" s="382" customFormat="1" ht="11.25" x14ac:dyDescent="0.2">
      <c r="A28" s="213"/>
      <c r="B28" s="377"/>
      <c r="C28" s="213" t="s">
        <v>1895</v>
      </c>
      <c r="D28" s="213"/>
      <c r="E28" s="213"/>
      <c r="F28" s="213" t="s">
        <v>440</v>
      </c>
      <c r="G28" s="378"/>
      <c r="H28" s="1555">
        <f>SUM('Short-Term Long-Term Debt 24'!F6,'Short-Term Long-Term Debt 24'!F7,'Short-Term Long-Term Debt 24'!F11)</f>
        <v>0</v>
      </c>
      <c r="I28" s="397"/>
      <c r="J28" s="397"/>
      <c r="K28" s="1554">
        <f>TRUNC(100-((((H28/H29*100))*100)/100),2)</f>
        <v>100</v>
      </c>
      <c r="L28" s="398"/>
      <c r="M28" s="337" t="s">
        <v>1135</v>
      </c>
      <c r="N28" s="337"/>
      <c r="O28" s="1566">
        <v>0.1</v>
      </c>
      <c r="P28" s="213"/>
    </row>
    <row r="29" spans="1:18" s="382" customFormat="1" ht="11.25" x14ac:dyDescent="0.2">
      <c r="A29" s="213"/>
      <c r="B29" s="377"/>
      <c r="C29" s="213" t="s">
        <v>790</v>
      </c>
      <c r="D29" s="213"/>
      <c r="E29" s="213"/>
      <c r="F29" s="213" t="s">
        <v>794</v>
      </c>
      <c r="G29" s="378"/>
      <c r="H29" s="1556">
        <f>ROUND((0.85*'FP Info 3'!J7*'FP Info 3'!J10),5)</f>
        <v>1186083.58293</v>
      </c>
      <c r="I29" s="397"/>
      <c r="J29" s="397"/>
      <c r="K29" s="1557"/>
      <c r="L29" s="213"/>
      <c r="M29" s="337" t="s">
        <v>1136</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1134</v>
      </c>
      <c r="N31" s="314"/>
      <c r="O31" s="1560" t="str">
        <f>IF(K32&gt;=75,"4",IF(K32&gt;=50,"3",IF(K32&gt;=25,"2",1)))</f>
        <v>2</v>
      </c>
      <c r="P31" s="211"/>
    </row>
    <row r="32" spans="1:18" s="382" customFormat="1" ht="11.25" x14ac:dyDescent="0.2">
      <c r="A32" s="213"/>
      <c r="B32" s="377"/>
      <c r="C32" s="213" t="s">
        <v>841</v>
      </c>
      <c r="D32" s="213"/>
      <c r="E32" s="213"/>
      <c r="F32" s="213"/>
      <c r="G32" s="378"/>
      <c r="H32" s="1550">
        <f>'FP Info 3'!H37</f>
        <v>4185041</v>
      </c>
      <c r="I32" s="392"/>
      <c r="J32" s="392"/>
      <c r="K32" s="1554">
        <f>TRUNC(100-((((H32/H33*100))*100)/100),2)</f>
        <v>35.880000000000003</v>
      </c>
      <c r="L32" s="381"/>
      <c r="M32" s="337" t="s">
        <v>1135</v>
      </c>
      <c r="N32" s="337"/>
      <c r="O32" s="1567">
        <v>0.1</v>
      </c>
    </row>
    <row r="33" spans="1:17" s="382" customFormat="1" ht="11.25" x14ac:dyDescent="0.2">
      <c r="A33" s="213"/>
      <c r="B33" s="377"/>
      <c r="C33" s="213" t="s">
        <v>793</v>
      </c>
      <c r="D33" s="213"/>
      <c r="E33" s="213"/>
      <c r="F33" s="213"/>
      <c r="G33" s="378"/>
      <c r="H33" s="379">
        <f>IF('FP Info 3'!H31="Enter X in a or b"," ",'FP Info 3'!H31)</f>
        <v>6527598.5820000004</v>
      </c>
      <c r="I33" s="392"/>
      <c r="J33" s="392"/>
      <c r="K33" s="379"/>
      <c r="L33" s="213"/>
      <c r="M33" s="401" t="s">
        <v>1136</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61"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pane="bottomLeft" activeCell="C53" sqref="C5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4" t="s">
        <v>966</v>
      </c>
      <c r="B3" s="2235"/>
      <c r="C3" s="1305"/>
      <c r="D3" s="1306"/>
      <c r="E3" s="1306"/>
      <c r="F3" s="1306"/>
      <c r="G3" s="1306"/>
      <c r="H3" s="1306"/>
      <c r="I3" s="1306"/>
      <c r="J3" s="1306"/>
      <c r="K3" s="1306"/>
      <c r="L3" s="1306"/>
      <c r="M3" s="1307"/>
      <c r="N3" s="1308"/>
    </row>
    <row r="4" spans="1:14" ht="13.5" customHeight="1" x14ac:dyDescent="0.2">
      <c r="A4" s="427" t="s">
        <v>1634</v>
      </c>
      <c r="B4" s="428"/>
      <c r="C4" s="1571">
        <v>218895</v>
      </c>
      <c r="D4" s="1572">
        <f>-D5+379798</f>
        <v>70881</v>
      </c>
      <c r="E4" s="1572">
        <f>-E5+35647</f>
        <v>9547</v>
      </c>
      <c r="F4" s="1572">
        <v>62257</v>
      </c>
      <c r="G4" s="1572">
        <f>-G5+73581</f>
        <v>22084</v>
      </c>
      <c r="H4" s="1572">
        <v>790653</v>
      </c>
      <c r="I4" s="1572">
        <f>-I5+126943</f>
        <v>2539</v>
      </c>
      <c r="J4" s="1573">
        <v>67152</v>
      </c>
      <c r="K4" s="1572">
        <f>-900+95204</f>
        <v>94304</v>
      </c>
      <c r="L4" s="1572">
        <v>71335</v>
      </c>
      <c r="M4" s="1574"/>
      <c r="N4" s="1575"/>
    </row>
    <row r="5" spans="1:14" x14ac:dyDescent="0.2">
      <c r="A5" s="427" t="s">
        <v>984</v>
      </c>
      <c r="B5" s="429">
        <v>120</v>
      </c>
      <c r="C5" s="1571">
        <v>341545</v>
      </c>
      <c r="D5" s="1572">
        <v>308917</v>
      </c>
      <c r="E5" s="1572">
        <v>26100</v>
      </c>
      <c r="F5" s="1572"/>
      <c r="G5" s="1572">
        <v>51497</v>
      </c>
      <c r="H5" s="1572"/>
      <c r="I5" s="1572">
        <v>124404</v>
      </c>
      <c r="J5" s="1573"/>
      <c r="K5" s="1576"/>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560440</v>
      </c>
      <c r="D13" s="1586">
        <f t="shared" ref="D13:L13" si="0">SUM(D4:D12)</f>
        <v>379798</v>
      </c>
      <c r="E13" s="1586">
        <f t="shared" si="0"/>
        <v>35647</v>
      </c>
      <c r="F13" s="1586">
        <f t="shared" si="0"/>
        <v>62257</v>
      </c>
      <c r="G13" s="1586">
        <f t="shared" si="0"/>
        <v>73581</v>
      </c>
      <c r="H13" s="1586">
        <f t="shared" si="0"/>
        <v>790653</v>
      </c>
      <c r="I13" s="1586">
        <f t="shared" si="0"/>
        <v>126943</v>
      </c>
      <c r="J13" s="1586">
        <f t="shared" si="0"/>
        <v>67152</v>
      </c>
      <c r="K13" s="1586">
        <f t="shared" si="0"/>
        <v>94304</v>
      </c>
      <c r="L13" s="1586">
        <f t="shared" si="0"/>
        <v>71335</v>
      </c>
      <c r="M13" s="1574"/>
      <c r="N13" s="1575"/>
    </row>
    <row r="14" spans="1:14" ht="18" customHeight="1" thickTop="1" x14ac:dyDescent="0.2">
      <c r="A14" s="2236" t="s">
        <v>146</v>
      </c>
      <c r="B14" s="2237"/>
      <c r="C14" s="1587"/>
      <c r="D14" s="1588"/>
      <c r="E14" s="1588"/>
      <c r="F14" s="1588"/>
      <c r="G14" s="1588"/>
      <c r="H14" s="1588"/>
      <c r="I14" s="1588"/>
      <c r="J14" s="1588"/>
      <c r="K14" s="1588"/>
      <c r="L14" s="1588"/>
      <c r="M14" s="1589"/>
      <c r="N14" s="1590"/>
    </row>
    <row r="15" spans="1:14" s="433" customFormat="1" ht="12.75" customHeight="1" x14ac:dyDescent="0.2">
      <c r="A15" s="431" t="s">
        <v>1386</v>
      </c>
      <c r="B15" s="432">
        <v>210</v>
      </c>
      <c r="C15" s="1581"/>
      <c r="D15" s="1581"/>
      <c r="E15" s="1581"/>
      <c r="F15" s="1581"/>
      <c r="G15" s="1581"/>
      <c r="H15" s="1581"/>
      <c r="I15" s="1581"/>
      <c r="J15" s="1581"/>
      <c r="K15" s="1581"/>
      <c r="L15" s="1581"/>
      <c r="M15" s="1582"/>
      <c r="N15" s="1591"/>
    </row>
    <row r="16" spans="1:14" s="433" customFormat="1" ht="12.75" customHeight="1" x14ac:dyDescent="0.2">
      <c r="A16" s="431" t="s">
        <v>1387</v>
      </c>
      <c r="B16" s="432">
        <v>220</v>
      </c>
      <c r="C16" s="1581"/>
      <c r="D16" s="1581"/>
      <c r="E16" s="1581"/>
      <c r="F16" s="1581"/>
      <c r="G16" s="1581"/>
      <c r="H16" s="1581"/>
      <c r="I16" s="1581"/>
      <c r="J16" s="1581"/>
      <c r="K16" s="1581"/>
      <c r="L16" s="1581"/>
      <c r="M16" s="1573">
        <f>+'Cap Outlay Deprec 26'!F5</f>
        <v>4000</v>
      </c>
      <c r="N16" s="1591"/>
    </row>
    <row r="17" spans="1:14" s="433" customFormat="1" ht="12.75" customHeight="1" x14ac:dyDescent="0.2">
      <c r="A17" s="431" t="s">
        <v>1388</v>
      </c>
      <c r="B17" s="432">
        <v>230</v>
      </c>
      <c r="C17" s="1581"/>
      <c r="D17" s="1581"/>
      <c r="E17" s="1581"/>
      <c r="F17" s="1581"/>
      <c r="G17" s="1581"/>
      <c r="H17" s="1581"/>
      <c r="I17" s="1581"/>
      <c r="J17" s="1581"/>
      <c r="K17" s="1581"/>
      <c r="L17" s="1581"/>
      <c r="M17" s="1573">
        <f>+'Cap Outlay Deprec 26'!F8</f>
        <v>6458551</v>
      </c>
      <c r="N17" s="1591"/>
    </row>
    <row r="18" spans="1:14" s="433" customFormat="1" ht="12.75" customHeight="1" x14ac:dyDescent="0.2">
      <c r="A18" s="431" t="s">
        <v>1389</v>
      </c>
      <c r="B18" s="432">
        <v>240</v>
      </c>
      <c r="C18" s="1581"/>
      <c r="D18" s="1581"/>
      <c r="E18" s="1581"/>
      <c r="F18" s="1581"/>
      <c r="G18" s="1581"/>
      <c r="H18" s="1581"/>
      <c r="I18" s="1581"/>
      <c r="J18" s="1581"/>
      <c r="K18" s="1581"/>
      <c r="L18" s="1581"/>
      <c r="M18" s="1573">
        <f>+'Cap Outlay Deprec 26'!F10</f>
        <v>46255</v>
      </c>
      <c r="N18" s="1591"/>
    </row>
    <row r="19" spans="1:14" s="433" customFormat="1" ht="12.75" customHeight="1" x14ac:dyDescent="0.2">
      <c r="A19" s="431" t="s">
        <v>1390</v>
      </c>
      <c r="B19" s="432">
        <v>250</v>
      </c>
      <c r="C19" s="1581"/>
      <c r="D19" s="1581"/>
      <c r="E19" s="1581"/>
      <c r="F19" s="1581"/>
      <c r="G19" s="1581"/>
      <c r="H19" s="1581"/>
      <c r="I19" s="1581"/>
      <c r="J19" s="1581"/>
      <c r="K19" s="1581"/>
      <c r="L19" s="1581"/>
      <c r="M19" s="1573">
        <f>+'Cap Outlay Deprec 26'!F12+'Cap Outlay Deprec 26'!F13</f>
        <v>1213639</v>
      </c>
      <c r="N19" s="1591"/>
    </row>
    <row r="20" spans="1:14" s="433" customFormat="1" ht="12.75" customHeight="1" x14ac:dyDescent="0.2">
      <c r="A20" s="431" t="s">
        <v>1391</v>
      </c>
      <c r="B20" s="432">
        <v>260</v>
      </c>
      <c r="C20" s="1581"/>
      <c r="D20" s="1581"/>
      <c r="E20" s="1581"/>
      <c r="F20" s="1581"/>
      <c r="G20" s="1581"/>
      <c r="H20" s="1581"/>
      <c r="I20" s="1581"/>
      <c r="J20" s="1581"/>
      <c r="K20" s="1581"/>
      <c r="L20" s="1581"/>
      <c r="M20" s="1573">
        <f>+'Cap Outlay Deprec 26'!F15</f>
        <v>254198</v>
      </c>
      <c r="N20" s="1591"/>
    </row>
    <row r="21" spans="1:14" s="433" customFormat="1" ht="12.75" customHeight="1" x14ac:dyDescent="0.2">
      <c r="A21" s="431" t="s">
        <v>1392</v>
      </c>
      <c r="B21" s="432">
        <v>340</v>
      </c>
      <c r="C21" s="1581"/>
      <c r="D21" s="1581"/>
      <c r="E21" s="1581"/>
      <c r="F21" s="1581"/>
      <c r="G21" s="1581"/>
      <c r="H21" s="1581"/>
      <c r="I21" s="1581"/>
      <c r="J21" s="1581"/>
      <c r="K21" s="1581"/>
      <c r="L21" s="1581"/>
      <c r="M21" s="1592"/>
      <c r="N21" s="1573">
        <f>+E4+E5</f>
        <v>35647</v>
      </c>
    </row>
    <row r="22" spans="1:14" s="433" customFormat="1" ht="12.75" customHeight="1" x14ac:dyDescent="0.2">
      <c r="A22" s="431" t="s">
        <v>1393</v>
      </c>
      <c r="B22" s="432">
        <v>350</v>
      </c>
      <c r="C22" s="1581"/>
      <c r="D22" s="1581"/>
      <c r="E22" s="1581"/>
      <c r="F22" s="1581"/>
      <c r="G22" s="1581"/>
      <c r="H22" s="1581"/>
      <c r="I22" s="1581"/>
      <c r="J22" s="1581"/>
      <c r="K22" s="1581"/>
      <c r="L22" s="1581"/>
      <c r="M22" s="1592"/>
      <c r="N22" s="1606">
        <f>'Short-Term Long-Term Debt 24'!J49</f>
        <v>4149394</v>
      </c>
    </row>
    <row r="23" spans="1:14" ht="13.5" customHeight="1" thickBot="1" x14ac:dyDescent="0.25">
      <c r="A23" s="1425" t="s">
        <v>637</v>
      </c>
      <c r="B23" s="1428"/>
      <c r="C23" s="1574"/>
      <c r="D23" s="1574"/>
      <c r="E23" s="1574"/>
      <c r="F23" s="1574"/>
      <c r="G23" s="1574"/>
      <c r="H23" s="1574"/>
      <c r="I23" s="1574"/>
      <c r="J23" s="1574"/>
      <c r="K23" s="1574"/>
      <c r="L23" s="1574"/>
      <c r="M23" s="1593">
        <f>SUM(M15:M22)</f>
        <v>7976643</v>
      </c>
      <c r="N23" s="1593">
        <f>SUM(N21:N22)</f>
        <v>4185041</v>
      </c>
    </row>
    <row r="24" spans="1:14" ht="18" customHeight="1" thickTop="1" x14ac:dyDescent="0.2">
      <c r="A24" s="2238" t="s">
        <v>593</v>
      </c>
      <c r="B24" s="2239"/>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v>226</v>
      </c>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f>+L4</f>
        <v>71335</v>
      </c>
      <c r="M33" s="1574"/>
      <c r="N33" s="1575"/>
    </row>
    <row r="34" spans="1:14" ht="13.5" customHeight="1" thickBot="1" x14ac:dyDescent="0.25">
      <c r="A34" s="1426" t="s">
        <v>648</v>
      </c>
      <c r="B34" s="1427"/>
      <c r="C34" s="1599">
        <f>SUM(C25:C33)</f>
        <v>226</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71335</v>
      </c>
      <c r="M34" s="1574"/>
      <c r="N34" s="1584"/>
    </row>
    <row r="35" spans="1:14" ht="18" customHeight="1" thickTop="1" x14ac:dyDescent="0.2">
      <c r="A35" s="2240" t="s">
        <v>525</v>
      </c>
      <c r="B35" s="2241"/>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4185041</v>
      </c>
    </row>
    <row r="37" spans="1:14" ht="13.5" thickBot="1" x14ac:dyDescent="0.25">
      <c r="A37" s="1425" t="s">
        <v>647</v>
      </c>
      <c r="B37" s="1428"/>
      <c r="C37" s="1581"/>
      <c r="D37" s="1581"/>
      <c r="E37" s="1581"/>
      <c r="F37" s="1581"/>
      <c r="G37" s="1581"/>
      <c r="H37" s="1581"/>
      <c r="I37" s="1581"/>
      <c r="J37" s="1581"/>
      <c r="K37" s="1581"/>
      <c r="L37" s="1584"/>
      <c r="M37" s="1574"/>
      <c r="N37" s="1593">
        <f>SUM(N36:N36)</f>
        <v>4185041</v>
      </c>
    </row>
    <row r="38" spans="1:14" s="307" customFormat="1" ht="13.5" customHeight="1" thickTop="1" x14ac:dyDescent="0.2">
      <c r="A38" s="438" t="s">
        <v>416</v>
      </c>
      <c r="B38" s="432">
        <v>714</v>
      </c>
      <c r="C38" s="1572">
        <v>26651</v>
      </c>
      <c r="D38" s="1572">
        <v>5008</v>
      </c>
      <c r="E38" s="1572"/>
      <c r="F38" s="1572"/>
      <c r="G38" s="1572"/>
      <c r="H38" s="1572"/>
      <c r="I38" s="1572"/>
      <c r="J38" s="1573"/>
      <c r="K38" s="1572"/>
      <c r="L38" s="1585"/>
      <c r="M38" s="1603"/>
      <c r="N38" s="1603"/>
    </row>
    <row r="39" spans="1:14" s="307" customFormat="1" ht="13.5" customHeight="1" x14ac:dyDescent="0.2">
      <c r="A39" s="438" t="s">
        <v>338</v>
      </c>
      <c r="B39" s="432">
        <v>730</v>
      </c>
      <c r="C39" s="1572">
        <f>'Acct Summary 7-8'!C81-C38</f>
        <v>533563</v>
      </c>
      <c r="D39" s="1572">
        <f>'Acct Summary 7-8'!D81-D38</f>
        <v>374790</v>
      </c>
      <c r="E39" s="1572">
        <f>'Acct Summary 7-8'!E81-E38</f>
        <v>35647</v>
      </c>
      <c r="F39" s="1572">
        <f>'Acct Summary 7-8'!F81-F38</f>
        <v>62257</v>
      </c>
      <c r="G39" s="1572">
        <f>'Acct Summary 7-8'!G81-G38</f>
        <v>73581</v>
      </c>
      <c r="H39" s="1572">
        <f>'Acct Summary 7-8'!H81-H38</f>
        <v>790653</v>
      </c>
      <c r="I39" s="1572">
        <f>'Acct Summary 7-8'!I81-I38</f>
        <v>126943</v>
      </c>
      <c r="J39" s="1572">
        <f>'Acct Summary 7-8'!J81-J38</f>
        <v>67152</v>
      </c>
      <c r="K39" s="1572">
        <f>'Acct Summary 7-8'!K81-K38</f>
        <v>94304</v>
      </c>
      <c r="L39" s="1572">
        <f>'Acct Summary 7-8'!L81</f>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7976643</v>
      </c>
      <c r="N40" s="1603"/>
    </row>
    <row r="41" spans="1:14" ht="13.5" customHeight="1" thickBot="1" x14ac:dyDescent="0.25">
      <c r="A41" s="1425" t="s">
        <v>649</v>
      </c>
      <c r="B41" s="1404"/>
      <c r="C41" s="1593">
        <f>(SUM(C34,C37,C38,C39))</f>
        <v>560440</v>
      </c>
      <c r="D41" s="1593">
        <f t="shared" ref="D41:L41" si="2">SUM(D34,D37,D38:D39)</f>
        <v>379798</v>
      </c>
      <c r="E41" s="1593">
        <f t="shared" si="2"/>
        <v>35647</v>
      </c>
      <c r="F41" s="1593">
        <f t="shared" si="2"/>
        <v>62257</v>
      </c>
      <c r="G41" s="1593">
        <f t="shared" si="2"/>
        <v>73581</v>
      </c>
      <c r="H41" s="1593">
        <f t="shared" si="2"/>
        <v>790653</v>
      </c>
      <c r="I41" s="1593">
        <f t="shared" si="2"/>
        <v>126943</v>
      </c>
      <c r="J41" s="1593">
        <f t="shared" si="2"/>
        <v>67152</v>
      </c>
      <c r="K41" s="1593">
        <f t="shared" si="2"/>
        <v>94304</v>
      </c>
      <c r="L41" s="1593">
        <f t="shared" si="2"/>
        <v>71335</v>
      </c>
      <c r="M41" s="1593">
        <f>SUM(M40)</f>
        <v>7976643</v>
      </c>
      <c r="N41" s="1593">
        <f>SUM(N37)</f>
        <v>4185041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&amp;C&amp;P
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9" sqref="C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62" t="s">
        <v>1166</v>
      </c>
      <c r="B3" s="2263"/>
      <c r="C3" s="1310"/>
      <c r="D3" s="1311"/>
      <c r="E3" s="1311"/>
      <c r="F3" s="1311"/>
      <c r="G3" s="1311"/>
      <c r="H3" s="1311"/>
      <c r="I3" s="1311"/>
      <c r="J3" s="1311"/>
      <c r="K3" s="1312"/>
      <c r="L3" s="446"/>
    </row>
    <row r="4" spans="1:13" ht="15.75" customHeight="1" x14ac:dyDescent="0.2">
      <c r="A4" s="1536" t="s">
        <v>1484</v>
      </c>
      <c r="B4" s="1537">
        <v>1000</v>
      </c>
      <c r="C4" s="1605">
        <f>'Revenues 9-14'!C109</f>
        <v>1628102</v>
      </c>
      <c r="D4" s="1605">
        <f>'Revenues 9-14'!D109</f>
        <v>233743</v>
      </c>
      <c r="E4" s="1605">
        <f>'Revenues 9-14'!E109</f>
        <v>225504</v>
      </c>
      <c r="F4" s="1605">
        <f>'Revenues 9-14'!F109</f>
        <v>136655</v>
      </c>
      <c r="G4" s="1605">
        <f>'Revenues 9-14'!G109</f>
        <v>118304</v>
      </c>
      <c r="H4" s="1605">
        <f>'Revenues 9-14'!H109</f>
        <v>75865</v>
      </c>
      <c r="I4" s="1605">
        <f>'Revenues 9-14'!I109</f>
        <v>23894</v>
      </c>
      <c r="J4" s="1605">
        <f>'Revenues 9-14'!J109</f>
        <v>151429</v>
      </c>
      <c r="K4" s="1605">
        <f>'Revenues 9-14'!K109</f>
        <v>21649</v>
      </c>
      <c r="L4" s="325"/>
    </row>
    <row r="5" spans="1:13" ht="15.75" customHeight="1" x14ac:dyDescent="0.2">
      <c r="A5" s="1313" t="s">
        <v>1485</v>
      </c>
      <c r="B5" s="1314">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3" t="s">
        <v>1486</v>
      </c>
      <c r="B6" s="1315">
        <v>3000</v>
      </c>
      <c r="C6" s="1606">
        <f>'Revenues 9-14'!C170</f>
        <v>481761</v>
      </c>
      <c r="D6" s="1606">
        <f>'Revenues 9-14'!D170</f>
        <v>0</v>
      </c>
      <c r="E6" s="1606">
        <f>'Revenues 9-14'!E170</f>
        <v>0</v>
      </c>
      <c r="F6" s="1606">
        <f>'Revenues 9-14'!F170</f>
        <v>155527</v>
      </c>
      <c r="G6" s="1606">
        <f>'Revenues 9-14'!G170</f>
        <v>0</v>
      </c>
      <c r="H6" s="1606">
        <f>'Revenues 9-14'!H170</f>
        <v>50000</v>
      </c>
      <c r="I6" s="1606">
        <f>'Revenues 9-14'!I170</f>
        <v>0</v>
      </c>
      <c r="J6" s="1606">
        <f>'Revenues 9-14'!J170</f>
        <v>0</v>
      </c>
      <c r="K6" s="1606">
        <f>'Revenues 9-14'!K170</f>
        <v>0</v>
      </c>
      <c r="L6" s="325"/>
      <c r="M6" s="448"/>
    </row>
    <row r="7" spans="1:13" ht="15.75" customHeight="1" x14ac:dyDescent="0.2">
      <c r="A7" s="1313" t="s">
        <v>1487</v>
      </c>
      <c r="B7" s="1315">
        <v>4000</v>
      </c>
      <c r="C7" s="1606">
        <f>'Revenues 9-14'!C267</f>
        <v>191382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1163</v>
      </c>
      <c r="B8" s="1406"/>
      <c r="C8" s="1593">
        <f>SUM(C4:C7)</f>
        <v>2301245</v>
      </c>
      <c r="D8" s="1593">
        <f t="shared" ref="D8:K8" si="0">SUM(D4:D7)</f>
        <v>233743</v>
      </c>
      <c r="E8" s="1593">
        <f t="shared" si="0"/>
        <v>225504</v>
      </c>
      <c r="F8" s="1593">
        <f t="shared" si="0"/>
        <v>292182</v>
      </c>
      <c r="G8" s="1593">
        <f t="shared" si="0"/>
        <v>118304</v>
      </c>
      <c r="H8" s="1593">
        <f t="shared" si="0"/>
        <v>125865</v>
      </c>
      <c r="I8" s="1593">
        <f t="shared" si="0"/>
        <v>23894</v>
      </c>
      <c r="J8" s="1593">
        <f t="shared" si="0"/>
        <v>151429</v>
      </c>
      <c r="K8" s="1593">
        <f t="shared" si="0"/>
        <v>21649</v>
      </c>
      <c r="L8" s="325"/>
    </row>
    <row r="9" spans="1:13" ht="15.75" thickTop="1" x14ac:dyDescent="0.2">
      <c r="A9" s="449" t="s">
        <v>1636</v>
      </c>
      <c r="B9" s="450">
        <v>3998</v>
      </c>
      <c r="C9" s="1585">
        <v>679587</v>
      </c>
      <c r="D9" s="1612"/>
      <c r="E9" s="1585"/>
      <c r="F9" s="1585"/>
      <c r="G9" s="1613"/>
      <c r="H9" s="1585"/>
      <c r="I9" s="1608" t="s">
        <v>1160</v>
      </c>
      <c r="J9" s="1582"/>
      <c r="K9" s="1585"/>
      <c r="L9" s="325"/>
    </row>
    <row r="10" spans="1:13" s="452" customFormat="1" ht="13.5" thickBot="1" x14ac:dyDescent="0.25">
      <c r="A10" s="1425" t="s">
        <v>1164</v>
      </c>
      <c r="B10" s="1406"/>
      <c r="C10" s="1593">
        <f>SUM(C8:C9)</f>
        <v>2980832</v>
      </c>
      <c r="D10" s="1593">
        <f t="shared" ref="D10:K10" si="1">SUM(D8:D9)</f>
        <v>233743</v>
      </c>
      <c r="E10" s="1593">
        <f t="shared" si="1"/>
        <v>225504</v>
      </c>
      <c r="F10" s="1593">
        <f t="shared" si="1"/>
        <v>292182</v>
      </c>
      <c r="G10" s="1593">
        <f t="shared" si="1"/>
        <v>118304</v>
      </c>
      <c r="H10" s="1593">
        <f t="shared" si="1"/>
        <v>125865</v>
      </c>
      <c r="I10" s="1593">
        <f t="shared" si="1"/>
        <v>23894</v>
      </c>
      <c r="J10" s="1593">
        <f t="shared" si="1"/>
        <v>151429</v>
      </c>
      <c r="K10" s="1593">
        <f t="shared" si="1"/>
        <v>21649</v>
      </c>
      <c r="L10" s="451"/>
    </row>
    <row r="11" spans="1:13" s="452" customFormat="1" ht="16.7" customHeight="1" thickTop="1" x14ac:dyDescent="0.2">
      <c r="A11" s="2236" t="s">
        <v>1167</v>
      </c>
      <c r="B11" s="2237"/>
      <c r="C11" s="1601"/>
      <c r="D11" s="1602"/>
      <c r="E11" s="1602"/>
      <c r="F11" s="1602"/>
      <c r="G11" s="1602"/>
      <c r="H11" s="1602"/>
      <c r="I11" s="1602"/>
      <c r="J11" s="1602"/>
      <c r="K11" s="1614"/>
      <c r="L11" s="451"/>
    </row>
    <row r="12" spans="1:13" ht="15.75" customHeight="1" x14ac:dyDescent="0.2">
      <c r="A12" s="1313" t="s">
        <v>452</v>
      </c>
      <c r="B12" s="1315">
        <v>1000</v>
      </c>
      <c r="C12" s="1605">
        <f>'Expenditures 15-22'!K33</f>
        <v>1521528</v>
      </c>
      <c r="D12" s="1615" t="s">
        <v>1160</v>
      </c>
      <c r="E12" s="1574" t="s">
        <v>1160</v>
      </c>
      <c r="F12" s="1574" t="s">
        <v>1160</v>
      </c>
      <c r="G12" s="1605">
        <f>'Expenditures 15-22'!K229</f>
        <v>49184</v>
      </c>
      <c r="H12" s="1616"/>
      <c r="I12" s="1574" t="s">
        <v>1160</v>
      </c>
      <c r="J12" s="1574" t="s">
        <v>1160</v>
      </c>
      <c r="K12" s="1616" t="s">
        <v>1160</v>
      </c>
      <c r="L12" s="325"/>
    </row>
    <row r="13" spans="1:13" ht="15.75" customHeight="1" x14ac:dyDescent="0.2">
      <c r="A13" s="1313" t="s">
        <v>453</v>
      </c>
      <c r="B13" s="1315">
        <v>2000</v>
      </c>
      <c r="C13" s="1606">
        <f>'Expenditures 15-22'!K74</f>
        <v>650120</v>
      </c>
      <c r="D13" s="1606">
        <f>'Expenditures 15-22'!K129</f>
        <v>202525</v>
      </c>
      <c r="E13" s="1575" t="s">
        <v>1160</v>
      </c>
      <c r="F13" s="1606">
        <f>'Expenditures 15-22'!K184</f>
        <v>260802</v>
      </c>
      <c r="G13" s="1606">
        <f>'Expenditures 15-22'!K279</f>
        <v>120490</v>
      </c>
      <c r="H13" s="1606">
        <f>'Expenditures 15-22'!K303</f>
        <v>964345</v>
      </c>
      <c r="I13" s="1574" t="s">
        <v>1160</v>
      </c>
      <c r="J13" s="1606">
        <f>'Expenditures 15-22'!K330</f>
        <v>164300</v>
      </c>
      <c r="K13" s="1617">
        <f>'Expenditures 15-22'!K352</f>
        <v>19079</v>
      </c>
      <c r="L13" s="325"/>
    </row>
    <row r="14" spans="1:13" ht="15.75" customHeight="1" x14ac:dyDescent="0.2">
      <c r="A14" s="1313" t="s">
        <v>445</v>
      </c>
      <c r="B14" s="1315">
        <v>3000</v>
      </c>
      <c r="C14" s="1606">
        <f>'Expenditures 15-22'!K75</f>
        <v>5006</v>
      </c>
      <c r="D14" s="1606">
        <f>'Expenditures 15-22'!K130</f>
        <v>0</v>
      </c>
      <c r="E14" s="1615" t="s">
        <v>1160</v>
      </c>
      <c r="F14" s="1606">
        <f>'Expenditures 15-22'!K185</f>
        <v>0</v>
      </c>
      <c r="G14" s="1606">
        <f>'Expenditures 15-22'!K280</f>
        <v>0</v>
      </c>
      <c r="H14" s="1611"/>
      <c r="I14" s="1574" t="s">
        <v>1160</v>
      </c>
      <c r="J14" s="1574" t="s">
        <v>1160</v>
      </c>
      <c r="K14" s="1611" t="s">
        <v>1160</v>
      </c>
      <c r="L14" s="325"/>
    </row>
    <row r="15" spans="1:13" ht="15.75" customHeight="1" x14ac:dyDescent="0.2">
      <c r="A15" s="1313" t="s">
        <v>107</v>
      </c>
      <c r="B15" s="1315">
        <v>4000</v>
      </c>
      <c r="C15" s="1606">
        <f>'Expenditures 15-22'!K102</f>
        <v>95699</v>
      </c>
      <c r="D15" s="1606">
        <f>'Expenditures 15-22'!K139</f>
        <v>0</v>
      </c>
      <c r="E15" s="1606">
        <f>'Expenditures 15-22'!K160</f>
        <v>0</v>
      </c>
      <c r="F15" s="1606">
        <f>'Expenditures 15-22'!K196</f>
        <v>0</v>
      </c>
      <c r="G15" s="1606">
        <f>'Expenditures 15-22'!K285</f>
        <v>0</v>
      </c>
      <c r="H15" s="1606">
        <f>'Expenditures 15-22'!K310</f>
        <v>0</v>
      </c>
      <c r="I15" s="1574" t="s">
        <v>1160</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221752</v>
      </c>
      <c r="F16" s="1606">
        <f>'Expenditures 15-22'!K208</f>
        <v>4802</v>
      </c>
      <c r="G16" s="1606">
        <f>'Expenditures 15-22'!K293</f>
        <v>0</v>
      </c>
      <c r="H16" s="1619"/>
      <c r="I16" s="1574" t="s">
        <v>1160</v>
      </c>
      <c r="J16" s="1620">
        <f>'Expenditures 15-22'!K340</f>
        <v>0</v>
      </c>
      <c r="K16" s="1606">
        <f>'Expenditures 15-22'!K365</f>
        <v>0</v>
      </c>
      <c r="L16" s="325"/>
    </row>
    <row r="17" spans="1:12" ht="13.5" thickBot="1" x14ac:dyDescent="0.25">
      <c r="A17" s="1405" t="s">
        <v>48</v>
      </c>
      <c r="B17" s="1406"/>
      <c r="C17" s="1593">
        <f t="shared" ref="C17:H17" si="2">SUM(C12:C16)</f>
        <v>2272353</v>
      </c>
      <c r="D17" s="1593">
        <f t="shared" si="2"/>
        <v>202525</v>
      </c>
      <c r="E17" s="1593">
        <f t="shared" si="2"/>
        <v>221752</v>
      </c>
      <c r="F17" s="1593">
        <f t="shared" si="2"/>
        <v>265604</v>
      </c>
      <c r="G17" s="1593">
        <f t="shared" si="2"/>
        <v>169674</v>
      </c>
      <c r="H17" s="1593">
        <f t="shared" si="2"/>
        <v>964345</v>
      </c>
      <c r="I17" s="1574"/>
      <c r="J17" s="1593">
        <f>SUM(J12:J16)</f>
        <v>164300</v>
      </c>
      <c r="K17" s="1593">
        <f>SUM(K12:K16)</f>
        <v>19079</v>
      </c>
      <c r="L17" s="325"/>
    </row>
    <row r="18" spans="1:12" ht="15" customHeight="1" thickTop="1" x14ac:dyDescent="0.2">
      <c r="A18" s="1429" t="s">
        <v>1637</v>
      </c>
      <c r="B18" s="1430">
        <v>4180</v>
      </c>
      <c r="C18" s="1605">
        <f t="shared" ref="C18:H18" si="3">C9</f>
        <v>679587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2951940</v>
      </c>
      <c r="D19" s="1593">
        <f t="shared" si="4"/>
        <v>202525</v>
      </c>
      <c r="E19" s="1593">
        <f t="shared" si="4"/>
        <v>221752</v>
      </c>
      <c r="F19" s="1593">
        <f t="shared" si="4"/>
        <v>265604</v>
      </c>
      <c r="G19" s="1593">
        <f t="shared" si="4"/>
        <v>169674</v>
      </c>
      <c r="H19" s="1593">
        <f t="shared" si="4"/>
        <v>964345</v>
      </c>
      <c r="I19" s="1574"/>
      <c r="J19" s="1593">
        <f>SUM(J17:J18)</f>
        <v>164300</v>
      </c>
      <c r="K19" s="1593">
        <f>SUM(K17:K18)</f>
        <v>19079</v>
      </c>
      <c r="L19" s="325"/>
    </row>
    <row r="20" spans="1:12" ht="16.5" thickTop="1" thickBot="1" x14ac:dyDescent="0.25">
      <c r="A20" s="2252" t="s">
        <v>1638</v>
      </c>
      <c r="B20" s="2253"/>
      <c r="C20" s="1621">
        <f>C8-C17</f>
        <v>28892</v>
      </c>
      <c r="D20" s="1621">
        <f t="shared" ref="D20:K20" si="5">D8-D17</f>
        <v>31218</v>
      </c>
      <c r="E20" s="1621">
        <f t="shared" si="5"/>
        <v>3752</v>
      </c>
      <c r="F20" s="1621">
        <f t="shared" si="5"/>
        <v>26578</v>
      </c>
      <c r="G20" s="1621">
        <f t="shared" si="5"/>
        <v>-51370</v>
      </c>
      <c r="H20" s="1621">
        <f t="shared" si="5"/>
        <v>-838480</v>
      </c>
      <c r="I20" s="1621">
        <f t="shared" si="5"/>
        <v>23894</v>
      </c>
      <c r="J20" s="1621">
        <f t="shared" si="5"/>
        <v>-12871</v>
      </c>
      <c r="K20" s="1621">
        <f t="shared" si="5"/>
        <v>2570</v>
      </c>
      <c r="L20" s="325"/>
    </row>
    <row r="21" spans="1:12" ht="16.7" customHeight="1" thickTop="1" x14ac:dyDescent="0.2">
      <c r="A21" s="2264" t="s">
        <v>590</v>
      </c>
      <c r="B21" s="2265"/>
      <c r="C21" s="1601"/>
      <c r="D21" s="1602"/>
      <c r="E21" s="1602"/>
      <c r="F21" s="1602"/>
      <c r="G21" s="1602"/>
      <c r="H21" s="1602"/>
      <c r="I21" s="1602"/>
      <c r="J21" s="1602"/>
      <c r="K21" s="1614"/>
      <c r="L21" s="453"/>
    </row>
    <row r="22" spans="1:12" ht="15.75" customHeight="1" collapsed="1" x14ac:dyDescent="0.2">
      <c r="A22" s="2260" t="s">
        <v>591</v>
      </c>
      <c r="B22" s="2261"/>
      <c r="C22" s="1581"/>
      <c r="D22" s="1581"/>
      <c r="E22" s="1581"/>
      <c r="F22" s="1581"/>
      <c r="G22" s="1581"/>
      <c r="H22" s="1581"/>
      <c r="I22" s="1581"/>
      <c r="J22" s="1581"/>
      <c r="K22" s="1581"/>
      <c r="L22" s="325"/>
    </row>
    <row r="23" spans="1:12" s="433" customFormat="1" ht="15.75" customHeight="1" x14ac:dyDescent="0.2">
      <c r="A23" s="2256" t="s">
        <v>289</v>
      </c>
      <c r="B23" s="2257"/>
      <c r="C23" s="1584"/>
      <c r="D23" s="1581"/>
      <c r="E23" s="1581"/>
      <c r="F23" s="1581"/>
      <c r="G23" s="1581"/>
      <c r="H23" s="1581"/>
      <c r="I23" s="1581"/>
      <c r="J23" s="1581"/>
      <c r="K23" s="1581"/>
      <c r="L23" s="453"/>
    </row>
    <row r="24" spans="1:12" s="433" customFormat="1" ht="13.5" customHeight="1" x14ac:dyDescent="0.2">
      <c r="A24" s="1259" t="s">
        <v>1639</v>
      </c>
      <c r="B24" s="454">
        <v>7110</v>
      </c>
      <c r="C24" s="1573"/>
      <c r="D24" s="1581"/>
      <c r="E24" s="1581"/>
      <c r="F24" s="1581"/>
      <c r="G24" s="1581"/>
      <c r="H24" s="1581"/>
      <c r="I24" s="1581"/>
      <c r="J24" s="1581"/>
      <c r="K24" s="1581"/>
      <c r="L24" s="453"/>
    </row>
    <row r="25" spans="1:12" s="433" customFormat="1" ht="13.5" customHeight="1" x14ac:dyDescent="0.2">
      <c r="A25" s="1259" t="s">
        <v>1640</v>
      </c>
      <c r="B25" s="454">
        <v>7110</v>
      </c>
      <c r="C25" s="1573"/>
      <c r="D25" s="1573"/>
      <c r="E25" s="1573"/>
      <c r="F25" s="1573"/>
      <c r="G25" s="1573"/>
      <c r="H25" s="1573">
        <v>1629133</v>
      </c>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1383</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1773</v>
      </c>
      <c r="B30" s="455">
        <v>7160</v>
      </c>
      <c r="C30" s="1581"/>
      <c r="D30" s="1573"/>
      <c r="E30" s="1581"/>
      <c r="F30" s="1581"/>
      <c r="G30" s="1581"/>
      <c r="H30" s="1581"/>
      <c r="I30" s="1581"/>
      <c r="J30" s="1581"/>
      <c r="K30" s="1581"/>
      <c r="L30" s="453"/>
    </row>
    <row r="31" spans="1:12" s="433" customFormat="1" ht="26.25" x14ac:dyDescent="0.2">
      <c r="A31" s="1259" t="s">
        <v>1777</v>
      </c>
      <c r="B31" s="455">
        <v>7170</v>
      </c>
      <c r="C31" s="1581"/>
      <c r="D31" s="1581"/>
      <c r="E31" s="1578"/>
      <c r="F31" s="1581"/>
      <c r="G31" s="1581"/>
      <c r="H31" s="1581"/>
      <c r="I31" s="1581"/>
      <c r="J31" s="1581"/>
      <c r="K31" s="1581"/>
      <c r="L31" s="453"/>
    </row>
    <row r="32" spans="1:12" s="433" customFormat="1" ht="15.75" customHeight="1" x14ac:dyDescent="0.2">
      <c r="A32" s="2258" t="s">
        <v>973</v>
      </c>
      <c r="B32" s="2259"/>
      <c r="C32" s="1581"/>
      <c r="D32" s="1581"/>
      <c r="E32" s="1579"/>
      <c r="F32" s="1581"/>
      <c r="G32" s="1581"/>
      <c r="H32" s="1581"/>
      <c r="I32" s="1581"/>
      <c r="J32" s="1581"/>
      <c r="K32" s="1581"/>
      <c r="L32" s="453"/>
    </row>
    <row r="33" spans="1:12" s="433" customFormat="1" x14ac:dyDescent="0.2">
      <c r="A33" s="1259" t="s">
        <v>408</v>
      </c>
      <c r="B33" s="454">
        <v>7210</v>
      </c>
      <c r="C33" s="1573"/>
      <c r="D33" s="1573"/>
      <c r="E33" s="1573"/>
      <c r="F33" s="1573"/>
      <c r="G33" s="1581"/>
      <c r="H33" s="1573"/>
      <c r="I33" s="1573">
        <v>1510000</v>
      </c>
      <c r="J33" s="1573"/>
      <c r="K33" s="1573"/>
      <c r="L33" s="453"/>
    </row>
    <row r="34" spans="1:12" s="433" customFormat="1" x14ac:dyDescent="0.2">
      <c r="A34" s="1259" t="s">
        <v>993</v>
      </c>
      <c r="B34" s="454">
        <v>7220</v>
      </c>
      <c r="C34" s="1573"/>
      <c r="D34" s="1573"/>
      <c r="E34" s="1573"/>
      <c r="F34" s="1573"/>
      <c r="G34" s="1581"/>
      <c r="H34" s="1582"/>
      <c r="I34" s="1582">
        <v>19133</v>
      </c>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1641</v>
      </c>
      <c r="B36" s="454">
        <v>7300</v>
      </c>
      <c r="C36" s="1573"/>
      <c r="D36" s="1573"/>
      <c r="E36" s="1573"/>
      <c r="F36" s="1573"/>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c r="G43" s="1573"/>
      <c r="H43" s="1573"/>
      <c r="I43" s="1573"/>
      <c r="J43" s="1573"/>
      <c r="K43" s="1573"/>
      <c r="L43" s="453"/>
    </row>
    <row r="44" spans="1:12" s="433" customFormat="1" ht="13.5" customHeight="1" thickBot="1" x14ac:dyDescent="0.25">
      <c r="A44" s="2266" t="s">
        <v>370</v>
      </c>
      <c r="B44" s="2267"/>
      <c r="C44" s="1623">
        <f>SUM(C24:C43)</f>
        <v>0</v>
      </c>
      <c r="D44" s="1623">
        <f t="shared" ref="D44:K44" si="6">SUM(D24:D43)</f>
        <v>0</v>
      </c>
      <c r="E44" s="1623">
        <f t="shared" si="6"/>
        <v>0</v>
      </c>
      <c r="F44" s="1623">
        <f t="shared" si="6"/>
        <v>0</v>
      </c>
      <c r="G44" s="1623">
        <f t="shared" si="6"/>
        <v>0</v>
      </c>
      <c r="H44" s="1623">
        <f t="shared" si="6"/>
        <v>1629133</v>
      </c>
      <c r="I44" s="1623">
        <f t="shared" si="6"/>
        <v>1529133</v>
      </c>
      <c r="J44" s="1623">
        <f t="shared" si="6"/>
        <v>0</v>
      </c>
      <c r="K44" s="1623">
        <f t="shared" si="6"/>
        <v>0</v>
      </c>
      <c r="L44" s="453"/>
    </row>
    <row r="45" spans="1:12" ht="15.75" customHeight="1" thickTop="1" x14ac:dyDescent="0.2">
      <c r="A45" s="2260" t="s">
        <v>108</v>
      </c>
      <c r="B45" s="2261"/>
      <c r="C45" s="1624"/>
      <c r="D45" s="1624"/>
      <c r="E45" s="1624"/>
      <c r="F45" s="1624"/>
      <c r="G45" s="1624"/>
      <c r="H45" s="1624"/>
      <c r="I45" s="1624"/>
      <c r="J45" s="1624"/>
      <c r="K45" s="1624"/>
      <c r="L45" s="325"/>
    </row>
    <row r="46" spans="1:12" s="433" customFormat="1" ht="15.75" customHeight="1" x14ac:dyDescent="0.2">
      <c r="A46" s="2268" t="s">
        <v>109</v>
      </c>
      <c r="B46" s="2269"/>
      <c r="C46" s="1581"/>
      <c r="D46" s="1581"/>
      <c r="E46" s="1581"/>
      <c r="F46" s="1581"/>
      <c r="G46" s="1581"/>
      <c r="H46" s="1581"/>
      <c r="I46" s="1584"/>
      <c r="J46" s="1581"/>
      <c r="K46" s="1581"/>
      <c r="L46" s="456"/>
    </row>
    <row r="47" spans="1:12" s="433" customFormat="1" ht="15" x14ac:dyDescent="0.2">
      <c r="A47" s="1260" t="s">
        <v>1642</v>
      </c>
      <c r="B47" s="432">
        <v>8110</v>
      </c>
      <c r="C47" s="1581"/>
      <c r="D47" s="1581"/>
      <c r="E47" s="1581"/>
      <c r="F47" s="1581"/>
      <c r="G47" s="1581"/>
      <c r="H47" s="1581"/>
      <c r="I47" s="1606">
        <f>SUM(C24,C25:H25,J25:K25)</f>
        <v>1629133</v>
      </c>
      <c r="J47" s="1581"/>
      <c r="K47" s="1581"/>
      <c r="L47" s="456"/>
    </row>
    <row r="48" spans="1:12" s="433" customFormat="1" ht="15" x14ac:dyDescent="0.2">
      <c r="A48" s="1260" t="s">
        <v>1643</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1383</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c r="J75" s="1625"/>
      <c r="K75" s="1627"/>
      <c r="L75" s="453"/>
    </row>
    <row r="76" spans="1:12" s="433" customFormat="1" ht="14.25" thickTop="1" thickBot="1" x14ac:dyDescent="0.25">
      <c r="A76" s="2242" t="s">
        <v>436</v>
      </c>
      <c r="B76" s="2243"/>
      <c r="C76" s="1623">
        <f t="shared" ref="C76:K76" si="7">SUM(C47:C75)</f>
        <v>0</v>
      </c>
      <c r="D76" s="1623">
        <f t="shared" si="7"/>
        <v>0</v>
      </c>
      <c r="E76" s="1623">
        <f t="shared" si="7"/>
        <v>0</v>
      </c>
      <c r="F76" s="1623">
        <f t="shared" si="7"/>
        <v>0</v>
      </c>
      <c r="G76" s="1623">
        <f t="shared" si="7"/>
        <v>0</v>
      </c>
      <c r="H76" s="1623">
        <f t="shared" si="7"/>
        <v>0</v>
      </c>
      <c r="I76" s="1623">
        <f t="shared" si="7"/>
        <v>1629133</v>
      </c>
      <c r="J76" s="1623">
        <f t="shared" si="7"/>
        <v>0</v>
      </c>
      <c r="K76" s="1623">
        <f t="shared" si="7"/>
        <v>0</v>
      </c>
      <c r="L76" s="453"/>
    </row>
    <row r="77" spans="1:12" ht="14.25" thickTop="1" thickBot="1" x14ac:dyDescent="0.25">
      <c r="A77" s="2244" t="s">
        <v>1168</v>
      </c>
      <c r="B77" s="2245"/>
      <c r="C77" s="1623">
        <f t="shared" ref="C77:K77" si="8">C44-C76</f>
        <v>0</v>
      </c>
      <c r="D77" s="1623">
        <f t="shared" si="8"/>
        <v>0</v>
      </c>
      <c r="E77" s="1623">
        <f t="shared" si="8"/>
        <v>0</v>
      </c>
      <c r="F77" s="1623">
        <f t="shared" si="8"/>
        <v>0</v>
      </c>
      <c r="G77" s="1623">
        <f t="shared" si="8"/>
        <v>0</v>
      </c>
      <c r="H77" s="1623">
        <f t="shared" si="8"/>
        <v>1629133</v>
      </c>
      <c r="I77" s="1623">
        <f t="shared" si="8"/>
        <v>-100000</v>
      </c>
      <c r="J77" s="1623">
        <f t="shared" si="8"/>
        <v>0</v>
      </c>
      <c r="K77" s="1623">
        <f t="shared" si="8"/>
        <v>0</v>
      </c>
      <c r="L77" s="325"/>
    </row>
    <row r="78" spans="1:12" ht="21.75" customHeight="1" thickTop="1" thickBot="1" x14ac:dyDescent="0.25">
      <c r="A78" s="2248" t="s">
        <v>592</v>
      </c>
      <c r="B78" s="2249"/>
      <c r="C78" s="1628">
        <f t="shared" ref="C78:K78" si="9">C20+C77</f>
        <v>28892</v>
      </c>
      <c r="D78" s="1628">
        <f t="shared" si="9"/>
        <v>31218</v>
      </c>
      <c r="E78" s="1628">
        <f t="shared" si="9"/>
        <v>3752</v>
      </c>
      <c r="F78" s="1628">
        <f t="shared" si="9"/>
        <v>26578</v>
      </c>
      <c r="G78" s="1628">
        <f t="shared" si="9"/>
        <v>-51370</v>
      </c>
      <c r="H78" s="1628">
        <f t="shared" si="9"/>
        <v>790653</v>
      </c>
      <c r="I78" s="1628">
        <f t="shared" si="9"/>
        <v>-76106</v>
      </c>
      <c r="J78" s="1628">
        <f t="shared" si="9"/>
        <v>-12871</v>
      </c>
      <c r="K78" s="1628">
        <f t="shared" si="9"/>
        <v>2570</v>
      </c>
      <c r="L78" s="457"/>
    </row>
    <row r="79" spans="1:12" ht="13.5" thickTop="1" x14ac:dyDescent="0.2">
      <c r="A79" s="1843" t="str">
        <f>"Fund Balances - July 1, "&amp;'AFR20'!E2-1</f>
        <v>Fund Balances - July 1, 2019</v>
      </c>
      <c r="B79" s="458"/>
      <c r="C79" s="1582">
        <v>531322</v>
      </c>
      <c r="D79" s="1629">
        <v>348580</v>
      </c>
      <c r="E79" s="1629">
        <v>31895</v>
      </c>
      <c r="F79" s="1629">
        <v>35679</v>
      </c>
      <c r="G79" s="1629">
        <v>124951</v>
      </c>
      <c r="H79" s="1629">
        <v>0</v>
      </c>
      <c r="I79" s="1629">
        <v>203049</v>
      </c>
      <c r="J79" s="1629">
        <v>80023</v>
      </c>
      <c r="K79" s="1629">
        <v>91734</v>
      </c>
      <c r="L79" s="325"/>
    </row>
    <row r="80" spans="1:12" x14ac:dyDescent="0.2">
      <c r="A80" s="2254" t="s">
        <v>1774</v>
      </c>
      <c r="B80" s="2255"/>
      <c r="C80" s="1573"/>
      <c r="D80" s="1573"/>
      <c r="E80" s="1573"/>
      <c r="F80" s="1573"/>
      <c r="G80" s="1573"/>
      <c r="H80" s="1573"/>
      <c r="I80" s="1573"/>
      <c r="J80" s="1573"/>
      <c r="K80" s="1573"/>
      <c r="L80" s="325"/>
    </row>
    <row r="81" spans="1:12" ht="13.5" thickBot="1" x14ac:dyDescent="0.25">
      <c r="A81" s="2246" t="str">
        <f>"Fund Balances - June 30, "&amp;'AFR20'!E2</f>
        <v>Fund Balances - June 30, 2020</v>
      </c>
      <c r="B81" s="2247"/>
      <c r="C81" s="1593">
        <f>(SUM(C78:C80))</f>
        <v>560214</v>
      </c>
      <c r="D81" s="1593">
        <f>SUM(D78:D80)</f>
        <v>379798</v>
      </c>
      <c r="E81" s="1593">
        <f t="shared" ref="E81:K81" si="10">SUM(E78:E80)</f>
        <v>35647</v>
      </c>
      <c r="F81" s="1593">
        <f t="shared" si="10"/>
        <v>62257</v>
      </c>
      <c r="G81" s="1593">
        <f t="shared" si="10"/>
        <v>73581</v>
      </c>
      <c r="H81" s="1593">
        <f t="shared" si="10"/>
        <v>790653</v>
      </c>
      <c r="I81" s="1593">
        <f t="shared" si="10"/>
        <v>126943</v>
      </c>
      <c r="J81" s="1593">
        <f t="shared" si="10"/>
        <v>67152</v>
      </c>
      <c r="K81" s="1593">
        <f t="shared" si="10"/>
        <v>94304</v>
      </c>
      <c r="L81" s="325"/>
    </row>
    <row r="82" spans="1:12" ht="0.75" customHeight="1" thickTop="1" thickBot="1" x14ac:dyDescent="0.25">
      <c r="A82" s="459" t="s">
        <v>339</v>
      </c>
      <c r="B82" s="460"/>
      <c r="C82" s="461">
        <f>(C81-C79)</f>
        <v>28892</v>
      </c>
      <c r="D82" s="461">
        <f t="shared" ref="D82:K82" si="11">(D81-D79)</f>
        <v>31218</v>
      </c>
      <c r="E82" s="461">
        <f t="shared" si="11"/>
        <v>3752</v>
      </c>
      <c r="F82" s="461">
        <f t="shared" si="11"/>
        <v>26578</v>
      </c>
      <c r="G82" s="461">
        <f t="shared" si="11"/>
        <v>-51370</v>
      </c>
      <c r="H82" s="461">
        <f t="shared" si="11"/>
        <v>790653</v>
      </c>
      <c r="I82" s="461">
        <f t="shared" si="11"/>
        <v>-76106</v>
      </c>
      <c r="J82" s="461">
        <f t="shared" si="11"/>
        <v>-12871</v>
      </c>
      <c r="K82" s="461">
        <f t="shared" si="11"/>
        <v>2570</v>
      </c>
    </row>
    <row r="83" spans="1:12" ht="14.25" hidden="1" thickTop="1" thickBot="1" x14ac:dyDescent="0.25">
      <c r="A83" s="462" t="s">
        <v>340</v>
      </c>
      <c r="B83" s="428"/>
      <c r="C83" s="463">
        <f>C82/C81</f>
        <v>5.1573148832410473E-2</v>
      </c>
      <c r="D83" s="463">
        <f t="shared" ref="D83:K83" si="12">D82/D81</f>
        <v>8.2196325415089075E-2</v>
      </c>
      <c r="E83" s="463">
        <f t="shared" si="12"/>
        <v>0.10525429909950347</v>
      </c>
      <c r="F83" s="463">
        <f t="shared" si="12"/>
        <v>0.42690781759480861</v>
      </c>
      <c r="G83" s="463">
        <f t="shared" si="12"/>
        <v>-0.69814218344409562</v>
      </c>
      <c r="H83" s="463">
        <f t="shared" si="12"/>
        <v>1</v>
      </c>
      <c r="I83" s="463">
        <f t="shared" si="12"/>
        <v>-0.59952892242975198</v>
      </c>
      <c r="J83" s="463">
        <f t="shared" si="12"/>
        <v>-0.19166964498451275</v>
      </c>
      <c r="K83" s="463">
        <f t="shared" si="12"/>
        <v>2.725229046487954E-2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&amp;C&amp;P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9"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1781</v>
      </c>
      <c r="B1" s="416"/>
      <c r="C1" s="417" t="s">
        <v>421</v>
      </c>
      <c r="D1" s="417" t="s">
        <v>422</v>
      </c>
      <c r="E1" s="417" t="s">
        <v>423</v>
      </c>
      <c r="F1" s="417" t="s">
        <v>424</v>
      </c>
      <c r="G1" s="417" t="s">
        <v>425</v>
      </c>
      <c r="H1" s="417" t="s">
        <v>426</v>
      </c>
      <c r="I1" s="417" t="s">
        <v>427</v>
      </c>
      <c r="J1" s="417" t="s">
        <v>428</v>
      </c>
      <c r="K1" s="417" t="s">
        <v>750</v>
      </c>
    </row>
    <row r="2" spans="1:12" ht="36" x14ac:dyDescent="0.2">
      <c r="A2" s="225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1644</v>
      </c>
      <c r="B5" s="470"/>
      <c r="C5" s="1585">
        <v>967680</v>
      </c>
      <c r="D5" s="1585">
        <v>215053</v>
      </c>
      <c r="E5" s="1572">
        <v>224997</v>
      </c>
      <c r="F5" s="1630">
        <v>86020</v>
      </c>
      <c r="G5" s="1572">
        <v>31248</v>
      </c>
      <c r="H5" s="1572"/>
      <c r="I5" s="1572">
        <v>21505</v>
      </c>
      <c r="J5" s="1573">
        <v>151184</v>
      </c>
      <c r="K5" s="1572">
        <v>21506</v>
      </c>
    </row>
    <row r="6" spans="1:12" ht="15" x14ac:dyDescent="0.2">
      <c r="A6" s="427" t="s">
        <v>1645</v>
      </c>
      <c r="B6" s="429">
        <v>1130</v>
      </c>
      <c r="C6" s="1572">
        <v>20639</v>
      </c>
      <c r="D6" s="1572">
        <v>0</v>
      </c>
      <c r="E6" s="1579"/>
      <c r="F6" s="1579"/>
      <c r="G6" s="1574"/>
      <c r="H6" s="1574"/>
      <c r="I6" s="1574"/>
      <c r="J6" s="1574"/>
      <c r="K6" s="1574"/>
    </row>
    <row r="7" spans="1:12" x14ac:dyDescent="0.2">
      <c r="A7" s="427" t="s">
        <v>110</v>
      </c>
      <c r="B7" s="471">
        <v>1140</v>
      </c>
      <c r="C7" s="1572">
        <v>17204</v>
      </c>
      <c r="D7" s="1572">
        <v>0</v>
      </c>
      <c r="E7" s="1574"/>
      <c r="F7" s="1573">
        <v>0</v>
      </c>
      <c r="G7" s="1573">
        <v>0</v>
      </c>
      <c r="H7" s="1573">
        <v>0</v>
      </c>
      <c r="I7" s="1574"/>
      <c r="J7" s="1574"/>
      <c r="K7" s="1574"/>
    </row>
    <row r="8" spans="1:12" x14ac:dyDescent="0.2">
      <c r="A8" s="427" t="s">
        <v>409</v>
      </c>
      <c r="B8" s="429">
        <v>1150</v>
      </c>
      <c r="C8" s="1579"/>
      <c r="D8" s="1579"/>
      <c r="E8" s="1581"/>
      <c r="F8" s="1581"/>
      <c r="G8" s="1585">
        <v>21168</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410</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1005523</v>
      </c>
      <c r="D12" s="1632">
        <f t="shared" si="0"/>
        <v>215053</v>
      </c>
      <c r="E12" s="1632">
        <f t="shared" si="0"/>
        <v>224997</v>
      </c>
      <c r="F12" s="1632">
        <f t="shared" si="0"/>
        <v>86020</v>
      </c>
      <c r="G12" s="1632">
        <f t="shared" si="0"/>
        <v>52416</v>
      </c>
      <c r="H12" s="1632">
        <f t="shared" si="0"/>
        <v>0</v>
      </c>
      <c r="I12" s="1632">
        <f t="shared" si="0"/>
        <v>21505</v>
      </c>
      <c r="J12" s="1632">
        <f t="shared" si="0"/>
        <v>151184</v>
      </c>
      <c r="K12" s="1593">
        <f t="shared" si="0"/>
        <v>21506</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1646</v>
      </c>
      <c r="B16" s="471">
        <v>1230</v>
      </c>
      <c r="C16" s="1631">
        <v>525497</v>
      </c>
      <c r="D16" s="1572">
        <v>13500</v>
      </c>
      <c r="E16" s="1572">
        <v>0</v>
      </c>
      <c r="F16" s="1572">
        <v>50000</v>
      </c>
      <c r="G16" s="1572">
        <v>65000</v>
      </c>
      <c r="H16" s="1572">
        <v>62000</v>
      </c>
      <c r="I16" s="1572">
        <v>0</v>
      </c>
      <c r="J16" s="1573">
        <v>0</v>
      </c>
      <c r="K16" s="1572">
        <v>0</v>
      </c>
    </row>
    <row r="17" spans="1:11" ht="12.75" customHeight="1" x14ac:dyDescent="0.2">
      <c r="A17" s="427" t="s">
        <v>801</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533</v>
      </c>
      <c r="B18" s="1406"/>
      <c r="C18" s="1634">
        <f>SUM(C14:C17)</f>
        <v>525497</v>
      </c>
      <c r="D18" s="1634">
        <f t="shared" ref="D18:K18" si="1">SUM(D14:D17)</f>
        <v>13500</v>
      </c>
      <c r="E18" s="1634">
        <f t="shared" si="1"/>
        <v>0</v>
      </c>
      <c r="F18" s="1634">
        <f t="shared" si="1"/>
        <v>50000</v>
      </c>
      <c r="G18" s="1634">
        <f t="shared" si="1"/>
        <v>65000</v>
      </c>
      <c r="H18" s="1634">
        <f t="shared" si="1"/>
        <v>62000</v>
      </c>
      <c r="I18" s="1634">
        <f t="shared" si="1"/>
        <v>0</v>
      </c>
      <c r="J18" s="1634">
        <f t="shared" si="1"/>
        <v>0</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1065</v>
      </c>
      <c r="B20" s="429">
        <v>1311</v>
      </c>
      <c r="C20" s="1572">
        <v>12350</v>
      </c>
      <c r="D20" s="1574"/>
      <c r="E20" s="1574"/>
      <c r="F20" s="1574"/>
      <c r="G20" s="1574"/>
      <c r="H20" s="1574"/>
      <c r="I20" s="1574"/>
      <c r="J20" s="1574"/>
      <c r="K20" s="1574"/>
    </row>
    <row r="21" spans="1:11" ht="12.75" customHeight="1" x14ac:dyDescent="0.2">
      <c r="A21" s="427" t="s">
        <v>826</v>
      </c>
      <c r="B21" s="429">
        <v>1312</v>
      </c>
      <c r="C21" s="1631">
        <v>0</v>
      </c>
      <c r="D21" s="1574"/>
      <c r="E21" s="1574"/>
      <c r="F21" s="1574"/>
      <c r="G21" s="1574"/>
      <c r="H21" s="1574"/>
      <c r="I21" s="1574"/>
      <c r="J21" s="1574"/>
      <c r="K21" s="1574"/>
    </row>
    <row r="22" spans="1:11" ht="12.75" customHeight="1" x14ac:dyDescent="0.2">
      <c r="A22" s="427" t="s">
        <v>1066</v>
      </c>
      <c r="B22" s="429">
        <v>1313</v>
      </c>
      <c r="C22" s="1631">
        <v>0</v>
      </c>
      <c r="D22" s="1574"/>
      <c r="E22" s="1574"/>
      <c r="F22" s="1574"/>
      <c r="G22" s="1574"/>
      <c r="H22" s="1574"/>
      <c r="I22" s="1574"/>
      <c r="J22" s="1574"/>
      <c r="K22" s="1574"/>
    </row>
    <row r="23" spans="1:11" ht="12.75" customHeight="1" x14ac:dyDescent="0.2">
      <c r="A23" s="427" t="s">
        <v>1067</v>
      </c>
      <c r="B23" s="429">
        <v>1314</v>
      </c>
      <c r="C23" s="1597">
        <v>0</v>
      </c>
      <c r="D23" s="1574"/>
      <c r="E23" s="1574"/>
      <c r="F23" s="1574"/>
      <c r="G23" s="1574"/>
      <c r="H23" s="1574"/>
      <c r="I23" s="1574"/>
      <c r="J23" s="1574"/>
      <c r="K23" s="1574"/>
    </row>
    <row r="24" spans="1:11" ht="12.75" customHeight="1" x14ac:dyDescent="0.2">
      <c r="A24" s="427" t="s">
        <v>1019</v>
      </c>
      <c r="B24" s="429">
        <v>1321</v>
      </c>
      <c r="C24" s="1631">
        <v>0</v>
      </c>
      <c r="D24" s="1574"/>
      <c r="E24" s="1574"/>
      <c r="F24" s="1574"/>
      <c r="G24" s="1574"/>
      <c r="H24" s="1574"/>
      <c r="I24" s="1574"/>
      <c r="J24" s="1574"/>
      <c r="K24" s="1574"/>
    </row>
    <row r="25" spans="1:11" ht="12.75" customHeight="1" x14ac:dyDescent="0.2">
      <c r="A25" s="427" t="s">
        <v>827</v>
      </c>
      <c r="B25" s="429">
        <v>1322</v>
      </c>
      <c r="C25" s="1631">
        <v>0</v>
      </c>
      <c r="D25" s="1574"/>
      <c r="E25" s="1574"/>
      <c r="F25" s="1574"/>
      <c r="G25" s="1574"/>
      <c r="H25" s="1574"/>
      <c r="I25" s="1574"/>
      <c r="J25" s="1574"/>
      <c r="K25" s="1574"/>
    </row>
    <row r="26" spans="1:11" ht="12.75" customHeight="1" x14ac:dyDescent="0.2">
      <c r="A26" s="427" t="s">
        <v>1093</v>
      </c>
      <c r="B26" s="429">
        <v>1323</v>
      </c>
      <c r="C26" s="1631">
        <v>0</v>
      </c>
      <c r="D26" s="1574"/>
      <c r="E26" s="1574"/>
      <c r="F26" s="1574"/>
      <c r="G26" s="1574"/>
      <c r="H26" s="1574"/>
      <c r="I26" s="1574"/>
      <c r="J26" s="1574"/>
      <c r="K26" s="1574"/>
    </row>
    <row r="27" spans="1:11" ht="12.75" customHeight="1" x14ac:dyDescent="0.2">
      <c r="A27" s="427" t="s">
        <v>1015</v>
      </c>
      <c r="B27" s="429">
        <v>1324</v>
      </c>
      <c r="C27" s="1597">
        <v>0</v>
      </c>
      <c r="D27" s="1574"/>
      <c r="E27" s="1574"/>
      <c r="F27" s="1574"/>
      <c r="G27" s="1574"/>
      <c r="H27" s="1574"/>
      <c r="I27" s="1574"/>
      <c r="J27" s="1574"/>
      <c r="K27" s="1574"/>
    </row>
    <row r="28" spans="1:11" ht="12.75" customHeight="1" x14ac:dyDescent="0.2">
      <c r="A28" s="427" t="s">
        <v>1016</v>
      </c>
      <c r="B28" s="429">
        <v>1331</v>
      </c>
      <c r="C28" s="1631">
        <v>0</v>
      </c>
      <c r="D28" s="1574"/>
      <c r="E28" s="1574"/>
      <c r="F28" s="1574"/>
      <c r="G28" s="1574"/>
      <c r="H28" s="1574"/>
      <c r="I28" s="1574"/>
      <c r="J28" s="1574"/>
      <c r="K28" s="1574"/>
    </row>
    <row r="29" spans="1:11" ht="12.75" customHeight="1" x14ac:dyDescent="0.2">
      <c r="A29" s="427" t="s">
        <v>828</v>
      </c>
      <c r="B29" s="429">
        <v>1332</v>
      </c>
      <c r="C29" s="1631">
        <v>0</v>
      </c>
      <c r="D29" s="1574"/>
      <c r="E29" s="1574"/>
      <c r="F29" s="1574"/>
      <c r="G29" s="1574"/>
      <c r="H29" s="1574"/>
      <c r="I29" s="1574"/>
      <c r="J29" s="1574"/>
      <c r="K29" s="1574"/>
    </row>
    <row r="30" spans="1:11" ht="12.75" customHeight="1" x14ac:dyDescent="0.2">
      <c r="A30" s="427" t="s">
        <v>1018</v>
      </c>
      <c r="B30" s="429">
        <v>1333</v>
      </c>
      <c r="C30" s="1631">
        <v>0</v>
      </c>
      <c r="D30" s="1574"/>
      <c r="E30" s="1574"/>
      <c r="F30" s="1574"/>
      <c r="G30" s="1574"/>
      <c r="H30" s="1574"/>
      <c r="I30" s="1574"/>
      <c r="J30" s="1574"/>
      <c r="K30" s="1574"/>
    </row>
    <row r="31" spans="1:11" ht="12.75" customHeight="1" x14ac:dyDescent="0.2">
      <c r="A31" s="427" t="s">
        <v>1017</v>
      </c>
      <c r="B31" s="429">
        <v>1334</v>
      </c>
      <c r="C31" s="1597">
        <v>0</v>
      </c>
      <c r="D31" s="1574"/>
      <c r="E31" s="1574"/>
      <c r="F31" s="1574"/>
      <c r="G31" s="1574"/>
      <c r="H31" s="1574"/>
      <c r="I31" s="1574"/>
      <c r="J31" s="1574"/>
      <c r="K31" s="1574"/>
    </row>
    <row r="32" spans="1:11" ht="12.75" customHeight="1" x14ac:dyDescent="0.2">
      <c r="A32" s="427" t="s">
        <v>490</v>
      </c>
      <c r="B32" s="429">
        <v>1341</v>
      </c>
      <c r="C32" s="1631">
        <v>0</v>
      </c>
      <c r="D32" s="1574"/>
      <c r="E32" s="1574"/>
      <c r="F32" s="1574"/>
      <c r="G32" s="1574"/>
      <c r="H32" s="1574"/>
      <c r="I32" s="1574"/>
      <c r="J32" s="1574"/>
      <c r="K32" s="1574"/>
    </row>
    <row r="33" spans="1:11" ht="12.75" customHeight="1" x14ac:dyDescent="0.2">
      <c r="A33" s="427" t="s">
        <v>829</v>
      </c>
      <c r="B33" s="429">
        <v>1342</v>
      </c>
      <c r="C33" s="1631">
        <v>0</v>
      </c>
      <c r="D33" s="1574"/>
      <c r="E33" s="1574"/>
      <c r="F33" s="1574"/>
      <c r="G33" s="1574"/>
      <c r="H33" s="1574"/>
      <c r="I33" s="1574"/>
      <c r="J33" s="1574"/>
      <c r="K33" s="1574"/>
    </row>
    <row r="34" spans="1:11" ht="12.75" customHeight="1" x14ac:dyDescent="0.2">
      <c r="A34" s="427" t="s">
        <v>491</v>
      </c>
      <c r="B34" s="429">
        <v>1343</v>
      </c>
      <c r="C34" s="1631">
        <v>0</v>
      </c>
      <c r="D34" s="1574"/>
      <c r="E34" s="1574"/>
      <c r="F34" s="1574"/>
      <c r="G34" s="1574"/>
      <c r="H34" s="1574"/>
      <c r="I34" s="1574"/>
      <c r="J34" s="1574"/>
      <c r="K34" s="1574"/>
    </row>
    <row r="35" spans="1:11" ht="12.75" customHeight="1" x14ac:dyDescent="0.2">
      <c r="A35" s="427" t="s">
        <v>489</v>
      </c>
      <c r="B35" s="429">
        <v>1344</v>
      </c>
      <c r="C35" s="1597">
        <v>0</v>
      </c>
      <c r="D35" s="1574"/>
      <c r="E35" s="1574"/>
      <c r="F35" s="1574"/>
      <c r="G35" s="1574"/>
      <c r="H35" s="1574"/>
      <c r="I35" s="1574"/>
      <c r="J35" s="1574"/>
      <c r="K35" s="1574"/>
    </row>
    <row r="36" spans="1:11" ht="12.75" customHeight="1" x14ac:dyDescent="0.2">
      <c r="A36" s="427" t="s">
        <v>825</v>
      </c>
      <c r="B36" s="429">
        <v>1351</v>
      </c>
      <c r="C36" s="1631">
        <v>0</v>
      </c>
      <c r="D36" s="1574"/>
      <c r="E36" s="1574"/>
      <c r="F36" s="1574"/>
      <c r="G36" s="1574"/>
      <c r="H36" s="1574"/>
      <c r="I36" s="1574"/>
      <c r="J36" s="1574"/>
      <c r="K36" s="1574"/>
    </row>
    <row r="37" spans="1:11" ht="12.75" customHeight="1" x14ac:dyDescent="0.2">
      <c r="A37" s="427" t="s">
        <v>830</v>
      </c>
      <c r="B37" s="429">
        <v>1352</v>
      </c>
      <c r="C37" s="1631">
        <v>0</v>
      </c>
      <c r="D37" s="1574"/>
      <c r="E37" s="1574"/>
      <c r="F37" s="1574"/>
      <c r="G37" s="1574"/>
      <c r="H37" s="1574"/>
      <c r="I37" s="1574"/>
      <c r="J37" s="1574"/>
      <c r="K37" s="1574"/>
    </row>
    <row r="38" spans="1:11" ht="12.75" customHeight="1" x14ac:dyDescent="0.2">
      <c r="A38" s="427" t="s">
        <v>588</v>
      </c>
      <c r="B38" s="429">
        <v>1353</v>
      </c>
      <c r="C38" s="1631">
        <v>0</v>
      </c>
      <c r="D38" s="1574"/>
      <c r="E38" s="1574"/>
      <c r="F38" s="1574"/>
      <c r="G38" s="1574"/>
      <c r="H38" s="1574"/>
      <c r="I38" s="1574"/>
      <c r="J38" s="1574"/>
      <c r="K38" s="1574"/>
    </row>
    <row r="39" spans="1:11" ht="12.75" customHeight="1" x14ac:dyDescent="0.2">
      <c r="A39" s="1264" t="s">
        <v>589</v>
      </c>
      <c r="B39" s="474">
        <v>1354</v>
      </c>
      <c r="C39" s="1597">
        <v>0</v>
      </c>
      <c r="D39" s="1574"/>
      <c r="E39" s="1574"/>
      <c r="F39" s="1574"/>
      <c r="G39" s="1574"/>
      <c r="H39" s="1574"/>
      <c r="I39" s="1574"/>
      <c r="J39" s="1574"/>
      <c r="K39" s="1574"/>
    </row>
    <row r="40" spans="1:11" ht="12.75" customHeight="1" thickBot="1" x14ac:dyDescent="0.25">
      <c r="A40" s="1405" t="s">
        <v>534</v>
      </c>
      <c r="B40" s="1406"/>
      <c r="C40" s="1593">
        <f>SUM(C20:C39)</f>
        <v>12350</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1068</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72">
        <v>0</v>
      </c>
      <c r="G43" s="1574"/>
      <c r="H43" s="1574"/>
      <c r="I43" s="1574"/>
      <c r="J43" s="1574"/>
      <c r="K43" s="1574"/>
    </row>
    <row r="44" spans="1:11" ht="12.75" customHeight="1" x14ac:dyDescent="0.2">
      <c r="A44" s="427" t="s">
        <v>380</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1165</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832</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1098</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1099</v>
      </c>
      <c r="B56" s="475">
        <v>1442</v>
      </c>
      <c r="C56" s="1574"/>
      <c r="D56" s="1574"/>
      <c r="E56" s="1574"/>
      <c r="F56" s="1572">
        <v>0</v>
      </c>
      <c r="G56" s="1574"/>
      <c r="H56" s="1574"/>
      <c r="I56" s="1574"/>
      <c r="J56" s="1574"/>
      <c r="K56" s="1574"/>
    </row>
    <row r="57" spans="1:11" ht="12.75" customHeight="1" x14ac:dyDescent="0.2">
      <c r="A57" s="1265" t="s">
        <v>485</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872</v>
      </c>
      <c r="B59" s="475">
        <v>1451</v>
      </c>
      <c r="C59" s="1574"/>
      <c r="D59" s="1574"/>
      <c r="E59" s="1574"/>
      <c r="F59" s="1572">
        <v>0</v>
      </c>
      <c r="G59" s="1574"/>
      <c r="H59" s="1574"/>
      <c r="I59" s="1574"/>
      <c r="J59" s="1574"/>
      <c r="K59" s="1574"/>
    </row>
    <row r="60" spans="1:11" ht="12.75" customHeight="1" x14ac:dyDescent="0.2">
      <c r="A60" s="1265" t="s">
        <v>1100</v>
      </c>
      <c r="B60" s="475">
        <v>1452</v>
      </c>
      <c r="C60" s="1574"/>
      <c r="D60" s="1574"/>
      <c r="E60" s="1574"/>
      <c r="F60" s="1572">
        <v>0</v>
      </c>
      <c r="G60" s="1574"/>
      <c r="H60" s="1574"/>
      <c r="I60" s="1574"/>
      <c r="J60" s="1574"/>
      <c r="K60" s="1574"/>
    </row>
    <row r="61" spans="1:11" ht="12.75" customHeight="1" x14ac:dyDescent="0.2">
      <c r="A61" s="479" t="s">
        <v>873</v>
      </c>
      <c r="B61" s="475">
        <v>1453</v>
      </c>
      <c r="C61" s="1574"/>
      <c r="D61" s="1574"/>
      <c r="E61" s="1574"/>
      <c r="F61" s="1572">
        <v>0</v>
      </c>
      <c r="G61" s="1574"/>
      <c r="H61" s="1574"/>
      <c r="I61" s="1574"/>
      <c r="J61" s="1574"/>
      <c r="K61" s="1574"/>
    </row>
    <row r="62" spans="1:11" ht="12.75" customHeight="1" x14ac:dyDescent="0.2">
      <c r="A62" s="1266" t="s">
        <v>874</v>
      </c>
      <c r="B62" s="476">
        <v>1454</v>
      </c>
      <c r="C62" s="1574"/>
      <c r="D62" s="1574"/>
      <c r="E62" s="1574"/>
      <c r="F62" s="1573">
        <v>0</v>
      </c>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8076</v>
      </c>
      <c r="D65" s="1572">
        <v>4994</v>
      </c>
      <c r="E65" s="1572">
        <v>507</v>
      </c>
      <c r="F65" s="1573">
        <v>126</v>
      </c>
      <c r="G65" s="1572">
        <v>888</v>
      </c>
      <c r="H65" s="1572">
        <v>680</v>
      </c>
      <c r="I65" s="1572">
        <v>2389</v>
      </c>
      <c r="J65" s="1573">
        <v>245</v>
      </c>
      <c r="K65" s="1572">
        <v>143</v>
      </c>
    </row>
    <row r="66" spans="1:11" ht="12.75" customHeight="1" x14ac:dyDescent="0.2">
      <c r="A66" s="427" t="s">
        <v>673</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482</v>
      </c>
      <c r="B67" s="1406"/>
      <c r="C67" s="1593">
        <f>SUM(C65:C66)</f>
        <v>8076</v>
      </c>
      <c r="D67" s="1593">
        <f t="shared" ref="D67:K67" si="2">SUM(D65:D66)</f>
        <v>4994</v>
      </c>
      <c r="E67" s="1593">
        <f t="shared" si="2"/>
        <v>507</v>
      </c>
      <c r="F67" s="1593">
        <f t="shared" si="2"/>
        <v>126</v>
      </c>
      <c r="G67" s="1593">
        <f t="shared" si="2"/>
        <v>888</v>
      </c>
      <c r="H67" s="1593">
        <f t="shared" si="2"/>
        <v>680</v>
      </c>
      <c r="I67" s="1593">
        <f t="shared" si="2"/>
        <v>2389</v>
      </c>
      <c r="J67" s="1593">
        <f t="shared" si="2"/>
        <v>245</v>
      </c>
      <c r="K67" s="1593">
        <f t="shared" si="2"/>
        <v>143</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v>34254</v>
      </c>
      <c r="D69" s="1574"/>
      <c r="E69" s="1574"/>
      <c r="F69" s="1574"/>
      <c r="G69" s="1574"/>
      <c r="H69" s="1574"/>
      <c r="I69" s="1574"/>
      <c r="J69" s="1574"/>
      <c r="K69" s="1574"/>
    </row>
    <row r="70" spans="1:11" ht="12.75" customHeight="1" x14ac:dyDescent="0.2">
      <c r="A70" s="427" t="s">
        <v>989</v>
      </c>
      <c r="B70" s="429">
        <v>1612</v>
      </c>
      <c r="C70" s="1631">
        <v>0</v>
      </c>
      <c r="D70" s="1574"/>
      <c r="E70" s="1574"/>
      <c r="F70" s="1574"/>
      <c r="G70" s="1574"/>
      <c r="H70" s="1574"/>
      <c r="I70" s="1574"/>
      <c r="J70" s="1574"/>
      <c r="K70" s="1574"/>
    </row>
    <row r="71" spans="1:11" ht="12.75" customHeight="1" x14ac:dyDescent="0.2">
      <c r="A71" s="427" t="s">
        <v>270</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990</v>
      </c>
      <c r="B73" s="429">
        <v>1620</v>
      </c>
      <c r="C73" s="1631">
        <v>4439</v>
      </c>
      <c r="D73" s="1574"/>
      <c r="E73" s="1574"/>
      <c r="F73" s="1574"/>
      <c r="G73" s="1574"/>
      <c r="H73" s="1574"/>
      <c r="I73" s="1574"/>
      <c r="J73" s="1574"/>
      <c r="K73" s="1574"/>
    </row>
    <row r="74" spans="1:11" ht="12.75" customHeight="1" x14ac:dyDescent="0.2">
      <c r="A74" s="427" t="s">
        <v>25</v>
      </c>
      <c r="B74" s="429">
        <v>1690</v>
      </c>
      <c r="C74" s="1631">
        <v>749</v>
      </c>
      <c r="D74" s="1574"/>
      <c r="E74" s="1574"/>
      <c r="F74" s="1574"/>
      <c r="G74" s="1574"/>
      <c r="H74" s="1574"/>
      <c r="I74" s="1574"/>
      <c r="J74" s="1574"/>
      <c r="K74" s="1574"/>
    </row>
    <row r="75" spans="1:11" ht="12.75" customHeight="1" thickBot="1" x14ac:dyDescent="0.25">
      <c r="A75" s="1405" t="s">
        <v>543</v>
      </c>
      <c r="B75" s="1406"/>
      <c r="C75" s="1593">
        <f>SUM(C69:C74)</f>
        <v>39442</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9491</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545</v>
      </c>
      <c r="B79" s="429">
        <v>1720</v>
      </c>
      <c r="C79" s="1631">
        <v>4121</v>
      </c>
      <c r="D79" s="1572">
        <v>0</v>
      </c>
      <c r="E79" s="1574"/>
      <c r="F79" s="1574"/>
      <c r="G79" s="1574"/>
      <c r="H79" s="1574"/>
      <c r="I79" s="1574"/>
      <c r="J79" s="1574"/>
      <c r="K79" s="1574"/>
    </row>
    <row r="80" spans="1:11" ht="12.75" customHeight="1" x14ac:dyDescent="0.2">
      <c r="A80" s="427" t="s">
        <v>546</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13612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6481</v>
      </c>
      <c r="D84" s="1574"/>
      <c r="E84" s="1574"/>
      <c r="F84" s="1574"/>
      <c r="G84" s="1574"/>
      <c r="H84" s="1574"/>
      <c r="I84" s="1574"/>
      <c r="J84" s="1574"/>
      <c r="K84" s="1574"/>
    </row>
    <row r="85" spans="1:11" ht="12.75" customHeight="1" x14ac:dyDescent="0.2">
      <c r="A85" s="427" t="s">
        <v>548</v>
      </c>
      <c r="B85" s="429">
        <v>1812</v>
      </c>
      <c r="C85" s="1631">
        <v>0</v>
      </c>
      <c r="D85" s="1574"/>
      <c r="E85" s="1574"/>
      <c r="F85" s="1574"/>
      <c r="G85" s="1574"/>
      <c r="H85" s="1574"/>
      <c r="I85" s="1574"/>
      <c r="J85" s="1574"/>
      <c r="K85" s="1574"/>
    </row>
    <row r="86" spans="1:11" ht="12.75" customHeight="1" x14ac:dyDescent="0.2">
      <c r="A86" s="427" t="s">
        <v>991</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549</v>
      </c>
      <c r="B88" s="429">
        <v>1821</v>
      </c>
      <c r="C88" s="1631">
        <v>0</v>
      </c>
      <c r="D88" s="1574"/>
      <c r="E88" s="1574"/>
      <c r="F88" s="1574"/>
      <c r="G88" s="1574"/>
      <c r="H88" s="1574"/>
      <c r="I88" s="1574"/>
      <c r="J88" s="1574"/>
      <c r="K88" s="1574"/>
    </row>
    <row r="89" spans="1:11" ht="12.75" customHeight="1" x14ac:dyDescent="0.2">
      <c r="A89" s="427" t="s">
        <v>708</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756</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6481</v>
      </c>
      <c r="D93" s="1574"/>
      <c r="E93" s="1574"/>
      <c r="F93" s="1574"/>
      <c r="G93" s="1574"/>
      <c r="H93" s="1574"/>
      <c r="I93" s="1574"/>
      <c r="J93" s="1574"/>
      <c r="K93" s="1574"/>
    </row>
    <row r="94" spans="1:11" ht="15.75" customHeight="1" thickTop="1" x14ac:dyDescent="0.2">
      <c r="A94" s="1329" t="s">
        <v>1128</v>
      </c>
      <c r="B94" s="1331">
        <v>1900</v>
      </c>
      <c r="C94" s="1633"/>
      <c r="D94" s="1616"/>
      <c r="E94" s="1574"/>
      <c r="F94" s="1574"/>
      <c r="G94" s="1574"/>
      <c r="H94" s="1574"/>
      <c r="I94" s="1574"/>
      <c r="J94" s="1574"/>
      <c r="K94" s="1574"/>
    </row>
    <row r="95" spans="1:11" ht="12.75" customHeight="1" x14ac:dyDescent="0.2">
      <c r="A95" s="427" t="s">
        <v>1056</v>
      </c>
      <c r="B95" s="429">
        <v>1910</v>
      </c>
      <c r="C95" s="1572">
        <v>0</v>
      </c>
      <c r="D95" s="1631">
        <v>0</v>
      </c>
      <c r="E95" s="1616"/>
      <c r="F95" s="1616"/>
      <c r="G95" s="1616"/>
      <c r="H95" s="1616"/>
      <c r="I95" s="1616"/>
      <c r="J95" s="1616"/>
      <c r="K95" s="1616"/>
    </row>
    <row r="96" spans="1:11" ht="12.75" customHeight="1" x14ac:dyDescent="0.2">
      <c r="A96" s="427" t="s">
        <v>387</v>
      </c>
      <c r="B96" s="429">
        <v>1920</v>
      </c>
      <c r="C96" s="1631">
        <v>2259</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815</v>
      </c>
      <c r="B99" s="429">
        <v>1950</v>
      </c>
      <c r="C99" s="1597">
        <v>0</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341</v>
      </c>
      <c r="B103" s="429">
        <v>1983</v>
      </c>
      <c r="C103" s="1574"/>
      <c r="D103" s="1574"/>
      <c r="E103" s="1638">
        <v>0</v>
      </c>
      <c r="F103" s="1574"/>
      <c r="G103" s="1574"/>
      <c r="H103" s="1597">
        <v>13185</v>
      </c>
      <c r="I103" s="1574"/>
      <c r="J103" s="1609"/>
      <c r="K103" s="1609"/>
    </row>
    <row r="104" spans="1:12" ht="12.75" customHeight="1" x14ac:dyDescent="0.2">
      <c r="A104" s="427" t="s">
        <v>824</v>
      </c>
      <c r="B104" s="429">
        <v>1991</v>
      </c>
      <c r="C104" s="1597">
        <v>0</v>
      </c>
      <c r="D104" s="1572">
        <v>0</v>
      </c>
      <c r="E104" s="1585">
        <v>0</v>
      </c>
      <c r="F104" s="1573">
        <v>0</v>
      </c>
      <c r="G104" s="1573">
        <v>0</v>
      </c>
      <c r="H104" s="1572">
        <v>0</v>
      </c>
      <c r="I104" s="1574"/>
      <c r="J104" s="1574"/>
      <c r="K104" s="1574"/>
    </row>
    <row r="105" spans="1:12" ht="12.75" customHeight="1" x14ac:dyDescent="0.2">
      <c r="A105" s="427" t="s">
        <v>816</v>
      </c>
      <c r="B105" s="429">
        <v>1992</v>
      </c>
      <c r="C105" s="1572">
        <v>0</v>
      </c>
      <c r="D105" s="1639"/>
      <c r="E105" s="1574"/>
      <c r="F105" s="1574"/>
      <c r="G105" s="1574"/>
      <c r="H105" s="1609"/>
      <c r="I105" s="1574"/>
      <c r="J105" s="1574"/>
      <c r="K105" s="1574"/>
    </row>
    <row r="106" spans="1:12" ht="12.75" customHeight="1" x14ac:dyDescent="0.2">
      <c r="A106" s="427" t="s">
        <v>1415</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f>4571+10291</f>
        <v>14862</v>
      </c>
      <c r="D107" s="1572">
        <v>196</v>
      </c>
      <c r="E107" s="1572">
        <v>0</v>
      </c>
      <c r="F107" s="1572">
        <v>509</v>
      </c>
      <c r="G107" s="1572">
        <v>0</v>
      </c>
      <c r="H107" s="1572">
        <v>0</v>
      </c>
      <c r="I107" s="1572">
        <v>0</v>
      </c>
      <c r="J107" s="1573">
        <v>0</v>
      </c>
      <c r="K107" s="1572">
        <v>0</v>
      </c>
    </row>
    <row r="108" spans="1:12" ht="12.75" customHeight="1" thickBot="1" x14ac:dyDescent="0.25">
      <c r="A108" s="1405" t="s">
        <v>483</v>
      </c>
      <c r="B108" s="1407"/>
      <c r="C108" s="1632">
        <f>SUM(C95:C107)</f>
        <v>17121</v>
      </c>
      <c r="D108" s="1632">
        <f t="shared" ref="D108:K108" si="3">SUM(D95:D107)</f>
        <v>196</v>
      </c>
      <c r="E108" s="1632">
        <f t="shared" si="3"/>
        <v>0</v>
      </c>
      <c r="F108" s="1632">
        <f t="shared" si="3"/>
        <v>509</v>
      </c>
      <c r="G108" s="1632">
        <f t="shared" si="3"/>
        <v>0</v>
      </c>
      <c r="H108" s="1632">
        <f t="shared" si="3"/>
        <v>13185</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1628102</v>
      </c>
      <c r="D109" s="1640">
        <f t="shared" si="4"/>
        <v>233743</v>
      </c>
      <c r="E109" s="1640">
        <f t="shared" si="4"/>
        <v>225504</v>
      </c>
      <c r="F109" s="1640">
        <f t="shared" si="4"/>
        <v>136655</v>
      </c>
      <c r="G109" s="1640">
        <f t="shared" si="4"/>
        <v>118304</v>
      </c>
      <c r="H109" s="1640">
        <f t="shared" si="4"/>
        <v>75865</v>
      </c>
      <c r="I109" s="1640">
        <f t="shared" si="4"/>
        <v>23894</v>
      </c>
      <c r="J109" s="1640">
        <f t="shared" si="4"/>
        <v>151429</v>
      </c>
      <c r="K109" s="1628">
        <f t="shared" si="4"/>
        <v>21649</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v>0</v>
      </c>
      <c r="D111" s="1585">
        <v>0</v>
      </c>
      <c r="E111" s="1639"/>
      <c r="F111" s="1585">
        <v>0</v>
      </c>
      <c r="G111" s="1585">
        <v>0</v>
      </c>
      <c r="H111" s="1639"/>
      <c r="I111" s="1574"/>
      <c r="J111" s="1574"/>
      <c r="K111" s="1574"/>
    </row>
    <row r="112" spans="1:12" ht="12.75" customHeight="1" x14ac:dyDescent="0.2">
      <c r="A112" s="427" t="s">
        <v>818</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800</v>
      </c>
      <c r="B114" s="1411" t="s">
        <v>564</v>
      </c>
      <c r="C114" s="1641">
        <f>SUM(C111:C113)</f>
        <v>0</v>
      </c>
      <c r="D114" s="1641">
        <f>SUM(D111:D113)</f>
        <v>0</v>
      </c>
      <c r="E114" s="1639" t="s">
        <v>1160</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1476</v>
      </c>
      <c r="B116" s="1333"/>
      <c r="C116" s="1642"/>
      <c r="D116" s="1616"/>
      <c r="E116" s="1639"/>
      <c r="F116" s="1616"/>
      <c r="G116" s="1616"/>
      <c r="H116" s="1639"/>
      <c r="I116" s="1574"/>
      <c r="J116" s="1616"/>
      <c r="K116" s="1616"/>
    </row>
    <row r="117" spans="1:11" ht="12.75" customHeight="1" x14ac:dyDescent="0.2">
      <c r="A117" s="427" t="s">
        <v>1650</v>
      </c>
      <c r="B117" s="478">
        <v>3001</v>
      </c>
      <c r="C117" s="1612">
        <v>427347</v>
      </c>
      <c r="D117" s="1585">
        <v>0</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484</v>
      </c>
      <c r="B122" s="1412"/>
      <c r="C122" s="1632">
        <f t="shared" ref="C122:H122" si="5">SUM(C117:C121)</f>
        <v>427347</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1475</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0</v>
      </c>
      <c r="D125" s="1639"/>
      <c r="E125" s="1574"/>
      <c r="F125" s="1630">
        <v>0</v>
      </c>
      <c r="G125" s="1574"/>
      <c r="H125" s="1574"/>
      <c r="I125" s="1574"/>
      <c r="J125" s="1574"/>
      <c r="K125" s="1574"/>
    </row>
    <row r="126" spans="1:11" ht="12.75" customHeight="1" x14ac:dyDescent="0.2">
      <c r="A126" s="427" t="s">
        <v>1431</v>
      </c>
      <c r="B126" s="478">
        <v>3105</v>
      </c>
      <c r="C126" s="1572">
        <v>0</v>
      </c>
      <c r="D126" s="1639"/>
      <c r="E126" s="1574"/>
      <c r="F126" s="1572">
        <v>0</v>
      </c>
      <c r="G126" s="1574"/>
      <c r="H126" s="1574"/>
      <c r="I126" s="1574"/>
      <c r="J126" s="1574"/>
      <c r="K126" s="1574"/>
    </row>
    <row r="127" spans="1:11" ht="12.75" customHeight="1" x14ac:dyDescent="0.2">
      <c r="A127" s="427" t="s">
        <v>861</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49587</v>
      </c>
      <c r="D128" s="1639"/>
      <c r="E128" s="1574"/>
      <c r="F128" s="1572">
        <v>0</v>
      </c>
      <c r="G128" s="1574"/>
      <c r="H128" s="1574"/>
      <c r="I128" s="1574"/>
      <c r="J128" s="1574"/>
      <c r="K128" s="1574"/>
    </row>
    <row r="129" spans="1:11" ht="12.75" customHeight="1" x14ac:dyDescent="0.2">
      <c r="A129" s="427" t="s">
        <v>1432</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1024</v>
      </c>
      <c r="B132" s="1413"/>
      <c r="C132" s="1632">
        <f>SUM(C125:C131)</f>
        <v>49587</v>
      </c>
      <c r="D132" s="1632">
        <f>SUM(D125:D131)</f>
        <v>0</v>
      </c>
      <c r="E132" s="1575" t="s">
        <v>1160</v>
      </c>
      <c r="F132" s="1632">
        <f>SUM(F125:F131)</f>
        <v>0</v>
      </c>
      <c r="G132" s="1574" t="s">
        <v>1160</v>
      </c>
      <c r="H132" s="1574" t="s">
        <v>1160</v>
      </c>
      <c r="I132" s="1574" t="s">
        <v>1160</v>
      </c>
      <c r="J132" s="1574" t="s">
        <v>1160</v>
      </c>
      <c r="K132" s="1574" t="s">
        <v>1160</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v>0</v>
      </c>
      <c r="D134" s="1572">
        <v>0</v>
      </c>
      <c r="E134" s="1639"/>
      <c r="F134" s="1574"/>
      <c r="G134" s="1572">
        <v>0</v>
      </c>
      <c r="H134" s="1574"/>
      <c r="I134" s="1574"/>
      <c r="J134" s="1574"/>
      <c r="K134" s="1574"/>
    </row>
    <row r="135" spans="1:11" ht="12.75" customHeight="1" x14ac:dyDescent="0.2">
      <c r="A135" s="427" t="s">
        <v>663</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595</v>
      </c>
      <c r="B137" s="478">
        <v>3235</v>
      </c>
      <c r="C137" s="1597">
        <v>1971</v>
      </c>
      <c r="D137" s="1573">
        <v>0</v>
      </c>
      <c r="E137" s="1639"/>
      <c r="F137" s="1574"/>
      <c r="G137" s="1573">
        <v>0</v>
      </c>
      <c r="H137" s="1574"/>
      <c r="I137" s="1574"/>
      <c r="J137" s="1574"/>
      <c r="K137" s="1574"/>
    </row>
    <row r="138" spans="1:11" ht="12.75" customHeight="1" x14ac:dyDescent="0.2">
      <c r="A138" s="427" t="s">
        <v>596</v>
      </c>
      <c r="B138" s="478">
        <v>3240</v>
      </c>
      <c r="C138" s="1597">
        <v>0</v>
      </c>
      <c r="D138" s="1573">
        <v>0</v>
      </c>
      <c r="E138" s="1639"/>
      <c r="F138" s="1574"/>
      <c r="G138" s="1573">
        <v>0</v>
      </c>
      <c r="H138" s="1574"/>
      <c r="I138" s="1574"/>
      <c r="J138" s="1574"/>
      <c r="K138" s="1574"/>
    </row>
    <row r="139" spans="1:11" ht="12.75" customHeight="1" x14ac:dyDescent="0.2">
      <c r="A139" s="427" t="s">
        <v>597</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598</v>
      </c>
      <c r="B141" s="1413"/>
      <c r="C141" s="1632">
        <f>SUM(C134:C140)</f>
        <v>1971</v>
      </c>
      <c r="D141" s="1632">
        <f>SUM(D134:D140)</f>
        <v>0</v>
      </c>
      <c r="E141" s="1639" t="s">
        <v>1160</v>
      </c>
      <c r="F141" s="1581"/>
      <c r="G141" s="1632">
        <f>SUM(G134:G140)</f>
        <v>0</v>
      </c>
      <c r="H141" s="1574" t="s">
        <v>1160</v>
      </c>
      <c r="I141" s="1574" t="s">
        <v>1160</v>
      </c>
      <c r="J141" s="1574" t="s">
        <v>1160</v>
      </c>
      <c r="K141" s="1574" t="s">
        <v>1160</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v>0</v>
      </c>
      <c r="D143" s="1574"/>
      <c r="E143" s="1639"/>
      <c r="F143" s="1574"/>
      <c r="G143" s="1572">
        <v>0</v>
      </c>
      <c r="H143" s="1574"/>
      <c r="I143" s="1574"/>
      <c r="J143" s="1574"/>
      <c r="K143" s="1574"/>
    </row>
    <row r="144" spans="1:11" ht="12.75" customHeight="1" x14ac:dyDescent="0.2">
      <c r="A144" s="427" t="s">
        <v>343</v>
      </c>
      <c r="B144" s="478">
        <v>3310</v>
      </c>
      <c r="C144" s="1631">
        <v>0</v>
      </c>
      <c r="D144" s="1574"/>
      <c r="E144" s="1639"/>
      <c r="F144" s="1574"/>
      <c r="G144" s="1572">
        <v>0</v>
      </c>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1048</v>
      </c>
      <c r="B146" s="482">
        <v>3360</v>
      </c>
      <c r="C146" s="1645">
        <v>777</v>
      </c>
      <c r="D146" s="1646"/>
      <c r="E146" s="1608"/>
      <c r="F146" s="1574"/>
      <c r="G146" s="1647"/>
      <c r="H146" s="1574"/>
      <c r="I146" s="1574"/>
      <c r="J146" s="1574"/>
      <c r="K146" s="1574"/>
    </row>
    <row r="147" spans="1:11" ht="12.75" customHeight="1" thickBot="1" x14ac:dyDescent="0.25">
      <c r="A147" s="1268" t="s">
        <v>915</v>
      </c>
      <c r="B147" s="483">
        <v>3365</v>
      </c>
      <c r="C147" s="1648">
        <v>0</v>
      </c>
      <c r="D147" s="1627">
        <v>0</v>
      </c>
      <c r="E147" s="1639"/>
      <c r="F147" s="1574"/>
      <c r="G147" s="1627"/>
      <c r="H147" s="1574"/>
      <c r="I147" s="1574"/>
      <c r="J147" s="1574"/>
      <c r="K147" s="1574"/>
    </row>
    <row r="148" spans="1:11" ht="12.75" customHeight="1" thickTop="1" thickBot="1" x14ac:dyDescent="0.25">
      <c r="A148" s="1269" t="s">
        <v>137</v>
      </c>
      <c r="B148" s="484">
        <v>3370</v>
      </c>
      <c r="C148" s="1648">
        <v>2079</v>
      </c>
      <c r="D148" s="1648">
        <v>0</v>
      </c>
      <c r="E148" s="1608"/>
      <c r="F148" s="1574"/>
      <c r="G148" s="1574"/>
      <c r="H148" s="1574"/>
      <c r="I148" s="1574"/>
      <c r="J148" s="1574"/>
      <c r="K148" s="1574"/>
    </row>
    <row r="149" spans="1:11" ht="12.75" customHeight="1" thickTop="1" thickBot="1" x14ac:dyDescent="0.25">
      <c r="A149" s="1269"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1433</v>
      </c>
      <c r="B152" s="478">
        <v>3500</v>
      </c>
      <c r="C152" s="1631">
        <v>0</v>
      </c>
      <c r="D152" s="1572">
        <v>0</v>
      </c>
      <c r="E152" s="1639"/>
      <c r="F152" s="1572">
        <v>117207</v>
      </c>
      <c r="G152" s="1573">
        <v>0</v>
      </c>
      <c r="H152" s="1574"/>
      <c r="I152" s="1574"/>
      <c r="J152" s="1574"/>
      <c r="K152" s="1574"/>
    </row>
    <row r="153" spans="1:11" ht="12.75" customHeight="1" x14ac:dyDescent="0.2">
      <c r="A153" s="427" t="s">
        <v>1049</v>
      </c>
      <c r="B153" s="478">
        <v>3510</v>
      </c>
      <c r="C153" s="1631">
        <v>0</v>
      </c>
      <c r="D153" s="1572">
        <v>0</v>
      </c>
      <c r="E153" s="1639"/>
      <c r="F153" s="1572">
        <v>38320</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155527</v>
      </c>
      <c r="G155" s="1632">
        <f>SUM(G152:G154)</f>
        <v>0</v>
      </c>
      <c r="H155" s="1574"/>
      <c r="I155" s="1574"/>
      <c r="J155" s="1574"/>
      <c r="K155" s="1574"/>
    </row>
    <row r="156" spans="1:11" ht="12.75" customHeight="1" thickTop="1" thickBot="1" x14ac:dyDescent="0.25">
      <c r="A156" s="1269" t="s">
        <v>376</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992</v>
      </c>
      <c r="B158" s="484">
        <v>3695</v>
      </c>
      <c r="C158" s="1650">
        <v>0</v>
      </c>
      <c r="D158" s="1574"/>
      <c r="E158" s="1639"/>
      <c r="F158" s="1650">
        <v>0</v>
      </c>
      <c r="G158" s="1650">
        <v>0</v>
      </c>
      <c r="H158" s="1574"/>
      <c r="I158" s="1574"/>
      <c r="J158" s="1574"/>
      <c r="K158" s="1574"/>
    </row>
    <row r="159" spans="1:11" ht="12.75" customHeight="1" thickTop="1" thickBot="1" x14ac:dyDescent="0.25">
      <c r="A159" s="1269" t="s">
        <v>1043</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977</v>
      </c>
      <c r="B161" s="484">
        <v>3767</v>
      </c>
      <c r="C161" s="1650">
        <v>0</v>
      </c>
      <c r="D161" s="1626">
        <v>0</v>
      </c>
      <c r="E161" s="1639"/>
      <c r="F161" s="1626">
        <v>0</v>
      </c>
      <c r="G161" s="1626">
        <v>0</v>
      </c>
      <c r="H161" s="1574"/>
      <c r="I161" s="1574"/>
      <c r="J161" s="1574"/>
      <c r="K161" s="1574"/>
    </row>
    <row r="162" spans="1:11" ht="12.75" customHeight="1" thickTop="1" thickBot="1" x14ac:dyDescent="0.25">
      <c r="A162" s="1269" t="s">
        <v>978</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1434</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852</v>
      </c>
      <c r="B164" s="484">
        <v>3815</v>
      </c>
      <c r="C164" s="1650">
        <v>0</v>
      </c>
      <c r="D164" s="1574"/>
      <c r="E164" s="1639"/>
      <c r="F164" s="1650">
        <v>0</v>
      </c>
      <c r="G164" s="1574"/>
      <c r="H164" s="1574"/>
      <c r="I164" s="1574"/>
      <c r="J164" s="1574"/>
      <c r="K164" s="1574"/>
    </row>
    <row r="165" spans="1:11" ht="12.75" customHeight="1" thickTop="1" thickBot="1" x14ac:dyDescent="0.25">
      <c r="A165" s="1269" t="s">
        <v>393</v>
      </c>
      <c r="B165" s="484">
        <v>3825</v>
      </c>
      <c r="C165" s="1650">
        <v>0</v>
      </c>
      <c r="D165" s="1574"/>
      <c r="E165" s="1639"/>
      <c r="F165" s="1650">
        <v>0</v>
      </c>
      <c r="G165" s="1574"/>
      <c r="H165" s="1574"/>
      <c r="I165" s="1574"/>
      <c r="J165" s="1574"/>
      <c r="K165" s="1574"/>
    </row>
    <row r="166" spans="1:11" ht="12.75" customHeight="1" thickTop="1" thickBot="1" x14ac:dyDescent="0.25">
      <c r="A166" s="1269" t="s">
        <v>344</v>
      </c>
      <c r="B166" s="484">
        <v>3920</v>
      </c>
      <c r="C166" s="1644"/>
      <c r="D166" s="1652">
        <v>0</v>
      </c>
      <c r="E166" s="1574"/>
      <c r="F166" s="1644"/>
      <c r="G166" s="1574"/>
      <c r="H166" s="1625">
        <v>0</v>
      </c>
      <c r="I166" s="1574"/>
      <c r="J166" s="1574"/>
      <c r="K166" s="1574"/>
    </row>
    <row r="167" spans="1:11" ht="12.75" customHeight="1" thickTop="1" thickBot="1" x14ac:dyDescent="0.25">
      <c r="A167" s="1269" t="s">
        <v>345</v>
      </c>
      <c r="B167" s="484">
        <v>3925</v>
      </c>
      <c r="C167" s="1616"/>
      <c r="D167" s="1650">
        <v>0</v>
      </c>
      <c r="E167" s="1616"/>
      <c r="F167" s="1616"/>
      <c r="G167" s="1574"/>
      <c r="H167" s="1626">
        <v>50000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70" t="s">
        <v>394</v>
      </c>
      <c r="B169" s="2271"/>
      <c r="C169" s="1657">
        <f t="shared" ref="C169:K169" si="6">SUM(C132,C141,C145,C146:C150,C155,C156:C167,C168)</f>
        <v>54414</v>
      </c>
      <c r="D169" s="1657">
        <f t="shared" si="6"/>
        <v>0</v>
      </c>
      <c r="E169" s="1657">
        <f t="shared" si="6"/>
        <v>0</v>
      </c>
      <c r="F169" s="1657">
        <f t="shared" si="6"/>
        <v>155527</v>
      </c>
      <c r="G169" s="1657">
        <f t="shared" si="6"/>
        <v>0</v>
      </c>
      <c r="H169" s="1657">
        <f t="shared" si="6"/>
        <v>50000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481761</v>
      </c>
      <c r="D170" s="1640">
        <f t="shared" si="7"/>
        <v>0</v>
      </c>
      <c r="E170" s="1640">
        <f t="shared" si="7"/>
        <v>0</v>
      </c>
      <c r="F170" s="1640">
        <f t="shared" si="7"/>
        <v>155527</v>
      </c>
      <c r="G170" s="1640">
        <f t="shared" si="7"/>
        <v>0</v>
      </c>
      <c r="H170" s="1640">
        <f t="shared" si="7"/>
        <v>50000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72" t="s">
        <v>1477</v>
      </c>
      <c r="B172" s="2273"/>
      <c r="C172" s="1615"/>
      <c r="D172" s="1615"/>
      <c r="E172" s="1608"/>
      <c r="F172" s="1574"/>
      <c r="G172" s="1574"/>
      <c r="H172" s="1574"/>
      <c r="I172" s="1574"/>
      <c r="J172" s="1574"/>
      <c r="K172" s="1574"/>
    </row>
    <row r="173" spans="1:11" ht="12.6" customHeight="1" x14ac:dyDescent="0.2">
      <c r="A173" s="436" t="s">
        <v>1036</v>
      </c>
      <c r="B173" s="435">
        <v>4001</v>
      </c>
      <c r="C173" s="1612">
        <v>0</v>
      </c>
      <c r="D173" s="1585">
        <v>0</v>
      </c>
      <c r="E173" s="1573">
        <v>0</v>
      </c>
      <c r="F173" s="1572">
        <v>0</v>
      </c>
      <c r="G173" s="1572">
        <v>0</v>
      </c>
      <c r="H173" s="1573">
        <v>0</v>
      </c>
      <c r="I173" s="1573">
        <v>0</v>
      </c>
      <c r="J173" s="1573">
        <v>0</v>
      </c>
      <c r="K173" s="1573">
        <v>0</v>
      </c>
    </row>
    <row r="174" spans="1:11" ht="22.5" x14ac:dyDescent="0.2">
      <c r="A174" s="479" t="s">
        <v>799</v>
      </c>
      <c r="B174" s="485">
        <v>4009</v>
      </c>
      <c r="C174" s="1631">
        <v>0</v>
      </c>
      <c r="D174" s="1572">
        <v>0</v>
      </c>
      <c r="E174" s="1573">
        <v>0</v>
      </c>
      <c r="F174" s="1572">
        <v>0</v>
      </c>
      <c r="G174" s="1572">
        <v>0</v>
      </c>
      <c r="H174" s="1573">
        <v>0</v>
      </c>
      <c r="I174" s="1573">
        <v>0</v>
      </c>
      <c r="J174" s="1573">
        <v>0</v>
      </c>
      <c r="K174" s="1573">
        <v>0</v>
      </c>
    </row>
    <row r="175" spans="1:11" ht="13.5" thickBot="1" x14ac:dyDescent="0.25">
      <c r="A175" s="2276" t="s">
        <v>1648</v>
      </c>
      <c r="B175" s="227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0" t="s">
        <v>1647</v>
      </c>
      <c r="B176" s="2281"/>
      <c r="C176" s="1658"/>
      <c r="D176" s="1659"/>
      <c r="E176" s="1660"/>
      <c r="F176" s="1661"/>
      <c r="G176" s="1661"/>
      <c r="H176" s="1661"/>
      <c r="I176" s="1661"/>
      <c r="J176" s="1661"/>
      <c r="K176" s="1661"/>
    </row>
    <row r="177" spans="1:11" ht="12.75" customHeight="1" x14ac:dyDescent="0.2">
      <c r="A177" s="427" t="s">
        <v>1037</v>
      </c>
      <c r="B177" s="429">
        <v>4045</v>
      </c>
      <c r="C177" s="1631">
        <v>0</v>
      </c>
      <c r="D177" s="1574"/>
      <c r="E177" s="1639"/>
      <c r="F177" s="1574"/>
      <c r="G177" s="1574"/>
      <c r="H177" s="1574"/>
      <c r="I177" s="1574"/>
      <c r="J177" s="1574"/>
      <c r="K177" s="1574"/>
    </row>
    <row r="178" spans="1:11" ht="12.75" customHeight="1" x14ac:dyDescent="0.2">
      <c r="A178" s="427" t="s">
        <v>1038</v>
      </c>
      <c r="B178" s="429">
        <v>4050</v>
      </c>
      <c r="C178" s="1631">
        <v>0</v>
      </c>
      <c r="D178" s="1573">
        <v>0</v>
      </c>
      <c r="E178" s="1639"/>
      <c r="F178" s="1574"/>
      <c r="G178" s="1574"/>
      <c r="H178" s="1573">
        <v>0</v>
      </c>
      <c r="I178" s="1574"/>
      <c r="J178" s="1574"/>
      <c r="K178" s="1574"/>
    </row>
    <row r="179" spans="1:11" ht="12.75" customHeight="1" x14ac:dyDescent="0.2">
      <c r="A179" s="427" t="s">
        <v>257</v>
      </c>
      <c r="B179" s="429">
        <v>4060</v>
      </c>
      <c r="C179" s="1612">
        <v>0</v>
      </c>
      <c r="D179" s="1572">
        <v>0</v>
      </c>
      <c r="E179" s="1574"/>
      <c r="F179" s="1572">
        <v>0</v>
      </c>
      <c r="G179" s="1572">
        <v>0</v>
      </c>
      <c r="H179" s="1572">
        <v>0</v>
      </c>
      <c r="I179" s="1574"/>
      <c r="J179" s="1574"/>
      <c r="K179" s="1616"/>
    </row>
    <row r="180" spans="1:11" ht="22.5" x14ac:dyDescent="0.2">
      <c r="A180" s="479" t="s">
        <v>780</v>
      </c>
      <c r="B180" s="485">
        <v>4090</v>
      </c>
      <c r="C180" s="1631">
        <v>0</v>
      </c>
      <c r="D180" s="1572">
        <v>0</v>
      </c>
      <c r="E180" s="1574"/>
      <c r="F180" s="1572">
        <v>0</v>
      </c>
      <c r="G180" s="1572">
        <v>0</v>
      </c>
      <c r="H180" s="1572">
        <v>0</v>
      </c>
      <c r="I180" s="1574"/>
      <c r="J180" s="1574"/>
      <c r="K180" s="1572">
        <v>0</v>
      </c>
    </row>
    <row r="181" spans="1:11" ht="13.5" thickBot="1" x14ac:dyDescent="0.25">
      <c r="A181" s="2278" t="s">
        <v>779</v>
      </c>
      <c r="B181" s="2279"/>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4" t="s">
        <v>1782</v>
      </c>
      <c r="B182" s="2275"/>
      <c r="C182" s="1662"/>
      <c r="D182" s="1644"/>
      <c r="E182" s="1608"/>
      <c r="F182" s="1644"/>
      <c r="G182" s="1644"/>
      <c r="H182" s="1574"/>
      <c r="I182" s="1574"/>
      <c r="J182" s="1574"/>
      <c r="K182" s="1574"/>
    </row>
    <row r="183" spans="1:11" ht="15.75" customHeight="1" x14ac:dyDescent="0.2">
      <c r="A183" s="1340" t="s">
        <v>1587</v>
      </c>
      <c r="B183" s="1341"/>
      <c r="C183" s="1642"/>
      <c r="D183" s="1616"/>
      <c r="E183" s="1608"/>
      <c r="F183" s="1616"/>
      <c r="G183" s="1616"/>
      <c r="H183" s="1574"/>
      <c r="I183" s="1574"/>
      <c r="J183" s="1574"/>
      <c r="K183" s="1574"/>
    </row>
    <row r="184" spans="1:11" ht="12.75" customHeight="1" x14ac:dyDescent="0.2">
      <c r="A184" s="427" t="s">
        <v>1588</v>
      </c>
      <c r="B184" s="429">
        <v>4100</v>
      </c>
      <c r="C184" s="1612">
        <v>0</v>
      </c>
      <c r="D184" s="1585">
        <v>0</v>
      </c>
      <c r="E184" s="1639"/>
      <c r="F184" s="1585">
        <v>0</v>
      </c>
      <c r="G184" s="1585">
        <v>0</v>
      </c>
      <c r="H184" s="1574"/>
      <c r="I184" s="1574"/>
      <c r="J184" s="1574"/>
      <c r="K184" s="1574"/>
    </row>
    <row r="185" spans="1:11" ht="12.75" customHeight="1" x14ac:dyDescent="0.2">
      <c r="A185" s="427" t="s">
        <v>1589</v>
      </c>
      <c r="B185" s="429">
        <v>4105</v>
      </c>
      <c r="C185" s="1631">
        <v>0</v>
      </c>
      <c r="D185" s="1572">
        <v>0</v>
      </c>
      <c r="E185" s="1639"/>
      <c r="F185" s="1572">
        <v>0</v>
      </c>
      <c r="G185" s="1572">
        <v>0</v>
      </c>
      <c r="H185" s="1574"/>
      <c r="I185" s="1574"/>
      <c r="J185" s="1574"/>
      <c r="K185" s="1574"/>
    </row>
    <row r="186" spans="1:11" ht="12.75" customHeight="1" x14ac:dyDescent="0.2">
      <c r="A186" s="427" t="s">
        <v>1591</v>
      </c>
      <c r="B186" s="429">
        <v>4107</v>
      </c>
      <c r="C186" s="1631">
        <v>17924</v>
      </c>
      <c r="D186" s="1572">
        <v>0</v>
      </c>
      <c r="E186" s="1639"/>
      <c r="F186" s="1572">
        <v>0</v>
      </c>
      <c r="G186" s="1572">
        <v>0</v>
      </c>
      <c r="H186" s="1574"/>
      <c r="I186" s="1574"/>
      <c r="J186" s="1574"/>
      <c r="K186" s="1574"/>
    </row>
    <row r="187" spans="1:11" ht="12.75" customHeight="1" x14ac:dyDescent="0.2">
      <c r="A187" s="427" t="s">
        <v>1590</v>
      </c>
      <c r="B187" s="429">
        <v>4199</v>
      </c>
      <c r="C187" s="1631">
        <v>0</v>
      </c>
      <c r="D187" s="1572">
        <v>0</v>
      </c>
      <c r="E187" s="1639"/>
      <c r="F187" s="1572">
        <v>0</v>
      </c>
      <c r="G187" s="1572">
        <v>0</v>
      </c>
      <c r="H187" s="1574"/>
      <c r="I187" s="1574"/>
      <c r="J187" s="1574"/>
      <c r="K187" s="1574"/>
    </row>
    <row r="188" spans="1:11" ht="12.75" customHeight="1" thickBot="1" x14ac:dyDescent="0.25">
      <c r="A188" s="1405" t="s">
        <v>1592</v>
      </c>
      <c r="B188" s="1406"/>
      <c r="C188" s="1632">
        <f>SUM(C184:C187)</f>
        <v>17924</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1435</v>
      </c>
      <c r="B190" s="429">
        <v>4200</v>
      </c>
      <c r="C190" s="1573">
        <v>0</v>
      </c>
      <c r="D190" s="1574"/>
      <c r="E190" s="1639"/>
      <c r="F190" s="1633"/>
      <c r="G190" s="1663">
        <v>0</v>
      </c>
      <c r="H190" s="1574"/>
      <c r="I190" s="1574"/>
      <c r="J190" s="1574"/>
      <c r="K190" s="1574"/>
    </row>
    <row r="191" spans="1:11" ht="12.75" customHeight="1" x14ac:dyDescent="0.2">
      <c r="A191" s="427" t="s">
        <v>1050</v>
      </c>
      <c r="B191" s="429">
        <v>4210</v>
      </c>
      <c r="C191" s="1572">
        <v>36050</v>
      </c>
      <c r="D191" s="1574"/>
      <c r="E191" s="1639"/>
      <c r="F191" s="1574"/>
      <c r="G191" s="1663">
        <v>0</v>
      </c>
      <c r="H191" s="1574"/>
      <c r="I191" s="1574"/>
      <c r="J191" s="1574"/>
      <c r="K191" s="1574"/>
    </row>
    <row r="192" spans="1:11" ht="12.75" customHeight="1" x14ac:dyDescent="0.2">
      <c r="A192" s="427" t="s">
        <v>1039</v>
      </c>
      <c r="B192" s="429">
        <v>4215</v>
      </c>
      <c r="C192" s="1631">
        <v>0</v>
      </c>
      <c r="D192" s="1574"/>
      <c r="E192" s="1639"/>
      <c r="F192" s="1574"/>
      <c r="G192" s="1663">
        <v>0</v>
      </c>
      <c r="H192" s="1574"/>
      <c r="I192" s="1574"/>
      <c r="J192" s="1574"/>
      <c r="K192" s="1574"/>
    </row>
    <row r="193" spans="1:11" ht="12.75" customHeight="1" x14ac:dyDescent="0.2">
      <c r="A193" s="427" t="s">
        <v>1051</v>
      </c>
      <c r="B193" s="429">
        <v>4220</v>
      </c>
      <c r="C193" s="1631">
        <v>11344</v>
      </c>
      <c r="D193" s="1574"/>
      <c r="E193" s="1639"/>
      <c r="F193" s="1574"/>
      <c r="G193" s="1663">
        <v>0</v>
      </c>
      <c r="H193" s="1574"/>
      <c r="I193" s="1574"/>
      <c r="J193" s="1574"/>
      <c r="K193" s="1574"/>
    </row>
    <row r="194" spans="1:11" ht="12.75" customHeight="1" x14ac:dyDescent="0.2">
      <c r="A194" s="427" t="s">
        <v>1436</v>
      </c>
      <c r="B194" s="429">
        <v>4225</v>
      </c>
      <c r="C194" s="1631">
        <v>22567</v>
      </c>
      <c r="D194" s="1574"/>
      <c r="E194" s="1639"/>
      <c r="F194" s="1574"/>
      <c r="G194" s="1663">
        <v>0</v>
      </c>
      <c r="H194" s="1574"/>
      <c r="I194" s="1574"/>
      <c r="J194" s="1574"/>
      <c r="K194" s="1574"/>
    </row>
    <row r="195" spans="1:11" ht="12.75" customHeight="1" x14ac:dyDescent="0.2">
      <c r="A195" s="427" t="s">
        <v>1437</v>
      </c>
      <c r="B195" s="429">
        <v>4226</v>
      </c>
      <c r="C195" s="1631">
        <v>0</v>
      </c>
      <c r="D195" s="1574"/>
      <c r="E195" s="1639"/>
      <c r="F195" s="1574"/>
      <c r="G195" s="1663">
        <v>0</v>
      </c>
      <c r="H195" s="1574"/>
      <c r="I195" s="1574"/>
      <c r="J195" s="1574"/>
      <c r="K195" s="1574"/>
    </row>
    <row r="196" spans="1:11" ht="12.75" customHeight="1" x14ac:dyDescent="0.2">
      <c r="A196" s="427" t="s">
        <v>786</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543</v>
      </c>
      <c r="B198" s="1406"/>
      <c r="C198" s="1593">
        <f>SUM(C190:C197)</f>
        <v>69961</v>
      </c>
      <c r="D198" s="1574"/>
      <c r="E198" s="1574"/>
      <c r="F198" s="1574"/>
      <c r="G198" s="1593">
        <f>SUM(G190:G197)</f>
        <v>0</v>
      </c>
      <c r="H198" s="1574"/>
      <c r="I198" s="1574"/>
      <c r="J198" s="1574"/>
      <c r="K198" s="1574"/>
    </row>
    <row r="199" spans="1:11" ht="15.75" customHeight="1" thickTop="1" x14ac:dyDescent="0.2">
      <c r="A199" s="1337" t="s">
        <v>1129</v>
      </c>
      <c r="B199" s="1342"/>
      <c r="C199" s="1633"/>
      <c r="D199" s="1574"/>
      <c r="E199" s="1574"/>
      <c r="F199" s="1574"/>
      <c r="G199" s="1574"/>
      <c r="H199" s="1574"/>
      <c r="I199" s="1574"/>
      <c r="J199" s="1574"/>
      <c r="K199" s="1574"/>
    </row>
    <row r="200" spans="1:11" ht="12.75" customHeight="1" x14ac:dyDescent="0.2">
      <c r="A200" s="427" t="s">
        <v>911</v>
      </c>
      <c r="B200" s="429">
        <v>4300</v>
      </c>
      <c r="C200" s="1572">
        <v>33024</v>
      </c>
      <c r="D200" s="1572">
        <v>0</v>
      </c>
      <c r="E200" s="1574"/>
      <c r="F200" s="1572">
        <v>0</v>
      </c>
      <c r="G200" s="1572">
        <v>0</v>
      </c>
      <c r="H200" s="1574"/>
      <c r="I200" s="1574"/>
      <c r="J200" s="1574"/>
      <c r="K200" s="1574"/>
    </row>
    <row r="201" spans="1:11" ht="12.75" customHeight="1" x14ac:dyDescent="0.2">
      <c r="A201" s="427" t="s">
        <v>912</v>
      </c>
      <c r="B201" s="429">
        <v>4305</v>
      </c>
      <c r="C201" s="1631">
        <v>0</v>
      </c>
      <c r="D201" s="1572">
        <v>0</v>
      </c>
      <c r="E201" s="1574"/>
      <c r="F201" s="1572">
        <v>0</v>
      </c>
      <c r="G201" s="1572">
        <v>0</v>
      </c>
      <c r="H201" s="1574"/>
      <c r="I201" s="1574"/>
      <c r="J201" s="1574"/>
      <c r="K201" s="1574"/>
    </row>
    <row r="202" spans="1:11" ht="12.75" customHeight="1" x14ac:dyDescent="0.2">
      <c r="A202" s="427" t="s">
        <v>1023</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396</v>
      </c>
      <c r="B204" s="1406"/>
      <c r="C204" s="1632">
        <f>SUM(C200:C203)</f>
        <v>33024</v>
      </c>
      <c r="D204" s="1632">
        <f>SUM(D200:D203)</f>
        <v>0</v>
      </c>
      <c r="E204" s="1574"/>
      <c r="F204" s="1632">
        <f>SUM(F200:F203)</f>
        <v>0</v>
      </c>
      <c r="G204" s="1632">
        <f>SUM(G200:G203)</f>
        <v>0</v>
      </c>
      <c r="H204" s="1574"/>
      <c r="I204" s="1574"/>
      <c r="J204" s="1574"/>
      <c r="K204" s="1574"/>
    </row>
    <row r="205" spans="1:11" ht="15.75" customHeight="1" thickTop="1" x14ac:dyDescent="0.2">
      <c r="A205" s="1337" t="s">
        <v>1130</v>
      </c>
      <c r="B205" s="1342"/>
      <c r="C205" s="1633"/>
      <c r="D205" s="1633"/>
      <c r="E205" s="1574"/>
      <c r="F205" s="1633"/>
      <c r="G205" s="1633"/>
      <c r="H205" s="1574"/>
      <c r="I205" s="1574"/>
      <c r="J205" s="1574"/>
      <c r="K205" s="1574"/>
    </row>
    <row r="206" spans="1:11" ht="12.75" customHeight="1" x14ac:dyDescent="0.2">
      <c r="A206" s="427" t="s">
        <v>753</v>
      </c>
      <c r="B206" s="429">
        <v>4400</v>
      </c>
      <c r="C206" s="1631">
        <v>3939</v>
      </c>
      <c r="D206" s="1572">
        <v>0</v>
      </c>
      <c r="E206" s="1574"/>
      <c r="F206" s="1572">
        <v>0</v>
      </c>
      <c r="G206" s="1572">
        <v>0</v>
      </c>
      <c r="H206" s="1574"/>
      <c r="I206" s="1574"/>
      <c r="J206" s="1574"/>
      <c r="K206" s="1574"/>
    </row>
    <row r="207" spans="1:11" ht="12.75" customHeight="1" x14ac:dyDescent="0.2">
      <c r="A207" s="427" t="s">
        <v>1438</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882</v>
      </c>
      <c r="B209" s="1406"/>
      <c r="C209" s="1632">
        <f>SUM(C206:C208)</f>
        <v>3939</v>
      </c>
      <c r="D209" s="1632">
        <f>SUM(D206:D208)</f>
        <v>0</v>
      </c>
      <c r="E209" s="1574" t="s">
        <v>1160</v>
      </c>
      <c r="F209" s="1632">
        <f>SUM(F206:F208)</f>
        <v>0</v>
      </c>
      <c r="G209" s="1632">
        <f>SUM(G206:G208)</f>
        <v>0</v>
      </c>
      <c r="H209" s="1574"/>
      <c r="I209" s="1574"/>
      <c r="J209" s="1574"/>
      <c r="K209" s="1574"/>
    </row>
    <row r="210" spans="1:11" ht="15.75" customHeight="1" thickTop="1" x14ac:dyDescent="0.2">
      <c r="A210" s="1337" t="s">
        <v>1084</v>
      </c>
      <c r="B210" s="1342"/>
      <c r="C210" s="1633"/>
      <c r="D210" s="1633"/>
      <c r="E210" s="1574"/>
      <c r="F210" s="1633"/>
      <c r="G210" s="1633"/>
      <c r="H210" s="1574"/>
      <c r="I210" s="1574"/>
      <c r="J210" s="1574"/>
      <c r="K210" s="1574"/>
    </row>
    <row r="211" spans="1:11" ht="12.75" customHeight="1" x14ac:dyDescent="0.2">
      <c r="A211" s="427" t="s">
        <v>1044</v>
      </c>
      <c r="B211" s="429">
        <v>4600</v>
      </c>
      <c r="C211" s="1631">
        <v>0</v>
      </c>
      <c r="D211" s="1572">
        <v>0</v>
      </c>
      <c r="E211" s="1574"/>
      <c r="F211" s="1572">
        <v>0</v>
      </c>
      <c r="G211" s="1572">
        <v>0</v>
      </c>
      <c r="H211" s="1574"/>
      <c r="I211" s="1574"/>
      <c r="J211" s="1574"/>
      <c r="K211" s="1574"/>
    </row>
    <row r="212" spans="1:11" ht="12.75" customHeight="1" x14ac:dyDescent="0.2">
      <c r="A212" s="427" t="s">
        <v>1045</v>
      </c>
      <c r="B212" s="429">
        <v>4605</v>
      </c>
      <c r="C212" s="1631">
        <v>0</v>
      </c>
      <c r="D212" s="1572">
        <v>0</v>
      </c>
      <c r="E212" s="1574"/>
      <c r="F212" s="1572">
        <v>0</v>
      </c>
      <c r="G212" s="1572">
        <v>0</v>
      </c>
      <c r="H212" s="1574"/>
      <c r="I212" s="1574"/>
      <c r="J212" s="1574"/>
      <c r="K212" s="1574"/>
    </row>
    <row r="213" spans="1:11" ht="12.75" customHeight="1" x14ac:dyDescent="0.2">
      <c r="A213" s="427" t="s">
        <v>1439</v>
      </c>
      <c r="B213" s="475">
        <v>4620</v>
      </c>
      <c r="C213" s="1631">
        <v>11886</v>
      </c>
      <c r="D213" s="1572">
        <v>0</v>
      </c>
      <c r="E213" s="1574"/>
      <c r="F213" s="1572">
        <v>0</v>
      </c>
      <c r="G213" s="1572">
        <v>0</v>
      </c>
      <c r="H213" s="1574"/>
      <c r="I213" s="1574"/>
      <c r="J213" s="1574"/>
      <c r="K213" s="1574"/>
    </row>
    <row r="214" spans="1:11" ht="12.75" customHeight="1" x14ac:dyDescent="0.2">
      <c r="A214" s="427" t="s">
        <v>1046</v>
      </c>
      <c r="B214" s="429">
        <v>4625</v>
      </c>
      <c r="C214" s="1631">
        <v>4583</v>
      </c>
      <c r="D214" s="1572">
        <v>0</v>
      </c>
      <c r="E214" s="1574"/>
      <c r="F214" s="1572">
        <v>0</v>
      </c>
      <c r="G214" s="1572">
        <v>0</v>
      </c>
      <c r="H214" s="1574"/>
      <c r="I214" s="1574"/>
      <c r="J214" s="1574"/>
      <c r="K214" s="1574"/>
    </row>
    <row r="215" spans="1:11" ht="12.75" customHeight="1" x14ac:dyDescent="0.2">
      <c r="A215" s="427" t="s">
        <v>1047</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443</v>
      </c>
      <c r="B217" s="1406"/>
      <c r="C217" s="1632">
        <f>SUM(C211:C216)</f>
        <v>16469</v>
      </c>
      <c r="D217" s="1632">
        <f>SUM(D211:D216)</f>
        <v>0</v>
      </c>
      <c r="E217" s="1574"/>
      <c r="F217" s="1632">
        <f>SUM(F211:F216)</f>
        <v>0</v>
      </c>
      <c r="G217" s="1632">
        <f>SUM(G211:G216)</f>
        <v>0</v>
      </c>
      <c r="H217" s="1574"/>
      <c r="I217" s="1574"/>
      <c r="J217" s="1574"/>
      <c r="K217" s="1574"/>
    </row>
    <row r="218" spans="1:11" ht="15.75" customHeight="1" thickTop="1" x14ac:dyDescent="0.2">
      <c r="A218" s="1337" t="s">
        <v>1085</v>
      </c>
      <c r="B218" s="1342"/>
      <c r="C218" s="1633"/>
      <c r="D218" s="1633"/>
      <c r="E218" s="1574"/>
      <c r="F218" s="1633"/>
      <c r="G218" s="1633"/>
      <c r="H218" s="1574"/>
      <c r="I218" s="1574"/>
      <c r="J218" s="1574"/>
      <c r="K218" s="1574"/>
    </row>
    <row r="219" spans="1:11" ht="12.75" customHeight="1" x14ac:dyDescent="0.2">
      <c r="A219" s="427" t="s">
        <v>781</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1077</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v>0</v>
      </c>
      <c r="D222" s="1650">
        <v>0</v>
      </c>
      <c r="E222" s="1574"/>
      <c r="F222" s="1574"/>
      <c r="G222" s="1650">
        <v>0</v>
      </c>
      <c r="H222" s="1574"/>
      <c r="I222" s="1574"/>
      <c r="J222" s="1574"/>
      <c r="K222" s="1574"/>
    </row>
    <row r="223" spans="1:11" ht="12.75" customHeight="1" thickTop="1" x14ac:dyDescent="0.2">
      <c r="A223" s="436" t="s">
        <v>346</v>
      </c>
      <c r="B223" s="435">
        <v>4850</v>
      </c>
      <c r="C223" s="1597">
        <v>0</v>
      </c>
      <c r="D223" s="1573">
        <v>0</v>
      </c>
      <c r="E223" s="1573">
        <v>0</v>
      </c>
      <c r="F223" s="1573">
        <v>0</v>
      </c>
      <c r="G223" s="1573">
        <v>0</v>
      </c>
      <c r="H223" s="1573">
        <v>0</v>
      </c>
      <c r="I223" s="1574"/>
      <c r="J223" s="1573">
        <v>0</v>
      </c>
      <c r="K223" s="1573">
        <v>0</v>
      </c>
    </row>
    <row r="224" spans="1:11" ht="12.75" customHeight="1" x14ac:dyDescent="0.2">
      <c r="A224" s="436" t="s">
        <v>347</v>
      </c>
      <c r="B224" s="435">
        <v>4851</v>
      </c>
      <c r="C224" s="1597">
        <v>0</v>
      </c>
      <c r="D224" s="1573">
        <v>0</v>
      </c>
      <c r="E224" s="1574"/>
      <c r="F224" s="1578">
        <v>0</v>
      </c>
      <c r="G224" s="1573">
        <v>0</v>
      </c>
      <c r="H224" s="1574"/>
      <c r="I224" s="1574"/>
      <c r="J224" s="1574"/>
      <c r="K224" s="1574"/>
    </row>
    <row r="225" spans="1:11" ht="12.75" customHeight="1" x14ac:dyDescent="0.2">
      <c r="A225" s="436" t="s">
        <v>348</v>
      </c>
      <c r="B225" s="435">
        <v>4852</v>
      </c>
      <c r="C225" s="1597">
        <v>0</v>
      </c>
      <c r="D225" s="1573">
        <v>0</v>
      </c>
      <c r="E225" s="1573">
        <v>0</v>
      </c>
      <c r="F225" s="1573">
        <v>0</v>
      </c>
      <c r="G225" s="1573">
        <v>0</v>
      </c>
      <c r="H225" s="1573">
        <v>0</v>
      </c>
      <c r="I225" s="1574"/>
      <c r="J225" s="1573">
        <v>0</v>
      </c>
      <c r="K225" s="1573">
        <v>0</v>
      </c>
    </row>
    <row r="226" spans="1:11" ht="12.75" customHeight="1" x14ac:dyDescent="0.2">
      <c r="A226" s="436" t="s">
        <v>349</v>
      </c>
      <c r="B226" s="435">
        <v>4853</v>
      </c>
      <c r="C226" s="1597">
        <v>0</v>
      </c>
      <c r="D226" s="1573">
        <v>0</v>
      </c>
      <c r="E226" s="1573">
        <v>0</v>
      </c>
      <c r="F226" s="1573">
        <v>0</v>
      </c>
      <c r="G226" s="1573">
        <v>0</v>
      </c>
      <c r="H226" s="1573">
        <v>0</v>
      </c>
      <c r="I226" s="1574"/>
      <c r="J226" s="1573">
        <v>0</v>
      </c>
      <c r="K226" s="1573">
        <v>0</v>
      </c>
    </row>
    <row r="227" spans="1:11" ht="12.75" customHeight="1" x14ac:dyDescent="0.2">
      <c r="A227" s="436" t="s">
        <v>350</v>
      </c>
      <c r="B227" s="435">
        <v>4854</v>
      </c>
      <c r="C227" s="1597">
        <v>0</v>
      </c>
      <c r="D227" s="1573">
        <v>0</v>
      </c>
      <c r="E227" s="1573">
        <v>0</v>
      </c>
      <c r="F227" s="1573">
        <v>0</v>
      </c>
      <c r="G227" s="1573">
        <v>0</v>
      </c>
      <c r="H227" s="1573">
        <v>0</v>
      </c>
      <c r="I227" s="1574"/>
      <c r="J227" s="1573">
        <v>0</v>
      </c>
      <c r="K227" s="1573">
        <v>0</v>
      </c>
    </row>
    <row r="228" spans="1:11" ht="12.75" customHeight="1" x14ac:dyDescent="0.2">
      <c r="A228" s="436" t="s">
        <v>460</v>
      </c>
      <c r="B228" s="435">
        <v>4855</v>
      </c>
      <c r="C228" s="1597">
        <v>0</v>
      </c>
      <c r="D228" s="1573">
        <v>0</v>
      </c>
      <c r="E228" s="1573">
        <v>0</v>
      </c>
      <c r="F228" s="1573">
        <v>0</v>
      </c>
      <c r="G228" s="1573">
        <v>0</v>
      </c>
      <c r="H228" s="1573">
        <v>0</v>
      </c>
      <c r="I228" s="1574"/>
      <c r="J228" s="1573">
        <v>0</v>
      </c>
      <c r="K228" s="1573">
        <v>0</v>
      </c>
    </row>
    <row r="229" spans="1:11" ht="12.75" customHeight="1" x14ac:dyDescent="0.2">
      <c r="A229" s="436" t="s">
        <v>351</v>
      </c>
      <c r="B229" s="435">
        <v>4856</v>
      </c>
      <c r="C229" s="1597">
        <v>0</v>
      </c>
      <c r="D229" s="1573">
        <v>0</v>
      </c>
      <c r="E229" s="1573">
        <v>0</v>
      </c>
      <c r="F229" s="1573">
        <v>0</v>
      </c>
      <c r="G229" s="1573">
        <v>0</v>
      </c>
      <c r="H229" s="1573">
        <v>0</v>
      </c>
      <c r="I229" s="1574"/>
      <c r="J229" s="1573">
        <v>0</v>
      </c>
      <c r="K229" s="1573">
        <v>0</v>
      </c>
    </row>
    <row r="230" spans="1:11" ht="12.75" customHeight="1" x14ac:dyDescent="0.2">
      <c r="A230" s="436" t="s">
        <v>352</v>
      </c>
      <c r="B230" s="435">
        <v>4857</v>
      </c>
      <c r="C230" s="1597">
        <v>0</v>
      </c>
      <c r="D230" s="1573">
        <v>0</v>
      </c>
      <c r="E230" s="1573">
        <v>0</v>
      </c>
      <c r="F230" s="1573">
        <v>0</v>
      </c>
      <c r="G230" s="1573">
        <v>0</v>
      </c>
      <c r="H230" s="1573">
        <v>0</v>
      </c>
      <c r="I230" s="1574"/>
      <c r="J230" s="1573">
        <v>0</v>
      </c>
      <c r="K230" s="1573">
        <v>0</v>
      </c>
    </row>
    <row r="231" spans="1:11" ht="12.75" customHeight="1" x14ac:dyDescent="0.2">
      <c r="A231" s="436" t="s">
        <v>353</v>
      </c>
      <c r="B231" s="435">
        <v>4860</v>
      </c>
      <c r="C231" s="1597">
        <v>0</v>
      </c>
      <c r="D231" s="1573">
        <v>0</v>
      </c>
      <c r="E231" s="1573">
        <v>0</v>
      </c>
      <c r="F231" s="1573">
        <v>0</v>
      </c>
      <c r="G231" s="1573">
        <v>0</v>
      </c>
      <c r="H231" s="1573">
        <v>0</v>
      </c>
      <c r="I231" s="1574"/>
      <c r="J231" s="1573">
        <v>0</v>
      </c>
      <c r="K231" s="1573">
        <v>0</v>
      </c>
    </row>
    <row r="232" spans="1:11" ht="12.75" customHeight="1" x14ac:dyDescent="0.2">
      <c r="A232" s="436" t="s">
        <v>354</v>
      </c>
      <c r="B232" s="435">
        <v>4861</v>
      </c>
      <c r="C232" s="1597">
        <v>0</v>
      </c>
      <c r="D232" s="1573">
        <v>0</v>
      </c>
      <c r="E232" s="1573">
        <v>0</v>
      </c>
      <c r="F232" s="1573">
        <v>0</v>
      </c>
      <c r="G232" s="1573">
        <v>0</v>
      </c>
      <c r="H232" s="1573">
        <v>0</v>
      </c>
      <c r="I232" s="1574"/>
      <c r="J232" s="1573">
        <v>0</v>
      </c>
      <c r="K232" s="1573">
        <v>0</v>
      </c>
    </row>
    <row r="233" spans="1:11" ht="12.75" customHeight="1" x14ac:dyDescent="0.2">
      <c r="A233" s="436" t="s">
        <v>355</v>
      </c>
      <c r="B233" s="435">
        <v>4862</v>
      </c>
      <c r="C233" s="1597">
        <v>0</v>
      </c>
      <c r="D233" s="1573">
        <v>0</v>
      </c>
      <c r="E233" s="1579"/>
      <c r="F233" s="1573">
        <v>0</v>
      </c>
      <c r="G233" s="1573">
        <v>0</v>
      </c>
      <c r="H233" s="1579"/>
      <c r="I233" s="1574"/>
      <c r="J233" s="1579"/>
      <c r="K233" s="1579"/>
    </row>
    <row r="234" spans="1:11" ht="12.75" customHeight="1" x14ac:dyDescent="0.2">
      <c r="A234" s="436" t="s">
        <v>356</v>
      </c>
      <c r="B234" s="435">
        <v>4863</v>
      </c>
      <c r="C234" s="1597">
        <v>0</v>
      </c>
      <c r="D234" s="1573">
        <v>0</v>
      </c>
      <c r="E234" s="1574"/>
      <c r="F234" s="1579"/>
      <c r="G234" s="1622"/>
      <c r="H234" s="1574"/>
      <c r="I234" s="1574"/>
      <c r="J234" s="1574"/>
      <c r="K234" s="1574"/>
    </row>
    <row r="235" spans="1:11" ht="12.75" customHeight="1" x14ac:dyDescent="0.2">
      <c r="A235" s="436" t="s">
        <v>465</v>
      </c>
      <c r="B235" s="435">
        <v>4864</v>
      </c>
      <c r="C235" s="1597">
        <v>0</v>
      </c>
      <c r="D235" s="1573">
        <v>0</v>
      </c>
      <c r="E235" s="1573">
        <v>0</v>
      </c>
      <c r="F235" s="1573">
        <v>0</v>
      </c>
      <c r="G235" s="1573">
        <v>0</v>
      </c>
      <c r="H235" s="1573">
        <v>0</v>
      </c>
      <c r="I235" s="1574"/>
      <c r="J235" s="1573">
        <v>0</v>
      </c>
      <c r="K235" s="1573">
        <v>0</v>
      </c>
    </row>
    <row r="236" spans="1:11" ht="12.75" customHeight="1" x14ac:dyDescent="0.2">
      <c r="A236" s="436" t="s">
        <v>466</v>
      </c>
      <c r="B236" s="435">
        <v>4865</v>
      </c>
      <c r="C236" s="1597">
        <v>0</v>
      </c>
      <c r="D236" s="1573">
        <v>0</v>
      </c>
      <c r="E236" s="1573">
        <v>0</v>
      </c>
      <c r="F236" s="1573">
        <v>0</v>
      </c>
      <c r="G236" s="1573">
        <v>0</v>
      </c>
      <c r="H236" s="1573">
        <v>0</v>
      </c>
      <c r="I236" s="1574"/>
      <c r="J236" s="1573">
        <v>0</v>
      </c>
      <c r="K236" s="1573">
        <v>0</v>
      </c>
    </row>
    <row r="237" spans="1:11" ht="12.75" customHeight="1" x14ac:dyDescent="0.2">
      <c r="A237" s="436" t="s">
        <v>464</v>
      </c>
      <c r="B237" s="435">
        <v>4866</v>
      </c>
      <c r="C237" s="1597">
        <v>0</v>
      </c>
      <c r="D237" s="1573">
        <v>0</v>
      </c>
      <c r="E237" s="1573">
        <v>0</v>
      </c>
      <c r="F237" s="1573">
        <v>0</v>
      </c>
      <c r="G237" s="1573">
        <v>0</v>
      </c>
      <c r="H237" s="1573">
        <v>0</v>
      </c>
      <c r="I237" s="1574"/>
      <c r="J237" s="1573">
        <v>0</v>
      </c>
      <c r="K237" s="1573">
        <v>0</v>
      </c>
    </row>
    <row r="238" spans="1:11" ht="12.75" customHeight="1" x14ac:dyDescent="0.2">
      <c r="A238" s="436" t="s">
        <v>463</v>
      </c>
      <c r="B238" s="435">
        <v>4867</v>
      </c>
      <c r="C238" s="1597">
        <v>0</v>
      </c>
      <c r="D238" s="1573">
        <v>0</v>
      </c>
      <c r="E238" s="1573">
        <v>0</v>
      </c>
      <c r="F238" s="1573">
        <v>0</v>
      </c>
      <c r="G238" s="1573">
        <v>0</v>
      </c>
      <c r="H238" s="1573">
        <v>0</v>
      </c>
      <c r="I238" s="1574"/>
      <c r="J238" s="1573">
        <v>0</v>
      </c>
      <c r="K238" s="1573">
        <v>0</v>
      </c>
    </row>
    <row r="239" spans="1:11" ht="12.75" customHeight="1" x14ac:dyDescent="0.2">
      <c r="A239" s="436" t="s">
        <v>462</v>
      </c>
      <c r="B239" s="435">
        <v>4868</v>
      </c>
      <c r="C239" s="1597">
        <v>0</v>
      </c>
      <c r="D239" s="1573">
        <v>0</v>
      </c>
      <c r="E239" s="1573">
        <v>0</v>
      </c>
      <c r="F239" s="1573">
        <v>0</v>
      </c>
      <c r="G239" s="1573">
        <v>0</v>
      </c>
      <c r="H239" s="1573">
        <v>0</v>
      </c>
      <c r="I239" s="1574"/>
      <c r="J239" s="1573">
        <v>0</v>
      </c>
      <c r="K239" s="1573">
        <v>0</v>
      </c>
    </row>
    <row r="240" spans="1:11" ht="12.75" customHeight="1" x14ac:dyDescent="0.2">
      <c r="A240" s="436" t="s">
        <v>461</v>
      </c>
      <c r="B240" s="435">
        <v>4869</v>
      </c>
      <c r="C240" s="1597">
        <v>0</v>
      </c>
      <c r="D240" s="1573">
        <v>0</v>
      </c>
      <c r="E240" s="1573">
        <v>0</v>
      </c>
      <c r="F240" s="1573">
        <v>0</v>
      </c>
      <c r="G240" s="1573">
        <v>0</v>
      </c>
      <c r="H240" s="1573">
        <v>0</v>
      </c>
      <c r="I240" s="1574"/>
      <c r="J240" s="1573">
        <v>0</v>
      </c>
      <c r="K240" s="1573">
        <v>0</v>
      </c>
    </row>
    <row r="241" spans="1:11" ht="12.75" customHeight="1" x14ac:dyDescent="0.2">
      <c r="A241" s="436" t="s">
        <v>1119</v>
      </c>
      <c r="B241" s="435">
        <v>4870</v>
      </c>
      <c r="C241" s="1597">
        <v>0</v>
      </c>
      <c r="D241" s="1573">
        <v>0</v>
      </c>
      <c r="E241" s="1573">
        <v>0</v>
      </c>
      <c r="F241" s="1573">
        <v>0</v>
      </c>
      <c r="G241" s="1573">
        <v>0</v>
      </c>
      <c r="H241" s="1573">
        <v>0</v>
      </c>
      <c r="I241" s="1574"/>
      <c r="J241" s="1573">
        <v>0</v>
      </c>
      <c r="K241" s="1573">
        <v>0</v>
      </c>
    </row>
    <row r="242" spans="1:11" ht="12.75" customHeight="1" x14ac:dyDescent="0.2">
      <c r="A242" s="436" t="s">
        <v>782</v>
      </c>
      <c r="B242" s="435">
        <v>4871</v>
      </c>
      <c r="C242" s="1597">
        <v>0</v>
      </c>
      <c r="D242" s="1573">
        <v>0</v>
      </c>
      <c r="E242" s="1573">
        <v>0</v>
      </c>
      <c r="F242" s="1573">
        <v>0</v>
      </c>
      <c r="G242" s="1573">
        <v>0</v>
      </c>
      <c r="H242" s="1573">
        <v>0</v>
      </c>
      <c r="I242" s="1574"/>
      <c r="J242" s="1573">
        <v>0</v>
      </c>
      <c r="K242" s="1573">
        <v>0</v>
      </c>
    </row>
    <row r="243" spans="1:11" ht="12.75" customHeight="1" x14ac:dyDescent="0.2">
      <c r="A243" s="436" t="s">
        <v>783</v>
      </c>
      <c r="B243" s="435">
        <v>4872</v>
      </c>
      <c r="C243" s="1597">
        <v>0</v>
      </c>
      <c r="D243" s="1573">
        <v>0</v>
      </c>
      <c r="E243" s="1573">
        <v>0</v>
      </c>
      <c r="F243" s="1573">
        <v>0</v>
      </c>
      <c r="G243" s="1573">
        <v>0</v>
      </c>
      <c r="H243" s="1573">
        <v>0</v>
      </c>
      <c r="I243" s="1574"/>
      <c r="J243" s="1573">
        <v>0</v>
      </c>
      <c r="K243" s="1573">
        <v>0</v>
      </c>
    </row>
    <row r="244" spans="1:11" ht="12.75" customHeight="1" x14ac:dyDescent="0.2">
      <c r="A244" s="436" t="s">
        <v>784</v>
      </c>
      <c r="B244" s="435">
        <v>4873</v>
      </c>
      <c r="C244" s="1597">
        <v>0</v>
      </c>
      <c r="D244" s="1573">
        <v>0</v>
      </c>
      <c r="E244" s="1573">
        <v>0</v>
      </c>
      <c r="F244" s="1573">
        <v>0</v>
      </c>
      <c r="G244" s="1573">
        <v>0</v>
      </c>
      <c r="H244" s="1573">
        <v>0</v>
      </c>
      <c r="I244" s="1574"/>
      <c r="J244" s="1573">
        <v>0</v>
      </c>
      <c r="K244" s="1573">
        <v>0</v>
      </c>
    </row>
    <row r="245" spans="1:11" ht="12.75" customHeight="1" x14ac:dyDescent="0.2">
      <c r="A245" s="436" t="s">
        <v>785</v>
      </c>
      <c r="B245" s="435">
        <v>4874</v>
      </c>
      <c r="C245" s="1597">
        <v>0</v>
      </c>
      <c r="D245" s="1573">
        <v>0</v>
      </c>
      <c r="E245" s="1573">
        <v>0</v>
      </c>
      <c r="F245" s="1573">
        <v>0</v>
      </c>
      <c r="G245" s="1573">
        <v>0</v>
      </c>
      <c r="H245" s="1573">
        <v>0</v>
      </c>
      <c r="I245" s="1574"/>
      <c r="J245" s="1573">
        <v>0</v>
      </c>
      <c r="K245" s="1573">
        <v>0</v>
      </c>
    </row>
    <row r="246" spans="1:11" ht="12.75" customHeight="1" x14ac:dyDescent="0.2">
      <c r="A246" s="436" t="s">
        <v>467</v>
      </c>
      <c r="B246" s="435">
        <v>4875</v>
      </c>
      <c r="C246" s="1597">
        <v>0</v>
      </c>
      <c r="D246" s="1573">
        <v>0</v>
      </c>
      <c r="E246" s="1573">
        <v>0</v>
      </c>
      <c r="F246" s="1573">
        <v>0</v>
      </c>
      <c r="G246" s="1573">
        <v>0</v>
      </c>
      <c r="H246" s="1573">
        <v>0</v>
      </c>
      <c r="I246" s="1574"/>
      <c r="J246" s="1573">
        <v>0</v>
      </c>
      <c r="K246" s="1573">
        <v>0</v>
      </c>
    </row>
    <row r="247" spans="1:11" ht="12.75" customHeight="1" x14ac:dyDescent="0.2">
      <c r="A247" s="436" t="s">
        <v>764</v>
      </c>
      <c r="B247" s="435">
        <v>4876</v>
      </c>
      <c r="C247" s="1597">
        <v>0</v>
      </c>
      <c r="D247" s="1573">
        <v>0</v>
      </c>
      <c r="E247" s="1573">
        <v>0</v>
      </c>
      <c r="F247" s="1573">
        <v>0</v>
      </c>
      <c r="G247" s="1573">
        <v>0</v>
      </c>
      <c r="H247" s="1573">
        <v>0</v>
      </c>
      <c r="I247" s="1574"/>
      <c r="J247" s="1573">
        <v>0</v>
      </c>
      <c r="K247" s="1573">
        <v>0</v>
      </c>
    </row>
    <row r="248" spans="1:11" ht="12.75" customHeight="1" x14ac:dyDescent="0.2">
      <c r="A248" s="436" t="s">
        <v>765</v>
      </c>
      <c r="B248" s="435">
        <v>4877</v>
      </c>
      <c r="C248" s="1597">
        <v>0</v>
      </c>
      <c r="D248" s="1573">
        <v>0</v>
      </c>
      <c r="E248" s="1573">
        <v>0</v>
      </c>
      <c r="F248" s="1573">
        <v>0</v>
      </c>
      <c r="G248" s="1573">
        <v>0</v>
      </c>
      <c r="H248" s="1573">
        <v>0</v>
      </c>
      <c r="I248" s="1574"/>
      <c r="J248" s="1573">
        <v>0</v>
      </c>
      <c r="K248" s="1573">
        <v>0</v>
      </c>
    </row>
    <row r="249" spans="1:11" ht="12.75" customHeight="1" x14ac:dyDescent="0.2">
      <c r="A249" s="436" t="s">
        <v>766</v>
      </c>
      <c r="B249" s="435">
        <v>4878</v>
      </c>
      <c r="C249" s="1597">
        <v>0</v>
      </c>
      <c r="D249" s="1573">
        <v>0</v>
      </c>
      <c r="E249" s="1573">
        <v>0</v>
      </c>
      <c r="F249" s="1573">
        <v>0</v>
      </c>
      <c r="G249" s="1573">
        <v>0</v>
      </c>
      <c r="H249" s="1573">
        <v>0</v>
      </c>
      <c r="I249" s="1574"/>
      <c r="J249" s="1573">
        <v>0</v>
      </c>
      <c r="K249" s="1573">
        <v>0</v>
      </c>
    </row>
    <row r="250" spans="1:11" ht="12.75" customHeight="1" x14ac:dyDescent="0.2">
      <c r="A250" s="436" t="s">
        <v>767</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1440</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1406</v>
      </c>
      <c r="B253" s="487">
        <v>4901</v>
      </c>
      <c r="C253" s="1665">
        <v>0</v>
      </c>
      <c r="D253" s="1575"/>
      <c r="E253" s="1574"/>
      <c r="F253" s="1574"/>
      <c r="G253" s="1574"/>
      <c r="H253" s="1574"/>
      <c r="I253" s="1574"/>
      <c r="J253" s="1574"/>
      <c r="K253" s="1574"/>
    </row>
    <row r="254" spans="1:11" ht="12.75" customHeight="1" thickTop="1" thickBot="1" x14ac:dyDescent="0.25">
      <c r="A254" s="1272" t="s">
        <v>1448</v>
      </c>
      <c r="B254" s="488">
        <v>4902</v>
      </c>
      <c r="C254" s="1666">
        <v>0</v>
      </c>
      <c r="D254" s="1667">
        <v>0</v>
      </c>
      <c r="E254" s="1575"/>
      <c r="F254" s="1667">
        <v>0</v>
      </c>
      <c r="G254" s="1667">
        <v>0</v>
      </c>
      <c r="H254" s="1575"/>
      <c r="I254" s="1574"/>
      <c r="J254" s="1575"/>
      <c r="K254" s="1575"/>
    </row>
    <row r="255" spans="1:11" ht="12.75" customHeight="1" thickTop="1" thickBot="1" x14ac:dyDescent="0.25">
      <c r="A255" s="427" t="s">
        <v>1441</v>
      </c>
      <c r="B255" s="429">
        <v>4905</v>
      </c>
      <c r="C255" s="1648">
        <v>0</v>
      </c>
      <c r="D255" s="1574"/>
      <c r="E255" s="1574"/>
      <c r="F255" s="1652">
        <v>0</v>
      </c>
      <c r="G255" s="1648">
        <v>0</v>
      </c>
      <c r="H255" s="1574"/>
      <c r="I255" s="1574"/>
      <c r="J255" s="1574"/>
      <c r="K255" s="1574"/>
    </row>
    <row r="256" spans="1:11" ht="12.75" customHeight="1" thickTop="1" thickBot="1" x14ac:dyDescent="0.25">
      <c r="A256" s="427" t="s">
        <v>1442</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417</v>
      </c>
      <c r="B258" s="429">
        <v>4930</v>
      </c>
      <c r="C258" s="1650">
        <v>0</v>
      </c>
      <c r="D258" s="1650">
        <v>0</v>
      </c>
      <c r="E258" s="1574"/>
      <c r="F258" s="1650">
        <v>0</v>
      </c>
      <c r="G258" s="1650">
        <v>0</v>
      </c>
      <c r="H258" s="1574"/>
      <c r="I258" s="1574"/>
      <c r="J258" s="1574"/>
      <c r="K258" s="1574"/>
    </row>
    <row r="259" spans="1:11" ht="12.75" customHeight="1" thickTop="1" thickBot="1" x14ac:dyDescent="0.25">
      <c r="A259" s="427" t="s">
        <v>752</v>
      </c>
      <c r="B259" s="429">
        <v>4932</v>
      </c>
      <c r="C259" s="1650">
        <v>4411</v>
      </c>
      <c r="D259" s="1650">
        <v>0</v>
      </c>
      <c r="E259" s="1574"/>
      <c r="F259" s="1650">
        <v>0</v>
      </c>
      <c r="G259" s="1650">
        <v>0</v>
      </c>
      <c r="H259" s="1574"/>
      <c r="I259" s="1574"/>
      <c r="J259" s="1574"/>
      <c r="K259" s="1574"/>
    </row>
    <row r="260" spans="1:11" ht="12.75" customHeight="1" thickTop="1" thickBot="1" x14ac:dyDescent="0.25">
      <c r="A260" s="427" t="s">
        <v>883</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563</v>
      </c>
      <c r="B263" s="429">
        <v>4991</v>
      </c>
      <c r="C263" s="1649">
        <v>4924</v>
      </c>
      <c r="D263" s="1650">
        <v>0</v>
      </c>
      <c r="E263" s="1574"/>
      <c r="F263" s="1650">
        <v>0</v>
      </c>
      <c r="G263" s="1650">
        <v>0</v>
      </c>
      <c r="H263" s="1574"/>
      <c r="I263" s="1574"/>
      <c r="J263" s="1574"/>
      <c r="K263" s="1574"/>
    </row>
    <row r="264" spans="1:11" ht="12.75" customHeight="1" thickTop="1" thickBot="1" x14ac:dyDescent="0.25">
      <c r="A264" s="427" t="s">
        <v>373</v>
      </c>
      <c r="B264" s="429">
        <v>4992</v>
      </c>
      <c r="C264" s="1649">
        <v>40730</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c r="D265" s="1650">
        <v>0</v>
      </c>
      <c r="E265" s="1574"/>
      <c r="F265" s="1650">
        <v>0</v>
      </c>
      <c r="G265" s="1650">
        <v>0</v>
      </c>
      <c r="H265" s="1625">
        <v>0</v>
      </c>
      <c r="I265" s="1574"/>
      <c r="J265" s="1574"/>
      <c r="K265" s="1625">
        <v>0</v>
      </c>
    </row>
    <row r="266" spans="1:11" ht="14.25" thickTop="1" thickBot="1" x14ac:dyDescent="0.25">
      <c r="A266" s="1405" t="s">
        <v>1649</v>
      </c>
      <c r="B266" s="1418"/>
      <c r="C266" s="1640">
        <f t="shared" ref="C266:H266" si="10">SUM(C188,C198,C204,C209,C217,C221,C222,C252:C265)</f>
        <v>191382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1078</v>
      </c>
      <c r="B267" s="1420" t="s">
        <v>854</v>
      </c>
      <c r="C267" s="1640">
        <f>SUM(C175,C181,C266)</f>
        <v>191382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2301245</v>
      </c>
      <c r="D268" s="1640">
        <f t="shared" si="12"/>
        <v>233743</v>
      </c>
      <c r="E268" s="1640">
        <f t="shared" si="12"/>
        <v>225504</v>
      </c>
      <c r="F268" s="1640">
        <f t="shared" si="12"/>
        <v>292182</v>
      </c>
      <c r="G268" s="1640">
        <f t="shared" si="12"/>
        <v>118304</v>
      </c>
      <c r="H268" s="1640">
        <f t="shared" si="12"/>
        <v>125865</v>
      </c>
      <c r="I268" s="1640">
        <f t="shared" si="12"/>
        <v>23894</v>
      </c>
      <c r="J268" s="1640">
        <f t="shared" si="12"/>
        <v>151429</v>
      </c>
      <c r="K268" s="1628">
        <f t="shared" si="12"/>
        <v>21649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
FOR THE YEAR ENDING JUNE 30, 2020</oddHeader>
    <oddFooter>&amp;C&amp;P
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2" activePane="bottomLeft" state="frozen"/>
      <selection pane="bottomLeft" activeCell="C373" sqref="C37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8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90" t="s">
        <v>293</v>
      </c>
      <c r="B3" s="2291"/>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f>451568+362054-4-900</f>
        <v>812718</v>
      </c>
      <c r="D5" s="1572">
        <f>16572+79001</f>
        <v>95573</v>
      </c>
      <c r="E5" s="1572">
        <v>10889</v>
      </c>
      <c r="F5" s="1572">
        <v>74121</v>
      </c>
      <c r="G5" s="1572">
        <v>0</v>
      </c>
      <c r="H5" s="1572">
        <v>1167</v>
      </c>
      <c r="I5" s="1573">
        <v>0</v>
      </c>
      <c r="J5" s="1573">
        <v>0</v>
      </c>
      <c r="K5" s="1671">
        <f>SUM(C5:J5)</f>
        <v>994468</v>
      </c>
      <c r="L5" s="1572">
        <v>987421</v>
      </c>
    </row>
    <row r="6" spans="1:14" x14ac:dyDescent="0.2">
      <c r="A6" s="1273" t="s">
        <v>1418</v>
      </c>
      <c r="B6" s="503" t="s">
        <v>1416</v>
      </c>
      <c r="C6" s="1581"/>
      <c r="D6" s="1581"/>
      <c r="E6" s="1572">
        <v>0</v>
      </c>
      <c r="F6" s="1581"/>
      <c r="G6" s="1581"/>
      <c r="H6" s="1581"/>
      <c r="I6" s="1581"/>
      <c r="J6" s="1581"/>
      <c r="K6" s="1671">
        <f>SUM(C6,E6)</f>
        <v>0</v>
      </c>
      <c r="L6" s="1572">
        <v>0</v>
      </c>
    </row>
    <row r="7" spans="1:14" x14ac:dyDescent="0.2">
      <c r="A7" s="1273" t="s">
        <v>162</v>
      </c>
      <c r="B7" s="503" t="s">
        <v>960</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205073</v>
      </c>
      <c r="D8" s="1572">
        <f>985+2055+14120</f>
        <v>17160</v>
      </c>
      <c r="E8" s="1572">
        <v>0</v>
      </c>
      <c r="F8" s="1572">
        <v>216</v>
      </c>
      <c r="G8" s="1572">
        <v>0</v>
      </c>
      <c r="H8" s="1572">
        <v>0</v>
      </c>
      <c r="I8" s="1573">
        <v>0</v>
      </c>
      <c r="J8" s="1573">
        <v>0</v>
      </c>
      <c r="K8" s="1671">
        <f t="shared" si="0"/>
        <v>222449</v>
      </c>
      <c r="L8" s="1572">
        <v>244168</v>
      </c>
    </row>
    <row r="9" spans="1:14" x14ac:dyDescent="0.2">
      <c r="A9" s="1273" t="s">
        <v>715</v>
      </c>
      <c r="B9" s="503" t="s">
        <v>961</v>
      </c>
      <c r="C9" s="1573">
        <v>0</v>
      </c>
      <c r="D9" s="1573">
        <v>0</v>
      </c>
      <c r="E9" s="1573">
        <v>0</v>
      </c>
      <c r="F9" s="1573">
        <v>0</v>
      </c>
      <c r="G9" s="1573">
        <v>0</v>
      </c>
      <c r="H9" s="1573">
        <v>0</v>
      </c>
      <c r="I9" s="1573">
        <v>0</v>
      </c>
      <c r="J9" s="1573">
        <v>0</v>
      </c>
      <c r="K9" s="1671">
        <f t="shared" si="0"/>
        <v>0</v>
      </c>
      <c r="L9" s="1572">
        <v>0</v>
      </c>
    </row>
    <row r="10" spans="1:14" x14ac:dyDescent="0.2">
      <c r="A10" s="1273" t="s">
        <v>716</v>
      </c>
      <c r="B10" s="503">
        <v>1250</v>
      </c>
      <c r="C10" s="1572">
        <v>47113</v>
      </c>
      <c r="D10" s="1572">
        <f>1002+8715</f>
        <v>9717</v>
      </c>
      <c r="E10" s="1572">
        <v>0</v>
      </c>
      <c r="F10" s="1572">
        <v>577</v>
      </c>
      <c r="G10" s="1572">
        <v>0</v>
      </c>
      <c r="H10" s="1572">
        <v>0</v>
      </c>
      <c r="I10" s="1573">
        <v>0</v>
      </c>
      <c r="J10" s="1573">
        <v>0</v>
      </c>
      <c r="K10" s="1671">
        <f t="shared" si="0"/>
        <v>57407</v>
      </c>
      <c r="L10" s="1572">
        <v>55462</v>
      </c>
    </row>
    <row r="11" spans="1:14" x14ac:dyDescent="0.2">
      <c r="A11" s="1273" t="s">
        <v>1121</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955</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717</v>
      </c>
      <c r="B13" s="503">
        <v>1400</v>
      </c>
      <c r="C13" s="1572">
        <v>129702</v>
      </c>
      <c r="D13" s="1572">
        <f>2709+12480</f>
        <v>15189</v>
      </c>
      <c r="E13" s="1572">
        <v>0</v>
      </c>
      <c r="F13" s="1572">
        <v>981</v>
      </c>
      <c r="G13" s="1572">
        <v>0</v>
      </c>
      <c r="H13" s="1572">
        <v>5691</v>
      </c>
      <c r="I13" s="1573">
        <v>0</v>
      </c>
      <c r="J13" s="1573">
        <v>0</v>
      </c>
      <c r="K13" s="1671">
        <f t="shared" si="0"/>
        <v>151563</v>
      </c>
      <c r="L13" s="1572">
        <v>149296</v>
      </c>
    </row>
    <row r="14" spans="1:14" x14ac:dyDescent="0.2">
      <c r="A14" s="1273" t="s">
        <v>956</v>
      </c>
      <c r="B14" s="503">
        <v>1500</v>
      </c>
      <c r="C14" s="1572">
        <v>50457</v>
      </c>
      <c r="D14" s="1572">
        <f>565+2598</f>
        <v>3163</v>
      </c>
      <c r="E14" s="1572">
        <v>16186</v>
      </c>
      <c r="F14" s="1572">
        <v>6475</v>
      </c>
      <c r="G14" s="1572">
        <v>0</v>
      </c>
      <c r="H14" s="1572">
        <v>2151</v>
      </c>
      <c r="I14" s="1573">
        <v>0</v>
      </c>
      <c r="J14" s="1573">
        <v>0</v>
      </c>
      <c r="K14" s="1671">
        <f t="shared" si="0"/>
        <v>78432</v>
      </c>
      <c r="L14" s="1572">
        <v>79091</v>
      </c>
    </row>
    <row r="15" spans="1:14" x14ac:dyDescent="0.2">
      <c r="A15" s="1273" t="s">
        <v>957</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979</v>
      </c>
      <c r="B16" s="503" t="s">
        <v>420</v>
      </c>
      <c r="C16" s="1572">
        <v>0</v>
      </c>
      <c r="D16" s="1572">
        <v>0</v>
      </c>
      <c r="E16" s="1572">
        <v>0</v>
      </c>
      <c r="F16" s="1572">
        <v>0</v>
      </c>
      <c r="G16" s="1572">
        <v>0</v>
      </c>
      <c r="H16" s="1572">
        <v>0</v>
      </c>
      <c r="I16" s="1573">
        <v>0</v>
      </c>
      <c r="J16" s="1573">
        <v>0</v>
      </c>
      <c r="K16" s="1671">
        <f t="shared" si="0"/>
        <v>0</v>
      </c>
      <c r="L16" s="1572">
        <v>0</v>
      </c>
    </row>
    <row r="17" spans="1:12" x14ac:dyDescent="0.2">
      <c r="A17" s="1273" t="s">
        <v>718</v>
      </c>
      <c r="B17" s="503" t="s">
        <v>161</v>
      </c>
      <c r="C17" s="1573">
        <v>12692</v>
      </c>
      <c r="D17" s="1573">
        <f>267+1228</f>
        <v>1495</v>
      </c>
      <c r="E17" s="1573">
        <v>3022</v>
      </c>
      <c r="F17" s="1573">
        <v>0</v>
      </c>
      <c r="G17" s="1573">
        <v>0</v>
      </c>
      <c r="H17" s="1573">
        <v>0</v>
      </c>
      <c r="I17" s="1573">
        <v>0</v>
      </c>
      <c r="J17" s="1573">
        <v>0</v>
      </c>
      <c r="K17" s="1671">
        <f t="shared" si="0"/>
        <v>17209</v>
      </c>
      <c r="L17" s="1572">
        <v>18290</v>
      </c>
    </row>
    <row r="18" spans="1:12" x14ac:dyDescent="0.2">
      <c r="A18" s="1273" t="s">
        <v>1079</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732</v>
      </c>
      <c r="B20" s="494" t="s">
        <v>719</v>
      </c>
      <c r="C20" s="1581"/>
      <c r="D20" s="1581"/>
      <c r="E20" s="1581"/>
      <c r="F20" s="1581"/>
      <c r="G20" s="1581"/>
      <c r="H20" s="1578">
        <v>0</v>
      </c>
      <c r="I20" s="1672"/>
      <c r="J20" s="1579"/>
      <c r="K20" s="1671">
        <f t="shared" si="0"/>
        <v>0</v>
      </c>
      <c r="L20" s="1576">
        <v>0</v>
      </c>
    </row>
    <row r="21" spans="1:12" x14ac:dyDescent="0.2">
      <c r="A21" s="1274" t="s">
        <v>733</v>
      </c>
      <c r="B21" s="494" t="s">
        <v>720</v>
      </c>
      <c r="C21" s="1581"/>
      <c r="D21" s="1581"/>
      <c r="E21" s="1581"/>
      <c r="F21" s="1581"/>
      <c r="G21" s="1581"/>
      <c r="H21" s="1578">
        <v>0</v>
      </c>
      <c r="I21" s="1672"/>
      <c r="J21" s="1581"/>
      <c r="K21" s="1671">
        <f t="shared" si="0"/>
        <v>0</v>
      </c>
      <c r="L21" s="1576">
        <v>0</v>
      </c>
    </row>
    <row r="22" spans="1:12" x14ac:dyDescent="0.2">
      <c r="A22" s="1274" t="s">
        <v>734</v>
      </c>
      <c r="B22" s="494" t="s">
        <v>721</v>
      </c>
      <c r="C22" s="1581"/>
      <c r="D22" s="1581"/>
      <c r="E22" s="1581"/>
      <c r="F22" s="1581"/>
      <c r="G22" s="1581"/>
      <c r="H22" s="1578">
        <v>0</v>
      </c>
      <c r="I22" s="1672"/>
      <c r="J22" s="1581"/>
      <c r="K22" s="1671">
        <f t="shared" si="0"/>
        <v>0</v>
      </c>
      <c r="L22" s="1576">
        <v>1000</v>
      </c>
    </row>
    <row r="23" spans="1:12" x14ac:dyDescent="0.2">
      <c r="A23" s="1274" t="s">
        <v>735</v>
      </c>
      <c r="B23" s="494" t="s">
        <v>722</v>
      </c>
      <c r="C23" s="1581"/>
      <c r="D23" s="1581"/>
      <c r="E23" s="1581"/>
      <c r="F23" s="1581"/>
      <c r="G23" s="1581"/>
      <c r="H23" s="1578">
        <v>0</v>
      </c>
      <c r="I23" s="1672"/>
      <c r="J23" s="1581"/>
      <c r="K23" s="1671">
        <f t="shared" si="0"/>
        <v>0</v>
      </c>
      <c r="L23" s="1576">
        <v>0</v>
      </c>
    </row>
    <row r="24" spans="1:12" ht="12.75" customHeight="1" x14ac:dyDescent="0.2">
      <c r="A24" s="1274" t="s">
        <v>736</v>
      </c>
      <c r="B24" s="494" t="s">
        <v>723</v>
      </c>
      <c r="C24" s="1581"/>
      <c r="D24" s="1581"/>
      <c r="E24" s="1581"/>
      <c r="F24" s="1581"/>
      <c r="G24" s="1581"/>
      <c r="H24" s="1578">
        <v>0</v>
      </c>
      <c r="I24" s="1672"/>
      <c r="J24" s="1581"/>
      <c r="K24" s="1671">
        <f t="shared" si="0"/>
        <v>0</v>
      </c>
      <c r="L24" s="1576">
        <v>0</v>
      </c>
    </row>
    <row r="25" spans="1:12" ht="12.75" customHeight="1" x14ac:dyDescent="0.2">
      <c r="A25" s="1274" t="s">
        <v>796</v>
      </c>
      <c r="B25" s="494" t="s">
        <v>724</v>
      </c>
      <c r="C25" s="1581"/>
      <c r="D25" s="1581"/>
      <c r="E25" s="1581"/>
      <c r="F25" s="1581"/>
      <c r="G25" s="1581"/>
      <c r="H25" s="1578">
        <v>0</v>
      </c>
      <c r="I25" s="1672"/>
      <c r="J25" s="1581"/>
      <c r="K25" s="1671">
        <f t="shared" si="0"/>
        <v>0</v>
      </c>
      <c r="L25" s="1576">
        <v>0</v>
      </c>
    </row>
    <row r="26" spans="1:12" x14ac:dyDescent="0.2">
      <c r="A26" s="1274" t="s">
        <v>617</v>
      </c>
      <c r="B26" s="494" t="s">
        <v>725</v>
      </c>
      <c r="C26" s="1581"/>
      <c r="D26" s="1581"/>
      <c r="E26" s="1581"/>
      <c r="F26" s="1581"/>
      <c r="G26" s="1581"/>
      <c r="H26" s="1578">
        <v>0</v>
      </c>
      <c r="I26" s="1672"/>
      <c r="J26" s="1581"/>
      <c r="K26" s="1671">
        <f t="shared" si="0"/>
        <v>0</v>
      </c>
      <c r="L26" s="1576">
        <v>0</v>
      </c>
    </row>
    <row r="27" spans="1:12" x14ac:dyDescent="0.2">
      <c r="A27" s="1274" t="s">
        <v>618</v>
      </c>
      <c r="B27" s="494" t="s">
        <v>726</v>
      </c>
      <c r="C27" s="1581"/>
      <c r="D27" s="1581"/>
      <c r="E27" s="1581"/>
      <c r="F27" s="1581"/>
      <c r="G27" s="1581"/>
      <c r="H27" s="1578">
        <v>0</v>
      </c>
      <c r="I27" s="1672"/>
      <c r="J27" s="1581"/>
      <c r="K27" s="1671">
        <f t="shared" si="0"/>
        <v>0</v>
      </c>
      <c r="L27" s="1576">
        <v>0</v>
      </c>
    </row>
    <row r="28" spans="1:12" x14ac:dyDescent="0.2">
      <c r="A28" s="1274" t="s">
        <v>149</v>
      </c>
      <c r="B28" s="494" t="s">
        <v>727</v>
      </c>
      <c r="C28" s="1581"/>
      <c r="D28" s="1581"/>
      <c r="E28" s="1581"/>
      <c r="F28" s="1581"/>
      <c r="G28" s="1581"/>
      <c r="H28" s="1578">
        <v>0</v>
      </c>
      <c r="I28" s="1672"/>
      <c r="J28" s="1581"/>
      <c r="K28" s="1671">
        <f t="shared" si="0"/>
        <v>0</v>
      </c>
      <c r="L28" s="1576">
        <v>0</v>
      </c>
    </row>
    <row r="29" spans="1:12" x14ac:dyDescent="0.2">
      <c r="A29" s="1274" t="s">
        <v>150</v>
      </c>
      <c r="B29" s="494" t="s">
        <v>728</v>
      </c>
      <c r="C29" s="1581"/>
      <c r="D29" s="1581"/>
      <c r="E29" s="1581"/>
      <c r="F29" s="1581"/>
      <c r="G29" s="1581"/>
      <c r="H29" s="1578">
        <v>0</v>
      </c>
      <c r="I29" s="1672"/>
      <c r="J29" s="1581"/>
      <c r="K29" s="1671">
        <f t="shared" si="0"/>
        <v>0</v>
      </c>
      <c r="L29" s="1576">
        <v>0</v>
      </c>
    </row>
    <row r="30" spans="1:12" x14ac:dyDescent="0.2">
      <c r="A30" s="1274" t="s">
        <v>151</v>
      </c>
      <c r="B30" s="494" t="s">
        <v>729</v>
      </c>
      <c r="C30" s="1581"/>
      <c r="D30" s="1581"/>
      <c r="E30" s="1581"/>
      <c r="F30" s="1581"/>
      <c r="G30" s="1581"/>
      <c r="H30" s="1578">
        <v>0</v>
      </c>
      <c r="I30" s="1672"/>
      <c r="J30" s="1581"/>
      <c r="K30" s="1671">
        <f t="shared" si="0"/>
        <v>0</v>
      </c>
      <c r="L30" s="1576">
        <v>0</v>
      </c>
    </row>
    <row r="31" spans="1:12" x14ac:dyDescent="0.2">
      <c r="A31" s="1274" t="s">
        <v>152</v>
      </c>
      <c r="B31" s="494" t="s">
        <v>730</v>
      </c>
      <c r="C31" s="1581"/>
      <c r="D31" s="1581"/>
      <c r="E31" s="1581"/>
      <c r="F31" s="1581"/>
      <c r="G31" s="1581"/>
      <c r="H31" s="1578">
        <v>0</v>
      </c>
      <c r="I31" s="1672"/>
      <c r="J31" s="1581"/>
      <c r="K31" s="1671">
        <f t="shared" si="0"/>
        <v>0</v>
      </c>
      <c r="L31" s="1576">
        <v>0</v>
      </c>
    </row>
    <row r="32" spans="1:12" x14ac:dyDescent="0.2">
      <c r="A32" s="1275" t="s">
        <v>1120</v>
      </c>
      <c r="B32" s="503" t="s">
        <v>731</v>
      </c>
      <c r="C32" s="1581"/>
      <c r="D32" s="1581"/>
      <c r="E32" s="1581"/>
      <c r="F32" s="1581"/>
      <c r="G32" s="1581"/>
      <c r="H32" s="1578">
        <v>0</v>
      </c>
      <c r="I32" s="1672"/>
      <c r="J32" s="1584"/>
      <c r="K32" s="1671">
        <f t="shared" si="0"/>
        <v>0</v>
      </c>
      <c r="L32" s="1576">
        <v>0</v>
      </c>
    </row>
    <row r="33" spans="1:14" ht="12.75" customHeight="1" thickBot="1" x14ac:dyDescent="0.25">
      <c r="A33" s="1379" t="s">
        <v>1651</v>
      </c>
      <c r="B33" s="1380" t="s">
        <v>565</v>
      </c>
      <c r="C33" s="1673">
        <f>SUM(C5:C32)</f>
        <v>1257755</v>
      </c>
      <c r="D33" s="1673">
        <f t="shared" ref="D33:L33" si="1">SUM(D5:D32)</f>
        <v>142297</v>
      </c>
      <c r="E33" s="1673">
        <f t="shared" si="1"/>
        <v>30097</v>
      </c>
      <c r="F33" s="1673">
        <f t="shared" si="1"/>
        <v>82370</v>
      </c>
      <c r="G33" s="1673">
        <f t="shared" si="1"/>
        <v>0</v>
      </c>
      <c r="H33" s="1673">
        <f t="shared" si="1"/>
        <v>9009</v>
      </c>
      <c r="I33" s="1673">
        <f t="shared" si="1"/>
        <v>0</v>
      </c>
      <c r="J33" s="1673">
        <f t="shared" si="1"/>
        <v>0</v>
      </c>
      <c r="K33" s="1673">
        <f t="shared" si="1"/>
        <v>1521528</v>
      </c>
      <c r="L33" s="1673">
        <f t="shared" si="1"/>
        <v>1534728</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1081</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1082</v>
      </c>
      <c r="B37" s="503">
        <v>2120</v>
      </c>
      <c r="C37" s="1572">
        <v>54503</v>
      </c>
      <c r="D37" s="1572">
        <f>1208+5557</f>
        <v>6765</v>
      </c>
      <c r="E37" s="1572">
        <v>175</v>
      </c>
      <c r="F37" s="1572">
        <v>82</v>
      </c>
      <c r="G37" s="1572">
        <v>0</v>
      </c>
      <c r="H37" s="1572">
        <v>0</v>
      </c>
      <c r="I37" s="1573">
        <v>0</v>
      </c>
      <c r="J37" s="1573">
        <v>0</v>
      </c>
      <c r="K37" s="1671">
        <f t="shared" si="2"/>
        <v>61525</v>
      </c>
      <c r="L37" s="1572">
        <v>63400</v>
      </c>
    </row>
    <row r="38" spans="1:14" x14ac:dyDescent="0.2">
      <c r="A38" s="1273" t="s">
        <v>196</v>
      </c>
      <c r="B38" s="503">
        <v>2130</v>
      </c>
      <c r="C38" s="1572">
        <v>14478</v>
      </c>
      <c r="D38" s="1572">
        <v>0</v>
      </c>
      <c r="E38" s="1572">
        <f>58+35</f>
        <v>93</v>
      </c>
      <c r="F38" s="1572">
        <v>1341</v>
      </c>
      <c r="G38" s="1572">
        <v>0</v>
      </c>
      <c r="H38" s="1572">
        <v>140</v>
      </c>
      <c r="I38" s="1573">
        <v>0</v>
      </c>
      <c r="J38" s="1573">
        <v>0</v>
      </c>
      <c r="K38" s="1671">
        <f t="shared" si="2"/>
        <v>16052</v>
      </c>
      <c r="L38" s="1572">
        <v>29150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1652</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555</v>
      </c>
      <c r="B42" s="1380" t="s">
        <v>710</v>
      </c>
      <c r="C42" s="1673">
        <f>SUM(C36:C41)</f>
        <v>68981</v>
      </c>
      <c r="D42" s="1673">
        <f t="shared" ref="D42:L42" si="3">SUM(D36:D41)</f>
        <v>6765</v>
      </c>
      <c r="E42" s="1673">
        <f t="shared" si="3"/>
        <v>268</v>
      </c>
      <c r="F42" s="1673">
        <f t="shared" si="3"/>
        <v>1423</v>
      </c>
      <c r="G42" s="1673">
        <f t="shared" si="3"/>
        <v>0</v>
      </c>
      <c r="H42" s="1673">
        <f t="shared" si="3"/>
        <v>140</v>
      </c>
      <c r="I42" s="1673">
        <f t="shared" si="3"/>
        <v>0</v>
      </c>
      <c r="J42" s="1673">
        <f t="shared" si="3"/>
        <v>0</v>
      </c>
      <c r="K42" s="1673">
        <f t="shared" si="3"/>
        <v>77577</v>
      </c>
      <c r="L42" s="1673">
        <f t="shared" si="3"/>
        <v>92550</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0</v>
      </c>
      <c r="D44" s="1585">
        <v>0</v>
      </c>
      <c r="E44" s="1585">
        <f>22860+3668</f>
        <v>26528</v>
      </c>
      <c r="F44" s="1585">
        <v>0</v>
      </c>
      <c r="G44" s="1585">
        <v>0</v>
      </c>
      <c r="H44" s="1585">
        <v>0</v>
      </c>
      <c r="I44" s="1573">
        <v>0</v>
      </c>
      <c r="J44" s="1573">
        <v>0</v>
      </c>
      <c r="K44" s="1677">
        <f>SUM(C44:J44)</f>
        <v>26528</v>
      </c>
      <c r="L44" s="1585">
        <v>7108</v>
      </c>
    </row>
    <row r="45" spans="1:14" x14ac:dyDescent="0.2">
      <c r="A45" s="1273" t="s">
        <v>809</v>
      </c>
      <c r="B45" s="503">
        <v>2220</v>
      </c>
      <c r="C45" s="1572">
        <v>27784</v>
      </c>
      <c r="D45" s="1572">
        <v>0</v>
      </c>
      <c r="E45" s="1572">
        <v>0</v>
      </c>
      <c r="F45" s="1572">
        <v>650</v>
      </c>
      <c r="G45" s="1572">
        <v>0</v>
      </c>
      <c r="H45" s="1572">
        <v>0</v>
      </c>
      <c r="I45" s="1573">
        <v>0</v>
      </c>
      <c r="J45" s="1573">
        <v>0</v>
      </c>
      <c r="K45" s="1677">
        <f>SUM(C45:J45)</f>
        <v>28434</v>
      </c>
      <c r="L45" s="1572">
        <v>28400</v>
      </c>
    </row>
    <row r="46" spans="1:14" x14ac:dyDescent="0.2">
      <c r="A46" s="1273" t="s">
        <v>810</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556</v>
      </c>
      <c r="B47" s="1380" t="s">
        <v>32</v>
      </c>
      <c r="C47" s="1673">
        <f>SUM(C44:C46)</f>
        <v>27784</v>
      </c>
      <c r="D47" s="1673">
        <f t="shared" ref="D47:K47" si="4">SUM(D44:D46)</f>
        <v>0</v>
      </c>
      <c r="E47" s="1673">
        <f t="shared" si="4"/>
        <v>26528</v>
      </c>
      <c r="F47" s="1673">
        <f t="shared" si="4"/>
        <v>650</v>
      </c>
      <c r="G47" s="1673">
        <f t="shared" si="4"/>
        <v>0</v>
      </c>
      <c r="H47" s="1673">
        <f t="shared" si="4"/>
        <v>0</v>
      </c>
      <c r="I47" s="1673">
        <f t="shared" si="4"/>
        <v>0</v>
      </c>
      <c r="J47" s="1673">
        <f t="shared" si="4"/>
        <v>0</v>
      </c>
      <c r="K47" s="1673">
        <f t="shared" si="4"/>
        <v>54962</v>
      </c>
      <c r="L47" s="1673">
        <f>SUM(L44:L46)</f>
        <v>35508</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v>1130</v>
      </c>
      <c r="D49" s="1585">
        <v>0</v>
      </c>
      <c r="E49" s="1585">
        <v>7883</v>
      </c>
      <c r="F49" s="1585">
        <v>2971</v>
      </c>
      <c r="G49" s="1585">
        <v>0</v>
      </c>
      <c r="H49" s="1585">
        <v>8665</v>
      </c>
      <c r="I49" s="1573">
        <v>0</v>
      </c>
      <c r="J49" s="1573">
        <v>0</v>
      </c>
      <c r="K49" s="1677">
        <f>SUM(C49:J49)</f>
        <v>20649</v>
      </c>
      <c r="L49" s="1585">
        <v>21200</v>
      </c>
    </row>
    <row r="50" spans="1:14" x14ac:dyDescent="0.2">
      <c r="A50" s="1273" t="s">
        <v>812</v>
      </c>
      <c r="B50" s="503">
        <v>2320</v>
      </c>
      <c r="C50" s="1572">
        <v>117499</v>
      </c>
      <c r="D50" s="1572">
        <f>3020+13802</f>
        <v>16822</v>
      </c>
      <c r="E50" s="1572">
        <v>1167</v>
      </c>
      <c r="F50" s="1572">
        <v>648</v>
      </c>
      <c r="G50" s="1572">
        <v>0</v>
      </c>
      <c r="H50" s="1572">
        <v>355</v>
      </c>
      <c r="I50" s="1573">
        <v>0</v>
      </c>
      <c r="J50" s="1573">
        <v>0</v>
      </c>
      <c r="K50" s="1677">
        <f>SUM(C50:J50)</f>
        <v>136491</v>
      </c>
      <c r="L50" s="1572">
        <v>145899</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711</v>
      </c>
      <c r="B53" s="1380" t="s">
        <v>33</v>
      </c>
      <c r="C53" s="1673">
        <f>SUM(C49:C52)</f>
        <v>118629</v>
      </c>
      <c r="D53" s="1673">
        <f t="shared" ref="D53:L53" si="5">SUM(D49:D52)</f>
        <v>16822</v>
      </c>
      <c r="E53" s="1673">
        <f t="shared" si="5"/>
        <v>9050</v>
      </c>
      <c r="F53" s="1673">
        <f t="shared" si="5"/>
        <v>3619</v>
      </c>
      <c r="G53" s="1673">
        <f t="shared" si="5"/>
        <v>0</v>
      </c>
      <c r="H53" s="1673">
        <f t="shared" si="5"/>
        <v>9020</v>
      </c>
      <c r="I53" s="1673">
        <f t="shared" si="5"/>
        <v>0</v>
      </c>
      <c r="J53" s="1673">
        <f t="shared" si="5"/>
        <v>0</v>
      </c>
      <c r="K53" s="1673">
        <f t="shared" si="5"/>
        <v>157140</v>
      </c>
      <c r="L53" s="1673">
        <f t="shared" si="5"/>
        <v>167099</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1059</v>
      </c>
      <c r="B55" s="503">
        <v>2410</v>
      </c>
      <c r="C55" s="1585">
        <v>127253</v>
      </c>
      <c r="D55" s="1585">
        <f>2203+10139</f>
        <v>12342</v>
      </c>
      <c r="E55" s="1585">
        <v>638</v>
      </c>
      <c r="F55" s="1585">
        <v>1432</v>
      </c>
      <c r="G55" s="1585">
        <v>0</v>
      </c>
      <c r="H55" s="1585">
        <v>459</v>
      </c>
      <c r="I55" s="1573">
        <v>0</v>
      </c>
      <c r="J55" s="1573">
        <v>0</v>
      </c>
      <c r="K55" s="1677">
        <f>SUM(C55:J55)</f>
        <v>142124</v>
      </c>
      <c r="L55" s="1585">
        <v>149893</v>
      </c>
    </row>
    <row r="56" spans="1:14" ht="12.75" customHeight="1" x14ac:dyDescent="0.2">
      <c r="A56" s="1277" t="s">
        <v>372</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260</v>
      </c>
      <c r="B57" s="1381" t="s">
        <v>34</v>
      </c>
      <c r="C57" s="1678">
        <f>SUM(C55:C56)</f>
        <v>127253</v>
      </c>
      <c r="D57" s="1678">
        <f t="shared" ref="D57:K57" si="6">SUM(D55:D56)</f>
        <v>12342</v>
      </c>
      <c r="E57" s="1678">
        <f t="shared" si="6"/>
        <v>638</v>
      </c>
      <c r="F57" s="1678">
        <f t="shared" si="6"/>
        <v>1432</v>
      </c>
      <c r="G57" s="1678">
        <f t="shared" si="6"/>
        <v>0</v>
      </c>
      <c r="H57" s="1678">
        <f t="shared" si="6"/>
        <v>459</v>
      </c>
      <c r="I57" s="1678">
        <f t="shared" si="6"/>
        <v>0</v>
      </c>
      <c r="J57" s="1678">
        <f t="shared" si="6"/>
        <v>0</v>
      </c>
      <c r="K57" s="1678">
        <f t="shared" si="6"/>
        <v>142124</v>
      </c>
      <c r="L57" s="1673">
        <f>SUM(L55:L56)</f>
        <v>149893</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1060</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459</v>
      </c>
      <c r="B60" s="503">
        <v>2520</v>
      </c>
      <c r="C60" s="1572">
        <v>49820</v>
      </c>
      <c r="D60" s="1572">
        <v>0</v>
      </c>
      <c r="E60" s="1572">
        <v>50</v>
      </c>
      <c r="F60" s="1572">
        <v>4690</v>
      </c>
      <c r="G60" s="1572">
        <v>0</v>
      </c>
      <c r="H60" s="1572">
        <v>685</v>
      </c>
      <c r="I60" s="1573">
        <v>0</v>
      </c>
      <c r="J60" s="1573">
        <v>0</v>
      </c>
      <c r="K60" s="1677">
        <f t="shared" si="7"/>
        <v>55245</v>
      </c>
      <c r="L60" s="1572">
        <v>53250</v>
      </c>
      <c r="M60" s="501"/>
      <c r="N60" s="501"/>
    </row>
    <row r="61" spans="1:14" s="321" customFormat="1" x14ac:dyDescent="0.2">
      <c r="A61" s="1273" t="s">
        <v>195</v>
      </c>
      <c r="B61" s="503">
        <v>2540</v>
      </c>
      <c r="C61" s="1572">
        <v>0</v>
      </c>
      <c r="D61" s="1572">
        <v>0</v>
      </c>
      <c r="E61" s="1572">
        <v>25679</v>
      </c>
      <c r="F61" s="1572">
        <v>0</v>
      </c>
      <c r="G61" s="1572">
        <v>0</v>
      </c>
      <c r="H61" s="1572">
        <v>0</v>
      </c>
      <c r="I61" s="1573">
        <v>0</v>
      </c>
      <c r="J61" s="1573">
        <v>0</v>
      </c>
      <c r="K61" s="1677">
        <f t="shared" si="7"/>
        <v>25679</v>
      </c>
      <c r="L61" s="1572">
        <v>28500</v>
      </c>
      <c r="M61" s="501"/>
      <c r="N61" s="501"/>
    </row>
    <row r="62" spans="1:14" s="321" customFormat="1" x14ac:dyDescent="0.2">
      <c r="A62" s="1273" t="s">
        <v>946</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84761</v>
      </c>
      <c r="D63" s="1572">
        <v>0</v>
      </c>
      <c r="E63" s="1572">
        <v>990</v>
      </c>
      <c r="F63" s="1572">
        <v>50070</v>
      </c>
      <c r="G63" s="1572">
        <v>0</v>
      </c>
      <c r="H63" s="1572">
        <v>0</v>
      </c>
      <c r="I63" s="1573">
        <v>0</v>
      </c>
      <c r="J63" s="1573">
        <v>0</v>
      </c>
      <c r="K63" s="1677">
        <f t="shared" si="7"/>
        <v>135821</v>
      </c>
      <c r="L63" s="1572">
        <v>153600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17000</v>
      </c>
    </row>
    <row r="65" spans="1:14" s="321" customFormat="1" ht="12.75" customHeight="1" thickBot="1" x14ac:dyDescent="0.25">
      <c r="A65" s="1379" t="s">
        <v>713</v>
      </c>
      <c r="B65" s="1380" t="s">
        <v>35</v>
      </c>
      <c r="C65" s="1673">
        <f>SUM(C59:C64)</f>
        <v>134581</v>
      </c>
      <c r="D65" s="1673">
        <f t="shared" ref="D65:L65" si="8">SUM(D59:D64)</f>
        <v>0</v>
      </c>
      <c r="E65" s="1673">
        <f t="shared" si="8"/>
        <v>26719</v>
      </c>
      <c r="F65" s="1673">
        <f t="shared" si="8"/>
        <v>54760</v>
      </c>
      <c r="G65" s="1673">
        <f t="shared" si="8"/>
        <v>0</v>
      </c>
      <c r="H65" s="1673">
        <f t="shared" si="8"/>
        <v>685</v>
      </c>
      <c r="I65" s="1673">
        <f t="shared" si="8"/>
        <v>0</v>
      </c>
      <c r="J65" s="1673">
        <f t="shared" si="8"/>
        <v>0</v>
      </c>
      <c r="K65" s="1673">
        <f t="shared" si="8"/>
        <v>216745</v>
      </c>
      <c r="L65" s="1673">
        <f t="shared" si="8"/>
        <v>252350</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1052</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1053</v>
      </c>
      <c r="B69" s="503">
        <v>2630</v>
      </c>
      <c r="C69" s="1572">
        <v>0</v>
      </c>
      <c r="D69" s="1572">
        <v>0</v>
      </c>
      <c r="E69" s="1572">
        <v>0</v>
      </c>
      <c r="F69" s="1572">
        <v>1429</v>
      </c>
      <c r="G69" s="1572">
        <v>0</v>
      </c>
      <c r="H69" s="1572">
        <v>0</v>
      </c>
      <c r="I69" s="1573">
        <v>0</v>
      </c>
      <c r="J69" s="1573">
        <v>0</v>
      </c>
      <c r="K69" s="1677">
        <f>SUM(C69:J69)</f>
        <v>1429</v>
      </c>
      <c r="L69" s="1572">
        <v>1000</v>
      </c>
      <c r="M69" s="501"/>
      <c r="N69" s="501"/>
    </row>
    <row r="70" spans="1:14" s="321" customFormat="1" x14ac:dyDescent="0.2">
      <c r="A70" s="1273" t="s">
        <v>399</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400</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1429</v>
      </c>
      <c r="G72" s="1673">
        <f t="shared" si="9"/>
        <v>0</v>
      </c>
      <c r="H72" s="1673">
        <f t="shared" si="9"/>
        <v>0</v>
      </c>
      <c r="I72" s="1673">
        <f t="shared" si="9"/>
        <v>0</v>
      </c>
      <c r="J72" s="1673">
        <f t="shared" si="9"/>
        <v>0</v>
      </c>
      <c r="K72" s="1673">
        <f t="shared" si="9"/>
        <v>1429</v>
      </c>
      <c r="L72" s="1673">
        <f>SUM(L67:L71)</f>
        <v>1000</v>
      </c>
      <c r="M72" s="501"/>
      <c r="N72" s="501"/>
    </row>
    <row r="73" spans="1:14" s="321" customFormat="1" ht="14.25" thickTop="1" thickBot="1" x14ac:dyDescent="0.25">
      <c r="A73" s="1279" t="s">
        <v>972</v>
      </c>
      <c r="B73" s="515" t="s">
        <v>569</v>
      </c>
      <c r="C73" s="1648">
        <v>0</v>
      </c>
      <c r="D73" s="1648">
        <v>0</v>
      </c>
      <c r="E73" s="1648">
        <v>0</v>
      </c>
      <c r="F73" s="1648">
        <v>143</v>
      </c>
      <c r="G73" s="1648">
        <v>0</v>
      </c>
      <c r="H73" s="1648">
        <v>0</v>
      </c>
      <c r="I73" s="1626">
        <v>0</v>
      </c>
      <c r="J73" s="1626">
        <v>0</v>
      </c>
      <c r="K73" s="1673">
        <f>SUM(C73:J73)</f>
        <v>143</v>
      </c>
      <c r="L73" s="1650">
        <v>150</v>
      </c>
      <c r="M73" s="501"/>
      <c r="N73" s="501"/>
    </row>
    <row r="74" spans="1:14" ht="12.75" customHeight="1" thickTop="1" thickBot="1" x14ac:dyDescent="0.25">
      <c r="A74" s="1379" t="s">
        <v>805</v>
      </c>
      <c r="B74" s="1383">
        <v>2000</v>
      </c>
      <c r="C74" s="1680">
        <f>SUM(C42,C47,C53,C57,C65,C72,C73)</f>
        <v>477228</v>
      </c>
      <c r="D74" s="1680">
        <f t="shared" ref="D74:K74" si="10">SUM(D42,D47,D53,D57,D65,D72,D73)</f>
        <v>35929</v>
      </c>
      <c r="E74" s="1680">
        <f t="shared" si="10"/>
        <v>63203</v>
      </c>
      <c r="F74" s="1680">
        <f t="shared" si="10"/>
        <v>63456</v>
      </c>
      <c r="G74" s="1680">
        <f t="shared" si="10"/>
        <v>0</v>
      </c>
      <c r="H74" s="1680">
        <f t="shared" si="10"/>
        <v>10304</v>
      </c>
      <c r="I74" s="1680">
        <f t="shared" si="10"/>
        <v>0</v>
      </c>
      <c r="J74" s="1680">
        <f t="shared" si="10"/>
        <v>0</v>
      </c>
      <c r="K74" s="1680">
        <f t="shared" si="10"/>
        <v>650120</v>
      </c>
      <c r="L74" s="1680">
        <f>SUM(L42,L47,L53,L57,L65,L72,L73)</f>
        <v>698550</v>
      </c>
    </row>
    <row r="75" spans="1:14" s="254" customFormat="1" ht="15.75" customHeight="1" thickTop="1" thickBot="1" x14ac:dyDescent="0.25">
      <c r="A75" s="1347" t="s">
        <v>47</v>
      </c>
      <c r="B75" s="1348" t="s">
        <v>570</v>
      </c>
      <c r="C75" s="1648">
        <v>0</v>
      </c>
      <c r="D75" s="1648">
        <v>0</v>
      </c>
      <c r="E75" s="1648">
        <v>772</v>
      </c>
      <c r="F75" s="1648">
        <v>4234</v>
      </c>
      <c r="G75" s="1648">
        <v>0</v>
      </c>
      <c r="H75" s="1648">
        <v>0</v>
      </c>
      <c r="I75" s="1626">
        <v>0</v>
      </c>
      <c r="J75" s="1626">
        <v>0</v>
      </c>
      <c r="K75" s="1673">
        <f>SUM(C75:J75)</f>
        <v>5006</v>
      </c>
      <c r="L75" s="1650">
        <v>6865</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v>1800</v>
      </c>
      <c r="F78" s="1672"/>
      <c r="G78" s="1672"/>
      <c r="H78" s="1681">
        <v>0</v>
      </c>
      <c r="I78" s="1581"/>
      <c r="J78" s="1581"/>
      <c r="K78" s="1671">
        <f t="shared" ref="K78:K83" si="11">SUM(C78:J78)</f>
        <v>1800</v>
      </c>
      <c r="L78" s="1585">
        <v>0</v>
      </c>
    </row>
    <row r="79" spans="1:14" x14ac:dyDescent="0.2">
      <c r="A79" s="1273" t="s">
        <v>300</v>
      </c>
      <c r="B79" s="503">
        <v>4120</v>
      </c>
      <c r="C79" s="1672"/>
      <c r="D79" s="1672"/>
      <c r="E79" s="1572">
        <v>0</v>
      </c>
      <c r="F79" s="1672"/>
      <c r="G79" s="1672"/>
      <c r="H79" s="1572">
        <v>0</v>
      </c>
      <c r="I79" s="1581"/>
      <c r="J79" s="1581"/>
      <c r="K79" s="1671">
        <f t="shared" si="11"/>
        <v>0</v>
      </c>
      <c r="L79" s="1572">
        <v>0</v>
      </c>
    </row>
    <row r="80" spans="1:14" x14ac:dyDescent="0.2">
      <c r="A80" s="1273" t="s">
        <v>301</v>
      </c>
      <c r="B80" s="503">
        <v>4130</v>
      </c>
      <c r="C80" s="1672"/>
      <c r="D80" s="1672"/>
      <c r="E80" s="1572">
        <v>0</v>
      </c>
      <c r="F80" s="1672"/>
      <c r="G80" s="1672"/>
      <c r="H80" s="1572">
        <v>0</v>
      </c>
      <c r="I80" s="1581"/>
      <c r="J80" s="1581"/>
      <c r="K80" s="1671">
        <f t="shared" si="11"/>
        <v>0</v>
      </c>
      <c r="L80" s="1572">
        <v>0</v>
      </c>
    </row>
    <row r="81" spans="1:12" x14ac:dyDescent="0.2">
      <c r="A81" s="1273" t="s">
        <v>691</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692</v>
      </c>
      <c r="B83" s="512">
        <v>4190</v>
      </c>
      <c r="C83" s="1672"/>
      <c r="D83" s="1672"/>
      <c r="E83" s="1572">
        <v>0</v>
      </c>
      <c r="F83" s="1672"/>
      <c r="G83" s="1672"/>
      <c r="H83" s="1572">
        <v>0</v>
      </c>
      <c r="I83" s="1581"/>
      <c r="J83" s="1581"/>
      <c r="K83" s="1671">
        <f t="shared" si="11"/>
        <v>0</v>
      </c>
      <c r="L83" s="1572">
        <v>0</v>
      </c>
    </row>
    <row r="84" spans="1:12" ht="13.5" thickBot="1" x14ac:dyDescent="0.25">
      <c r="A84" s="1379" t="s">
        <v>1470</v>
      </c>
      <c r="B84" s="1384">
        <v>4100</v>
      </c>
      <c r="C84" s="1672"/>
      <c r="D84" s="1672"/>
      <c r="E84" s="1673">
        <f>SUM(E78:E83)</f>
        <v>1800</v>
      </c>
      <c r="F84" s="1672"/>
      <c r="G84" s="1672"/>
      <c r="H84" s="1673">
        <f>SUM(H78:H83)</f>
        <v>0</v>
      </c>
      <c r="I84" s="1581"/>
      <c r="J84" s="1581"/>
      <c r="K84" s="1673">
        <f>SUM(K78:K83)</f>
        <v>1800</v>
      </c>
      <c r="L84" s="1673">
        <f>SUM(L78:L83)</f>
        <v>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693</v>
      </c>
      <c r="B86" s="518">
        <v>4220</v>
      </c>
      <c r="C86" s="1672"/>
      <c r="D86" s="1672"/>
      <c r="E86" s="1683"/>
      <c r="F86" s="1672"/>
      <c r="G86" s="1672"/>
      <c r="H86" s="1573">
        <v>93899</v>
      </c>
      <c r="I86" s="1581"/>
      <c r="J86" s="1581"/>
      <c r="K86" s="1680">
        <f t="shared" ref="K86:K98" si="12">H86</f>
        <v>93899</v>
      </c>
      <c r="L86" s="1625">
        <v>94240</v>
      </c>
    </row>
    <row r="87" spans="1:12" ht="14.25" thickTop="1" thickBot="1" x14ac:dyDescent="0.25">
      <c r="A87" s="1282" t="s">
        <v>694</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759</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695</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680</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681</v>
      </c>
      <c r="B91" s="519">
        <v>4290</v>
      </c>
      <c r="C91" s="1672"/>
      <c r="D91" s="1672"/>
      <c r="E91" s="1683"/>
      <c r="F91" s="1672"/>
      <c r="G91" s="1672"/>
      <c r="H91" s="1573">
        <v>0</v>
      </c>
      <c r="I91" s="1581"/>
      <c r="J91" s="1581"/>
      <c r="K91" s="1680">
        <f t="shared" si="12"/>
        <v>0</v>
      </c>
      <c r="L91" s="1625">
        <v>0</v>
      </c>
    </row>
    <row r="92" spans="1:12" ht="14.25" thickTop="1" thickBot="1" x14ac:dyDescent="0.25">
      <c r="A92" s="1385" t="s">
        <v>1545</v>
      </c>
      <c r="B92" s="1384">
        <v>4200</v>
      </c>
      <c r="C92" s="1672"/>
      <c r="D92" s="1672"/>
      <c r="E92" s="1683"/>
      <c r="F92" s="1672"/>
      <c r="G92" s="1672"/>
      <c r="H92" s="1673">
        <f>SUM(H85:H91)</f>
        <v>93899</v>
      </c>
      <c r="I92" s="1581"/>
      <c r="J92" s="1581"/>
      <c r="K92" s="1680">
        <f t="shared" si="12"/>
        <v>93899</v>
      </c>
      <c r="L92" s="1673">
        <f>SUM(L85:L91)</f>
        <v>94240</v>
      </c>
    </row>
    <row r="93" spans="1:12" ht="14.25" thickTop="1" thickBot="1" x14ac:dyDescent="0.25">
      <c r="A93" s="1281" t="s">
        <v>682</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683</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1473</v>
      </c>
      <c r="B95" s="519">
        <v>4330</v>
      </c>
      <c r="C95" s="1672"/>
      <c r="D95" s="1672"/>
      <c r="E95" s="1683"/>
      <c r="F95" s="1672"/>
      <c r="G95" s="1672"/>
      <c r="H95" s="1573">
        <v>0</v>
      </c>
      <c r="I95" s="1581"/>
      <c r="J95" s="1581"/>
      <c r="K95" s="1680">
        <f t="shared" si="12"/>
        <v>0</v>
      </c>
      <c r="L95" s="1625">
        <v>0</v>
      </c>
    </row>
    <row r="96" spans="1:12" ht="14.25" thickTop="1" thickBot="1" x14ac:dyDescent="0.25">
      <c r="A96" s="1282" t="s">
        <v>684</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757</v>
      </c>
      <c r="B97" s="519">
        <v>4370</v>
      </c>
      <c r="C97" s="1672"/>
      <c r="D97" s="1672"/>
      <c r="E97" s="1683"/>
      <c r="F97" s="1672"/>
      <c r="G97" s="1672"/>
      <c r="H97" s="1573">
        <v>0</v>
      </c>
      <c r="I97" s="1581"/>
      <c r="J97" s="1581"/>
      <c r="K97" s="1680">
        <f t="shared" si="12"/>
        <v>0</v>
      </c>
      <c r="L97" s="1625">
        <v>0</v>
      </c>
    </row>
    <row r="98" spans="1:14" ht="14.25" thickTop="1" thickBot="1" x14ac:dyDescent="0.25">
      <c r="A98" s="1282" t="s">
        <v>758</v>
      </c>
      <c r="B98" s="519">
        <v>4380</v>
      </c>
      <c r="C98" s="1672"/>
      <c r="D98" s="1672"/>
      <c r="E98" s="1685"/>
      <c r="F98" s="1672"/>
      <c r="G98" s="1672"/>
      <c r="H98" s="1573">
        <v>0</v>
      </c>
      <c r="I98" s="1581"/>
      <c r="J98" s="1581"/>
      <c r="K98" s="1680">
        <f t="shared" si="12"/>
        <v>0</v>
      </c>
      <c r="L98" s="1625">
        <v>0</v>
      </c>
    </row>
    <row r="99" spans="1:14" ht="14.25" thickTop="1" thickBot="1" x14ac:dyDescent="0.25">
      <c r="A99" s="1282" t="s">
        <v>363</v>
      </c>
      <c r="B99" s="519">
        <v>4390</v>
      </c>
      <c r="C99" s="1672"/>
      <c r="D99" s="1672"/>
      <c r="E99" s="1627">
        <v>0</v>
      </c>
      <c r="F99" s="1672"/>
      <c r="G99" s="1672"/>
      <c r="H99" s="1573">
        <v>0</v>
      </c>
      <c r="I99" s="1581"/>
      <c r="J99" s="1581"/>
      <c r="K99" s="1680">
        <f>SUM(E99,H99)</f>
        <v>0</v>
      </c>
      <c r="L99" s="1625">
        <v>0</v>
      </c>
    </row>
    <row r="100" spans="1:14" ht="14.25" thickTop="1" thickBot="1" x14ac:dyDescent="0.25">
      <c r="A100" s="1385" t="s">
        <v>1471</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1474</v>
      </c>
      <c r="B101" s="521" t="s">
        <v>924</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1472</v>
      </c>
      <c r="B102" s="1384">
        <v>4000</v>
      </c>
      <c r="C102" s="1672"/>
      <c r="D102" s="1672"/>
      <c r="E102" s="1680">
        <f>SUM(E84,E92,E100,E101)</f>
        <v>1800</v>
      </c>
      <c r="F102" s="1672"/>
      <c r="G102" s="1672"/>
      <c r="H102" s="1680">
        <f>SUM(H84,H92,H100,H101)</f>
        <v>93899</v>
      </c>
      <c r="I102" s="1581"/>
      <c r="J102" s="1581"/>
      <c r="K102" s="1680">
        <f>SUM(K84,K92,K100,K101)</f>
        <v>95699</v>
      </c>
      <c r="L102" s="1680">
        <f>SUM(L84,L92,L100,L101)</f>
        <v>94240</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1161</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584</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1094</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1734983</v>
      </c>
      <c r="D114" s="1673">
        <f t="shared" ref="D114:K114" si="13">SUM(D33,D74,D75,D102,D112,D113)</f>
        <v>178226</v>
      </c>
      <c r="E114" s="1673">
        <f t="shared" si="13"/>
        <v>95872</v>
      </c>
      <c r="F114" s="1673">
        <f t="shared" si="13"/>
        <v>150060</v>
      </c>
      <c r="G114" s="1673">
        <f t="shared" si="13"/>
        <v>0</v>
      </c>
      <c r="H114" s="1673">
        <f>SUM(H33,H74,H75,H102,H112,H113)</f>
        <v>113212</v>
      </c>
      <c r="I114" s="1673">
        <f t="shared" si="13"/>
        <v>0</v>
      </c>
      <c r="J114" s="1673">
        <f t="shared" si="13"/>
        <v>0</v>
      </c>
      <c r="K114" s="1673">
        <f t="shared" si="13"/>
        <v>2272353</v>
      </c>
      <c r="L114" s="1673">
        <f>SUM(L33,L74,L75,L102,L112,L113)</f>
        <v>2334383</v>
      </c>
    </row>
    <row r="115" spans="1:14" ht="13.5" thickTop="1" x14ac:dyDescent="0.2">
      <c r="A115" s="2282" t="s">
        <v>988</v>
      </c>
      <c r="B115" s="2283"/>
      <c r="C115" s="1674"/>
      <c r="D115" s="1674"/>
      <c r="E115" s="1674"/>
      <c r="F115" s="1674"/>
      <c r="G115" s="1674"/>
      <c r="H115" s="1674"/>
      <c r="I115" s="1674"/>
      <c r="J115" s="1674"/>
      <c r="K115" s="1688">
        <f>'Revenues 9-14'!C268-'Expenditures 15-22'!K114</f>
        <v>28892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7" t="s">
        <v>292</v>
      </c>
      <c r="B117" s="2288"/>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1965</v>
      </c>
      <c r="B120" s="512" t="s">
        <v>710</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1060</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975</v>
      </c>
    </row>
    <row r="124" spans="1:14" ht="14.25" thickTop="1" thickBot="1" x14ac:dyDescent="0.25">
      <c r="A124" s="1273" t="s">
        <v>195</v>
      </c>
      <c r="B124" s="503">
        <v>2540</v>
      </c>
      <c r="C124" s="1572">
        <v>107827</v>
      </c>
      <c r="D124" s="1572">
        <v>0</v>
      </c>
      <c r="E124" s="1572">
        <v>14743</v>
      </c>
      <c r="F124" s="1572">
        <v>56824</v>
      </c>
      <c r="G124" s="1572">
        <v>23131</v>
      </c>
      <c r="H124" s="1572">
        <v>0</v>
      </c>
      <c r="I124" s="1573">
        <v>0</v>
      </c>
      <c r="J124" s="1573">
        <v>0</v>
      </c>
      <c r="K124" s="1673">
        <f>SUM(C124:J124)</f>
        <v>202525</v>
      </c>
      <c r="L124" s="1572">
        <v>224200</v>
      </c>
    </row>
    <row r="125" spans="1:14" ht="14.25" thickTop="1" thickBot="1" x14ac:dyDescent="0.25">
      <c r="A125" s="1273" t="s">
        <v>946</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713</v>
      </c>
      <c r="B127" s="1380" t="s">
        <v>35</v>
      </c>
      <c r="C127" s="1673">
        <f>SUM(C122:C126)</f>
        <v>107827</v>
      </c>
      <c r="D127" s="1673">
        <f t="shared" ref="D127:L127" si="14">SUM(D122:D126)</f>
        <v>0</v>
      </c>
      <c r="E127" s="1673">
        <f t="shared" si="14"/>
        <v>14743</v>
      </c>
      <c r="F127" s="1673">
        <f t="shared" si="14"/>
        <v>56824</v>
      </c>
      <c r="G127" s="1673">
        <f t="shared" si="14"/>
        <v>23131</v>
      </c>
      <c r="H127" s="1673">
        <f t="shared" si="14"/>
        <v>0</v>
      </c>
      <c r="I127" s="1673">
        <f t="shared" si="14"/>
        <v>0</v>
      </c>
      <c r="J127" s="1673">
        <f t="shared" si="14"/>
        <v>0</v>
      </c>
      <c r="K127" s="1673">
        <f t="shared" si="14"/>
        <v>202525</v>
      </c>
      <c r="L127" s="1673">
        <f t="shared" si="14"/>
        <v>225175</v>
      </c>
    </row>
    <row r="128" spans="1:14" ht="12.75" customHeight="1" thickTop="1" x14ac:dyDescent="0.2">
      <c r="A128" s="1280"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805</v>
      </c>
      <c r="B129" s="1389" t="s">
        <v>564</v>
      </c>
      <c r="C129" s="1680">
        <f>SUM(C120,C127,C128)</f>
        <v>107827</v>
      </c>
      <c r="D129" s="1680">
        <f t="shared" ref="D129:L129" si="15">SUM(D120,D127,D128)</f>
        <v>0</v>
      </c>
      <c r="E129" s="1680">
        <f t="shared" si="15"/>
        <v>14743</v>
      </c>
      <c r="F129" s="1680">
        <f t="shared" si="15"/>
        <v>56824</v>
      </c>
      <c r="G129" s="1680">
        <f t="shared" si="15"/>
        <v>23131</v>
      </c>
      <c r="H129" s="1680">
        <f t="shared" si="15"/>
        <v>0</v>
      </c>
      <c r="I129" s="1680">
        <f t="shared" si="15"/>
        <v>0</v>
      </c>
      <c r="J129" s="1680">
        <f t="shared" si="15"/>
        <v>0</v>
      </c>
      <c r="K129" s="1680">
        <f t="shared" si="15"/>
        <v>202525</v>
      </c>
      <c r="L129" s="1680">
        <f t="shared" si="15"/>
        <v>225175</v>
      </c>
    </row>
    <row r="130" spans="1:14" ht="15.75" customHeight="1" thickTop="1" thickBot="1" x14ac:dyDescent="0.25">
      <c r="A130" s="1347" t="s">
        <v>1028</v>
      </c>
      <c r="B130" s="1348"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300</v>
      </c>
      <c r="B134" s="503">
        <v>4120</v>
      </c>
      <c r="C134" s="1672"/>
      <c r="D134" s="1672"/>
      <c r="E134" s="1582">
        <v>0</v>
      </c>
      <c r="F134" s="1672"/>
      <c r="G134" s="1672"/>
      <c r="H134" s="1585">
        <v>0</v>
      </c>
      <c r="I134" s="1581"/>
      <c r="J134" s="1672"/>
      <c r="K134" s="1677">
        <f>SUM(E134,H134)</f>
        <v>0</v>
      </c>
      <c r="L134" s="1585">
        <v>0</v>
      </c>
    </row>
    <row r="135" spans="1:14" x14ac:dyDescent="0.2">
      <c r="A135" s="1273" t="s">
        <v>691</v>
      </c>
      <c r="B135" s="503">
        <v>4140</v>
      </c>
      <c r="C135" s="1672"/>
      <c r="D135" s="1672"/>
      <c r="E135" s="1573">
        <v>0</v>
      </c>
      <c r="F135" s="1672"/>
      <c r="G135" s="1672"/>
      <c r="H135" s="1572">
        <v>0</v>
      </c>
      <c r="I135" s="1581"/>
      <c r="J135" s="1672"/>
      <c r="K135" s="1677">
        <f>SUM(E135,H135)</f>
        <v>0</v>
      </c>
      <c r="L135" s="1572">
        <v>0</v>
      </c>
    </row>
    <row r="136" spans="1:14" x14ac:dyDescent="0.2">
      <c r="A136" s="1277" t="s">
        <v>692</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1472</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1161</v>
      </c>
      <c r="B144" s="512" t="s">
        <v>612</v>
      </c>
      <c r="C144" s="1672"/>
      <c r="D144" s="1672"/>
      <c r="E144" s="1672"/>
      <c r="F144" s="1672"/>
      <c r="G144" s="1672"/>
      <c r="H144" s="1572">
        <v>0</v>
      </c>
      <c r="I144" s="1574"/>
      <c r="J144" s="1672"/>
      <c r="K144" s="1677">
        <f>SUM(H144)</f>
        <v>0</v>
      </c>
      <c r="L144" s="1572">
        <v>0</v>
      </c>
    </row>
    <row r="145" spans="1:14" x14ac:dyDescent="0.2">
      <c r="A145" s="1273" t="s">
        <v>89</v>
      </c>
      <c r="B145" s="503" t="s">
        <v>584</v>
      </c>
      <c r="C145" s="1672"/>
      <c r="D145" s="1672"/>
      <c r="E145" s="1672"/>
      <c r="F145" s="1672"/>
      <c r="G145" s="1672"/>
      <c r="H145" s="1572">
        <v>0</v>
      </c>
      <c r="I145" s="1574"/>
      <c r="J145" s="1672"/>
      <c r="K145" s="1677">
        <f>SUM(H145)</f>
        <v>0</v>
      </c>
      <c r="L145" s="1572">
        <v>0</v>
      </c>
    </row>
    <row r="146" spans="1:14" ht="12.75" customHeight="1" x14ac:dyDescent="0.2">
      <c r="A146" s="1273" t="s">
        <v>614</v>
      </c>
      <c r="B146" s="503" t="s">
        <v>613</v>
      </c>
      <c r="C146" s="1672"/>
      <c r="D146" s="1672"/>
      <c r="E146" s="1672"/>
      <c r="F146" s="1672"/>
      <c r="G146" s="1672"/>
      <c r="H146" s="1572">
        <v>0</v>
      </c>
      <c r="I146" s="1574"/>
      <c r="J146" s="1672"/>
      <c r="K146" s="1677">
        <f>SUM(H146)</f>
        <v>0</v>
      </c>
      <c r="L146" s="1572">
        <v>0</v>
      </c>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1095</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v>0</v>
      </c>
    </row>
    <row r="151" spans="1:14" ht="12.75" customHeight="1" thickTop="1" thickBot="1" x14ac:dyDescent="0.25">
      <c r="A151" s="2299" t="s">
        <v>615</v>
      </c>
      <c r="B151" s="2279"/>
      <c r="C151" s="1673">
        <f>SUM(C129,C130,C139,C149,C150)</f>
        <v>107827</v>
      </c>
      <c r="D151" s="1673">
        <f t="shared" ref="D151:K151" si="16">SUM(D129,D130,D139,D149,D150)</f>
        <v>0</v>
      </c>
      <c r="E151" s="1673">
        <f t="shared" si="16"/>
        <v>14743</v>
      </c>
      <c r="F151" s="1673">
        <f t="shared" si="16"/>
        <v>56824</v>
      </c>
      <c r="G151" s="1673">
        <f t="shared" si="16"/>
        <v>23131</v>
      </c>
      <c r="H151" s="1673">
        <f t="shared" si="16"/>
        <v>0</v>
      </c>
      <c r="I151" s="1673">
        <f t="shared" si="16"/>
        <v>0</v>
      </c>
      <c r="J151" s="1673">
        <f t="shared" si="16"/>
        <v>0</v>
      </c>
      <c r="K151" s="1673">
        <f t="shared" si="16"/>
        <v>202525</v>
      </c>
      <c r="L151" s="1673">
        <f>SUM(L129,L130,L139,L149,L150)</f>
        <v>225175</v>
      </c>
    </row>
    <row r="152" spans="1:14" ht="12.75" customHeight="1" thickTop="1" x14ac:dyDescent="0.2">
      <c r="A152" s="2302" t="s">
        <v>1169</v>
      </c>
      <c r="B152" s="2303"/>
      <c r="C152" s="1674"/>
      <c r="D152" s="1674"/>
      <c r="E152" s="1674"/>
      <c r="F152" s="1674"/>
      <c r="G152" s="1674"/>
      <c r="H152" s="1674"/>
      <c r="I152" s="1674"/>
      <c r="J152" s="1672"/>
      <c r="K152" s="1688">
        <f>'Revenues 9-14'!D268-'Expenditures 15-22'!K151</f>
        <v>31218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7" t="s">
        <v>616</v>
      </c>
      <c r="B154" s="2289"/>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300</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553</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1161</v>
      </c>
      <c r="B165" s="503" t="s">
        <v>612</v>
      </c>
      <c r="C165" s="1672"/>
      <c r="D165" s="1672"/>
      <c r="E165" s="1672"/>
      <c r="F165" s="1672"/>
      <c r="G165" s="1672"/>
      <c r="H165" s="1572">
        <v>0</v>
      </c>
      <c r="I165" s="1672"/>
      <c r="J165" s="1672"/>
      <c r="K165" s="1671">
        <f>SUM(C165:J165)</f>
        <v>0</v>
      </c>
      <c r="L165" s="1572">
        <v>0</v>
      </c>
    </row>
    <row r="166" spans="1:14" x14ac:dyDescent="0.2">
      <c r="A166" s="1273" t="s">
        <v>89</v>
      </c>
      <c r="B166" s="512" t="s">
        <v>584</v>
      </c>
      <c r="C166" s="1672"/>
      <c r="D166" s="1672"/>
      <c r="E166" s="1672"/>
      <c r="F166" s="1672"/>
      <c r="G166" s="1672"/>
      <c r="H166" s="1572">
        <v>99752</v>
      </c>
      <c r="I166" s="1672"/>
      <c r="J166" s="1672"/>
      <c r="K166" s="1671">
        <f>SUM(C166:J166)</f>
        <v>99752</v>
      </c>
      <c r="L166" s="1572">
        <v>101000</v>
      </c>
    </row>
    <row r="167" spans="1:14" ht="12.75" customHeight="1" x14ac:dyDescent="0.2">
      <c r="A167" s="1273" t="s">
        <v>614</v>
      </c>
      <c r="B167" s="503" t="s">
        <v>613</v>
      </c>
      <c r="C167" s="1672"/>
      <c r="D167" s="1672"/>
      <c r="E167" s="1672"/>
      <c r="F167" s="1672"/>
      <c r="G167" s="1672"/>
      <c r="H167" s="1572">
        <v>0</v>
      </c>
      <c r="I167" s="1672"/>
      <c r="J167" s="1672"/>
      <c r="K167" s="1671">
        <f>SUM(C167:J167)</f>
        <v>0</v>
      </c>
      <c r="L167" s="1572">
        <v>0</v>
      </c>
    </row>
    <row r="168" spans="1:14" ht="13.5" thickBot="1" x14ac:dyDescent="0.25">
      <c r="A168" s="1379" t="s">
        <v>273</v>
      </c>
      <c r="B168" s="1382" t="s">
        <v>712</v>
      </c>
      <c r="C168" s="1672"/>
      <c r="D168" s="1672"/>
      <c r="E168" s="1672"/>
      <c r="F168" s="1672"/>
      <c r="G168" s="1672"/>
      <c r="H168" s="1673">
        <f>SUM(H163:H167)</f>
        <v>99752</v>
      </c>
      <c r="I168" s="1672"/>
      <c r="J168" s="1672"/>
      <c r="K168" s="1673">
        <f>SUM(K163:K167)</f>
        <v>99752</v>
      </c>
      <c r="L168" s="1673">
        <f>SUM(L163:L167)</f>
        <v>101000</v>
      </c>
    </row>
    <row r="169" spans="1:14" ht="15.75" customHeight="1" thickTop="1" x14ac:dyDescent="0.2">
      <c r="A169" s="543" t="s">
        <v>83</v>
      </c>
      <c r="B169" s="544" t="s">
        <v>38</v>
      </c>
      <c r="C169" s="1672"/>
      <c r="D169" s="1672"/>
      <c r="E169" s="1672"/>
      <c r="F169" s="1672"/>
      <c r="G169" s="1672"/>
      <c r="H169" s="1694">
        <v>122000</v>
      </c>
      <c r="I169" s="1672"/>
      <c r="J169" s="1672"/>
      <c r="K169" s="1671">
        <f>SUM(C169:H169)</f>
        <v>122000</v>
      </c>
      <c r="L169" s="1694">
        <v>122000</v>
      </c>
    </row>
    <row r="170" spans="1:14" ht="33.75" customHeight="1" x14ac:dyDescent="0.2">
      <c r="A170" s="543" t="s">
        <v>1653</v>
      </c>
      <c r="B170" s="545" t="s">
        <v>31</v>
      </c>
      <c r="C170" s="1672"/>
      <c r="D170" s="1672"/>
      <c r="E170" s="1672"/>
      <c r="F170" s="1672"/>
      <c r="G170" s="1672"/>
      <c r="H170" s="1645">
        <v>0</v>
      </c>
      <c r="I170" s="1672"/>
      <c r="J170" s="1672"/>
      <c r="K170" s="1671">
        <f>SUM(C170:J170)</f>
        <v>0</v>
      </c>
      <c r="L170" s="1645">
        <v>0</v>
      </c>
    </row>
    <row r="171" spans="1:14" ht="15.75" customHeight="1" x14ac:dyDescent="0.2">
      <c r="A171" s="507" t="s">
        <v>760</v>
      </c>
      <c r="B171" s="546" t="s">
        <v>84</v>
      </c>
      <c r="C171" s="1672"/>
      <c r="D171" s="1672"/>
      <c r="E171" s="1572"/>
      <c r="F171" s="1672"/>
      <c r="G171" s="1672"/>
      <c r="H171" s="1645">
        <v>0</v>
      </c>
      <c r="I171" s="1581"/>
      <c r="J171" s="1672"/>
      <c r="K171" s="1671">
        <f>SUM(C171:J171)</f>
        <v>0</v>
      </c>
      <c r="L171" s="1645">
        <v>0</v>
      </c>
    </row>
    <row r="172" spans="1:14" ht="12.75" customHeight="1" thickBot="1" x14ac:dyDescent="0.25">
      <c r="A172" s="1379" t="s">
        <v>632</v>
      </c>
      <c r="B172" s="1380" t="s">
        <v>488</v>
      </c>
      <c r="C172" s="1672"/>
      <c r="D172" s="1672"/>
      <c r="E172" s="1680">
        <f>SUM(E168,E169,E170,E171)</f>
        <v>0</v>
      </c>
      <c r="F172" s="1672"/>
      <c r="G172" s="1672"/>
      <c r="H172" s="1680">
        <f>SUM(H168,H169,H170,H171)</f>
        <v>221752</v>
      </c>
      <c r="I172" s="1683"/>
      <c r="J172" s="1672"/>
      <c r="K172" s="1680">
        <f>SUM(K168,K169,K170,K171)</f>
        <v>221752</v>
      </c>
      <c r="L172" s="1680">
        <f>SUM(L168,L169,L170,L171)</f>
        <v>223000</v>
      </c>
    </row>
    <row r="173" spans="1:14" ht="15.75" customHeight="1" thickTop="1" thickBot="1" x14ac:dyDescent="0.25">
      <c r="A173" s="1356" t="s">
        <v>85</v>
      </c>
      <c r="B173" s="1348" t="s">
        <v>855</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221752</v>
      </c>
      <c r="I174" s="1683"/>
      <c r="J174" s="1672"/>
      <c r="K174" s="1680">
        <f>SUM(K160,K172,K173)</f>
        <v>221752</v>
      </c>
      <c r="L174" s="1680">
        <f>SUM(L160,L172,L173)</f>
        <v>223000</v>
      </c>
    </row>
    <row r="175" spans="1:14" ht="13.5" thickTop="1" x14ac:dyDescent="0.2">
      <c r="A175" s="2282" t="s">
        <v>988</v>
      </c>
      <c r="B175" s="2283"/>
      <c r="C175" s="1672"/>
      <c r="D175" s="1672"/>
      <c r="E175" s="1672"/>
      <c r="F175" s="1672"/>
      <c r="G175" s="1672"/>
      <c r="H175" s="1674"/>
      <c r="I175" s="1672"/>
      <c r="J175" s="1672"/>
      <c r="K175" s="1688">
        <f>'Revenues 9-14'!E268-'Expenditures 15-22'!K174</f>
        <v>3752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710</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12757</v>
      </c>
      <c r="D182" s="1572">
        <v>149</v>
      </c>
      <c r="E182" s="1572">
        <v>235722</v>
      </c>
      <c r="F182" s="1572">
        <v>1707</v>
      </c>
      <c r="G182" s="1572">
        <v>10467</v>
      </c>
      <c r="H182" s="1572">
        <v>0</v>
      </c>
      <c r="I182" s="1573">
        <v>0</v>
      </c>
      <c r="J182" s="1573">
        <v>0</v>
      </c>
      <c r="K182" s="1671">
        <f>SUM(C182:J182)</f>
        <v>260802</v>
      </c>
      <c r="L182" s="1572">
        <v>256437</v>
      </c>
    </row>
    <row r="183" spans="1:14" ht="12.75" customHeight="1" thickBot="1" x14ac:dyDescent="0.25">
      <c r="A183" s="1278" t="s">
        <v>972</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805</v>
      </c>
      <c r="B184" s="1380" t="s">
        <v>564</v>
      </c>
      <c r="C184" s="1680">
        <f>SUM(C180,C182,C183)</f>
        <v>12757</v>
      </c>
      <c r="D184" s="1680">
        <f t="shared" ref="D184:J184" si="17">SUM(D180,D182,D183)</f>
        <v>149</v>
      </c>
      <c r="E184" s="1680">
        <f t="shared" si="17"/>
        <v>235722</v>
      </c>
      <c r="F184" s="1680">
        <f t="shared" si="17"/>
        <v>1707</v>
      </c>
      <c r="G184" s="1680">
        <f t="shared" si="17"/>
        <v>10467</v>
      </c>
      <c r="H184" s="1680">
        <f t="shared" si="17"/>
        <v>0</v>
      </c>
      <c r="I184" s="1680">
        <f t="shared" si="17"/>
        <v>0</v>
      </c>
      <c r="J184" s="1680">
        <f t="shared" si="17"/>
        <v>0</v>
      </c>
      <c r="K184" s="1680">
        <f>SUM(K180,K182,K183)</f>
        <v>260802</v>
      </c>
      <c r="L184" s="1680">
        <f>SUM(L180, L182:L183)</f>
        <v>256437</v>
      </c>
    </row>
    <row r="185" spans="1:14" ht="15.75" customHeight="1" thickTop="1" thickBot="1" x14ac:dyDescent="0.25">
      <c r="A185" s="1359" t="s">
        <v>932</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300</v>
      </c>
      <c r="B189" s="503">
        <v>4120</v>
      </c>
      <c r="C189" s="1672"/>
      <c r="D189" s="1672"/>
      <c r="E189" s="1572">
        <v>0</v>
      </c>
      <c r="F189" s="1672"/>
      <c r="G189" s="1672"/>
      <c r="H189" s="1572">
        <v>0</v>
      </c>
      <c r="I189" s="1581"/>
      <c r="J189" s="1672"/>
      <c r="K189" s="1671">
        <f t="shared" si="18"/>
        <v>0</v>
      </c>
      <c r="L189" s="1572">
        <v>0</v>
      </c>
    </row>
    <row r="190" spans="1:14" x14ac:dyDescent="0.2">
      <c r="A190" s="1273" t="s">
        <v>301</v>
      </c>
      <c r="B190" s="512">
        <v>4130</v>
      </c>
      <c r="C190" s="1672"/>
      <c r="D190" s="1672"/>
      <c r="E190" s="1572">
        <v>0</v>
      </c>
      <c r="F190" s="1672"/>
      <c r="G190" s="1672"/>
      <c r="H190" s="1572">
        <v>0</v>
      </c>
      <c r="I190" s="1581"/>
      <c r="J190" s="1672"/>
      <c r="K190" s="1671">
        <f t="shared" si="18"/>
        <v>0</v>
      </c>
      <c r="L190" s="1572">
        <v>0</v>
      </c>
    </row>
    <row r="191" spans="1:14" x14ac:dyDescent="0.2">
      <c r="A191" s="1273" t="s">
        <v>691</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692</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1131</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1"/>
      <c r="J195" s="1672"/>
      <c r="K195" s="1695">
        <f>SUM(E195,H195)</f>
        <v>0</v>
      </c>
      <c r="L195" s="1694">
        <v>0</v>
      </c>
    </row>
    <row r="196" spans="1:14" ht="12.75" customHeight="1" thickBot="1" x14ac:dyDescent="0.25">
      <c r="A196" s="1379" t="s">
        <v>1472</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1161</v>
      </c>
      <c r="B201" s="512" t="s">
        <v>612</v>
      </c>
      <c r="C201" s="1672"/>
      <c r="D201" s="1672"/>
      <c r="E201" s="1672"/>
      <c r="F201" s="1672"/>
      <c r="G201" s="1672"/>
      <c r="H201" s="1572">
        <v>0</v>
      </c>
      <c r="I201" s="1672"/>
      <c r="J201" s="1672"/>
      <c r="K201" s="1671">
        <f>SUM(H201)</f>
        <v>0</v>
      </c>
      <c r="L201" s="1572">
        <v>0</v>
      </c>
    </row>
    <row r="202" spans="1:14" x14ac:dyDescent="0.2">
      <c r="A202" s="1273" t="s">
        <v>89</v>
      </c>
      <c r="B202" s="503" t="s">
        <v>584</v>
      </c>
      <c r="C202" s="1672"/>
      <c r="D202" s="1672"/>
      <c r="E202" s="1672"/>
      <c r="F202" s="1672"/>
      <c r="G202" s="1672"/>
      <c r="H202" s="1572">
        <v>0</v>
      </c>
      <c r="I202" s="1672"/>
      <c r="J202" s="1672"/>
      <c r="K202" s="1671">
        <f>SUM(H202)</f>
        <v>0</v>
      </c>
      <c r="L202" s="1572">
        <v>0</v>
      </c>
    </row>
    <row r="203" spans="1:14" x14ac:dyDescent="0.2">
      <c r="A203" s="1285" t="s">
        <v>614</v>
      </c>
      <c r="B203" s="503" t="s">
        <v>613</v>
      </c>
      <c r="C203" s="1672"/>
      <c r="D203" s="1672"/>
      <c r="E203" s="1672"/>
      <c r="F203" s="1672"/>
      <c r="G203" s="1672"/>
      <c r="H203" s="1576">
        <v>0</v>
      </c>
      <c r="I203" s="1672"/>
      <c r="J203" s="1672"/>
      <c r="K203" s="1671">
        <f>SUM(H203)</f>
        <v>0</v>
      </c>
      <c r="L203" s="1576">
        <v>0</v>
      </c>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932</v>
      </c>
      <c r="I205" s="1672"/>
      <c r="J205" s="1672"/>
      <c r="K205" s="1695">
        <f>SUM(H205)</f>
        <v>932</v>
      </c>
      <c r="L205" s="1629">
        <v>0</v>
      </c>
    </row>
    <row r="206" spans="1:14" ht="30" customHeight="1" x14ac:dyDescent="0.2">
      <c r="A206" s="555" t="s">
        <v>1654</v>
      </c>
      <c r="B206" s="546" t="s">
        <v>31</v>
      </c>
      <c r="C206" s="1672"/>
      <c r="D206" s="1672"/>
      <c r="E206" s="1672"/>
      <c r="F206" s="1672"/>
      <c r="G206" s="1672"/>
      <c r="H206" s="1572">
        <v>3870</v>
      </c>
      <c r="I206" s="1672"/>
      <c r="J206" s="1672"/>
      <c r="K206" s="1671">
        <f>SUM(H206)</f>
        <v>3870</v>
      </c>
      <c r="L206" s="1572">
        <v>0</v>
      </c>
    </row>
    <row r="207" spans="1:14" ht="15.75" customHeight="1" x14ac:dyDescent="0.2">
      <c r="A207" s="507" t="s">
        <v>760</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632</v>
      </c>
      <c r="B208" s="1389" t="s">
        <v>488</v>
      </c>
      <c r="C208" s="1672"/>
      <c r="D208" s="1672"/>
      <c r="E208" s="1672"/>
      <c r="F208" s="1672"/>
      <c r="G208" s="1672"/>
      <c r="H208" s="1680">
        <f>SUM(H204,H205,H206,H207)</f>
        <v>4802</v>
      </c>
      <c r="I208" s="1672"/>
      <c r="J208" s="1672"/>
      <c r="K208" s="1680">
        <f>SUM(K204,K205,K206,K207)</f>
        <v>4802</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v>0</v>
      </c>
    </row>
    <row r="210" spans="1:14" ht="12.75" customHeight="1" thickTop="1" thickBot="1" x14ac:dyDescent="0.25">
      <c r="A210" s="1393" t="s">
        <v>274</v>
      </c>
      <c r="B210" s="1394"/>
      <c r="C210" s="1673">
        <f>SUM(C184,C185)</f>
        <v>12757</v>
      </c>
      <c r="D210" s="1673">
        <f>SUM(D184,D185)</f>
        <v>149</v>
      </c>
      <c r="E210" s="1673">
        <f>SUM(E184,E185,E196)</f>
        <v>235722</v>
      </c>
      <c r="F210" s="1673">
        <f>SUM(F184,F185)</f>
        <v>1707</v>
      </c>
      <c r="G210" s="1673">
        <f>SUM(G184,G185)</f>
        <v>10467</v>
      </c>
      <c r="H210" s="1673">
        <f>SUM(H184,H185,H196,H208,H209)</f>
        <v>4802</v>
      </c>
      <c r="I210" s="1673">
        <f>SUM(I184,I185)</f>
        <v>0</v>
      </c>
      <c r="J210" s="1673">
        <f>SUM(J184,J185)</f>
        <v>0</v>
      </c>
      <c r="K210" s="1671">
        <f>SUM(K184,K185,K196,K208,K209)</f>
        <v>265604</v>
      </c>
      <c r="L210" s="1673">
        <f>SUM(L184,L185,L196,L208,L209)</f>
        <v>256437</v>
      </c>
    </row>
    <row r="211" spans="1:14" ht="13.5" thickTop="1" x14ac:dyDescent="0.2">
      <c r="A211" s="2282" t="s">
        <v>988</v>
      </c>
      <c r="B211" s="2283"/>
      <c r="C211" s="1674"/>
      <c r="D211" s="1674"/>
      <c r="E211" s="1674"/>
      <c r="F211" s="1674"/>
      <c r="G211" s="1674"/>
      <c r="H211" s="1674"/>
      <c r="I211" s="1672"/>
      <c r="J211" s="1672"/>
      <c r="K211" s="1688">
        <f>'Revenues 9-14'!F268-'Expenditures 15-22'!K210</f>
        <v>26578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04" t="s">
        <v>958</v>
      </c>
      <c r="B213" s="2305"/>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17566</v>
      </c>
      <c r="E215" s="1672"/>
      <c r="F215" s="1672"/>
      <c r="G215" s="1672"/>
      <c r="H215" s="1672"/>
      <c r="I215" s="1672"/>
      <c r="J215" s="1672"/>
      <c r="K215" s="1671">
        <f>D215</f>
        <v>17566</v>
      </c>
      <c r="L215" s="1572">
        <v>18200</v>
      </c>
    </row>
    <row r="216" spans="1:14" x14ac:dyDescent="0.2">
      <c r="A216" s="1273" t="s">
        <v>162</v>
      </c>
      <c r="B216" s="503" t="s">
        <v>960</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26319</v>
      </c>
      <c r="E217" s="1672"/>
      <c r="F217" s="1672"/>
      <c r="G217" s="1672"/>
      <c r="H217" s="1672"/>
      <c r="I217" s="1672"/>
      <c r="J217" s="1672"/>
      <c r="K217" s="1671">
        <f t="shared" si="19"/>
        <v>26319</v>
      </c>
      <c r="L217" s="1572">
        <v>25309</v>
      </c>
    </row>
    <row r="218" spans="1:14" x14ac:dyDescent="0.2">
      <c r="A218" s="1273" t="s">
        <v>275</v>
      </c>
      <c r="B218" s="503" t="s">
        <v>961</v>
      </c>
      <c r="C218" s="1672"/>
      <c r="D218" s="1573">
        <v>0</v>
      </c>
      <c r="E218" s="1672"/>
      <c r="F218" s="1672"/>
      <c r="G218" s="1672"/>
      <c r="H218" s="1672"/>
      <c r="I218" s="1672"/>
      <c r="J218" s="1672"/>
      <c r="K218" s="1671">
        <f t="shared" si="19"/>
        <v>0</v>
      </c>
      <c r="L218" s="1572">
        <v>0</v>
      </c>
    </row>
    <row r="219" spans="1:14" x14ac:dyDescent="0.2">
      <c r="A219" s="1273" t="s">
        <v>276</v>
      </c>
      <c r="B219" s="503">
        <v>1250</v>
      </c>
      <c r="C219" s="1672"/>
      <c r="D219" s="1572">
        <v>656</v>
      </c>
      <c r="E219" s="1672"/>
      <c r="F219" s="1672"/>
      <c r="G219" s="1672"/>
      <c r="H219" s="1672"/>
      <c r="I219" s="1672"/>
      <c r="J219" s="1672"/>
      <c r="K219" s="1671">
        <f t="shared" si="19"/>
        <v>656</v>
      </c>
      <c r="L219" s="1572">
        <v>570</v>
      </c>
    </row>
    <row r="220" spans="1:14" x14ac:dyDescent="0.2">
      <c r="A220" s="1273" t="s">
        <v>277</v>
      </c>
      <c r="B220" s="503" t="s">
        <v>160</v>
      </c>
      <c r="C220" s="1672"/>
      <c r="D220" s="1573">
        <v>0</v>
      </c>
      <c r="E220" s="1672"/>
      <c r="F220" s="1672"/>
      <c r="G220" s="1672"/>
      <c r="H220" s="1672"/>
      <c r="I220" s="1672"/>
      <c r="J220" s="1672"/>
      <c r="K220" s="1671">
        <f t="shared" si="19"/>
        <v>0</v>
      </c>
      <c r="L220" s="1572">
        <v>0</v>
      </c>
    </row>
    <row r="221" spans="1:14" x14ac:dyDescent="0.2">
      <c r="A221" s="1273" t="s">
        <v>955</v>
      </c>
      <c r="B221" s="503">
        <v>1300</v>
      </c>
      <c r="C221" s="1672"/>
      <c r="D221" s="1572">
        <v>0</v>
      </c>
      <c r="E221" s="1672"/>
      <c r="F221" s="1672"/>
      <c r="G221" s="1672"/>
      <c r="H221" s="1672"/>
      <c r="I221" s="1672"/>
      <c r="J221" s="1672"/>
      <c r="K221" s="1671">
        <f t="shared" si="19"/>
        <v>0</v>
      </c>
      <c r="L221" s="1572">
        <v>0</v>
      </c>
    </row>
    <row r="222" spans="1:14" x14ac:dyDescent="0.2">
      <c r="A222" s="1273" t="s">
        <v>717</v>
      </c>
      <c r="B222" s="503">
        <v>1400</v>
      </c>
      <c r="C222" s="1672"/>
      <c r="D222" s="1572">
        <v>1800</v>
      </c>
      <c r="E222" s="1672"/>
      <c r="F222" s="1672"/>
      <c r="G222" s="1672"/>
      <c r="H222" s="1672"/>
      <c r="I222" s="1672"/>
      <c r="J222" s="1672"/>
      <c r="K222" s="1671">
        <f t="shared" si="19"/>
        <v>1800</v>
      </c>
      <c r="L222" s="1572">
        <v>1800</v>
      </c>
    </row>
    <row r="223" spans="1:14" x14ac:dyDescent="0.2">
      <c r="A223" s="1273" t="s">
        <v>956</v>
      </c>
      <c r="B223" s="503">
        <v>1500</v>
      </c>
      <c r="C223" s="1672"/>
      <c r="D223" s="1572">
        <v>2669</v>
      </c>
      <c r="E223" s="1672"/>
      <c r="F223" s="1672"/>
      <c r="G223" s="1672"/>
      <c r="H223" s="1672"/>
      <c r="I223" s="1672"/>
      <c r="J223" s="1672"/>
      <c r="K223" s="1671">
        <f t="shared" si="19"/>
        <v>2669</v>
      </c>
      <c r="L223" s="1572">
        <v>3100</v>
      </c>
    </row>
    <row r="224" spans="1:14" x14ac:dyDescent="0.2">
      <c r="A224" s="1273" t="s">
        <v>957</v>
      </c>
      <c r="B224" s="503">
        <v>1600</v>
      </c>
      <c r="C224" s="1672"/>
      <c r="D224" s="1572">
        <v>0</v>
      </c>
      <c r="E224" s="1672"/>
      <c r="F224" s="1672"/>
      <c r="G224" s="1672"/>
      <c r="H224" s="1672"/>
      <c r="I224" s="1672"/>
      <c r="J224" s="1672"/>
      <c r="K224" s="1671">
        <f t="shared" si="19"/>
        <v>0</v>
      </c>
      <c r="L224" s="1572">
        <v>0</v>
      </c>
    </row>
    <row r="225" spans="1:12" x14ac:dyDescent="0.2">
      <c r="A225" s="1273" t="s">
        <v>979</v>
      </c>
      <c r="B225" s="503">
        <v>1650</v>
      </c>
      <c r="C225" s="1672"/>
      <c r="D225" s="1572">
        <v>0</v>
      </c>
      <c r="E225" s="1672"/>
      <c r="F225" s="1672"/>
      <c r="G225" s="1672"/>
      <c r="H225" s="1672"/>
      <c r="I225" s="1672"/>
      <c r="J225" s="1672"/>
      <c r="K225" s="1671">
        <f t="shared" si="19"/>
        <v>0</v>
      </c>
      <c r="L225" s="1572">
        <v>0</v>
      </c>
    </row>
    <row r="226" spans="1:12" x14ac:dyDescent="0.2">
      <c r="A226" s="1273" t="s">
        <v>718</v>
      </c>
      <c r="B226" s="503" t="s">
        <v>161</v>
      </c>
      <c r="C226" s="1672"/>
      <c r="D226" s="1573">
        <v>174</v>
      </c>
      <c r="E226" s="1672"/>
      <c r="F226" s="1672"/>
      <c r="G226" s="1672"/>
      <c r="H226" s="1672"/>
      <c r="I226" s="1672"/>
      <c r="J226" s="1672"/>
      <c r="K226" s="1671">
        <f t="shared" si="19"/>
        <v>174</v>
      </c>
      <c r="L226" s="1572">
        <v>200</v>
      </c>
    </row>
    <row r="227" spans="1:12" x14ac:dyDescent="0.2">
      <c r="A227" s="1273" t="s">
        <v>1079</v>
      </c>
      <c r="B227" s="503">
        <v>1800</v>
      </c>
      <c r="C227" s="1672"/>
      <c r="D227" s="1572">
        <v>0</v>
      </c>
      <c r="E227" s="1672"/>
      <c r="F227" s="1672"/>
      <c r="G227" s="1672"/>
      <c r="H227" s="1672"/>
      <c r="I227" s="1672"/>
      <c r="J227" s="1672"/>
      <c r="K227" s="1671">
        <f t="shared" si="19"/>
        <v>0</v>
      </c>
      <c r="L227" s="1572">
        <v>0</v>
      </c>
    </row>
    <row r="228" spans="1:12" x14ac:dyDescent="0.2">
      <c r="A228" s="1273" t="s">
        <v>1080</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709</v>
      </c>
      <c r="B229" s="1382" t="s">
        <v>565</v>
      </c>
      <c r="C229" s="1672"/>
      <c r="D229" s="1673">
        <f>SUM(D215:D228)</f>
        <v>49184</v>
      </c>
      <c r="E229" s="1672"/>
      <c r="F229" s="1672"/>
      <c r="G229" s="1672"/>
      <c r="H229" s="1672"/>
      <c r="I229" s="1672"/>
      <c r="J229" s="1672"/>
      <c r="K229" s="1673">
        <f>SUM(K215:K228)</f>
        <v>49184</v>
      </c>
      <c r="L229" s="1673">
        <f>SUM(L215:L228)</f>
        <v>49179</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1081</v>
      </c>
      <c r="B232" s="503">
        <v>2110</v>
      </c>
      <c r="C232" s="1672"/>
      <c r="D232" s="1572">
        <v>0</v>
      </c>
      <c r="E232" s="1672"/>
      <c r="F232" s="1672"/>
      <c r="G232" s="1672"/>
      <c r="H232" s="1672"/>
      <c r="I232" s="1672"/>
      <c r="J232" s="1672"/>
      <c r="K232" s="1671">
        <f t="shared" ref="K232:K237" si="20">D232</f>
        <v>0</v>
      </c>
      <c r="L232" s="1572">
        <v>0</v>
      </c>
    </row>
    <row r="233" spans="1:12" x14ac:dyDescent="0.2">
      <c r="A233" s="1273" t="s">
        <v>1082</v>
      </c>
      <c r="B233" s="503">
        <v>2120</v>
      </c>
      <c r="C233" s="1672"/>
      <c r="D233" s="1572">
        <v>794</v>
      </c>
      <c r="E233" s="1672"/>
      <c r="F233" s="1672"/>
      <c r="G233" s="1672"/>
      <c r="H233" s="1672"/>
      <c r="I233" s="1672"/>
      <c r="J233" s="1672"/>
      <c r="K233" s="1671">
        <f t="shared" si="20"/>
        <v>794</v>
      </c>
      <c r="L233" s="1572">
        <v>900</v>
      </c>
    </row>
    <row r="234" spans="1:12" x14ac:dyDescent="0.2">
      <c r="A234" s="1273" t="s">
        <v>196</v>
      </c>
      <c r="B234" s="503">
        <v>2130</v>
      </c>
      <c r="C234" s="1672"/>
      <c r="D234" s="1572">
        <v>7789</v>
      </c>
      <c r="E234" s="1672"/>
      <c r="F234" s="1672"/>
      <c r="G234" s="1672"/>
      <c r="H234" s="1672"/>
      <c r="I234" s="1672"/>
      <c r="J234" s="1672"/>
      <c r="K234" s="1671">
        <f t="shared" si="20"/>
        <v>7789</v>
      </c>
      <c r="L234" s="1572">
        <v>8100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555</v>
      </c>
      <c r="B238" s="1382" t="s">
        <v>710</v>
      </c>
      <c r="C238" s="1672"/>
      <c r="D238" s="1673">
        <f>SUM(D232:D237)</f>
        <v>8583</v>
      </c>
      <c r="E238" s="1672"/>
      <c r="F238" s="1672"/>
      <c r="G238" s="1672"/>
      <c r="H238" s="1672"/>
      <c r="I238" s="1672"/>
      <c r="J238" s="1672"/>
      <c r="K238" s="1673">
        <f>SUM(K232:K237)</f>
        <v>8583</v>
      </c>
      <c r="L238" s="1673">
        <f>SUM(L232:L237)</f>
        <v>9000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0</v>
      </c>
      <c r="E240" s="1672"/>
      <c r="F240" s="1672"/>
      <c r="G240" s="1672"/>
      <c r="H240" s="1672"/>
      <c r="I240" s="1672"/>
      <c r="J240" s="1672"/>
      <c r="K240" s="1677">
        <f>D240</f>
        <v>0</v>
      </c>
      <c r="L240" s="1585">
        <v>0</v>
      </c>
    </row>
    <row r="241" spans="1:12" x14ac:dyDescent="0.2">
      <c r="A241" s="1273" t="s">
        <v>809</v>
      </c>
      <c r="B241" s="503">
        <v>2220</v>
      </c>
      <c r="C241" s="1672"/>
      <c r="D241" s="1572">
        <v>8326</v>
      </c>
      <c r="E241" s="1672"/>
      <c r="F241" s="1672"/>
      <c r="G241" s="1672"/>
      <c r="H241" s="1672"/>
      <c r="I241" s="1672"/>
      <c r="J241" s="1672"/>
      <c r="K241" s="1677">
        <f>D241</f>
        <v>8326</v>
      </c>
      <c r="L241" s="1572">
        <v>8300</v>
      </c>
    </row>
    <row r="242" spans="1:12" x14ac:dyDescent="0.2">
      <c r="A242" s="1273" t="s">
        <v>810</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556</v>
      </c>
      <c r="B243" s="1396">
        <v>2200</v>
      </c>
      <c r="C243" s="1672"/>
      <c r="D243" s="1673">
        <f>SUM(D240:D242)</f>
        <v>8326</v>
      </c>
      <c r="E243" s="1672"/>
      <c r="F243" s="1672"/>
      <c r="G243" s="1672"/>
      <c r="H243" s="1672"/>
      <c r="I243" s="1672"/>
      <c r="J243" s="1672"/>
      <c r="K243" s="1673">
        <f>SUM(K240:K242)</f>
        <v>8326</v>
      </c>
      <c r="L243" s="1673">
        <f>SUM(L240:L242)</f>
        <v>8300</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340</v>
      </c>
      <c r="E245" s="1672"/>
      <c r="F245" s="1672"/>
      <c r="G245" s="1672"/>
      <c r="H245" s="1672"/>
      <c r="I245" s="1672"/>
      <c r="J245" s="1672"/>
      <c r="K245" s="1677">
        <f>D245</f>
        <v>340</v>
      </c>
      <c r="L245" s="1585">
        <v>425</v>
      </c>
    </row>
    <row r="246" spans="1:12" x14ac:dyDescent="0.2">
      <c r="A246" s="1273" t="s">
        <v>812</v>
      </c>
      <c r="B246" s="503">
        <v>2320</v>
      </c>
      <c r="C246" s="1672"/>
      <c r="D246" s="1572">
        <v>8050</v>
      </c>
      <c r="E246" s="1672"/>
      <c r="F246" s="1672"/>
      <c r="G246" s="1672"/>
      <c r="H246" s="1672"/>
      <c r="I246" s="1672"/>
      <c r="J246" s="1672"/>
      <c r="K246" s="1677">
        <f t="shared" ref="K246:K256" si="21">D246</f>
        <v>8050</v>
      </c>
      <c r="L246" s="1572">
        <v>8150</v>
      </c>
    </row>
    <row r="247" spans="1:12" x14ac:dyDescent="0.2">
      <c r="A247" s="1273" t="s">
        <v>813</v>
      </c>
      <c r="B247" s="503">
        <v>2330</v>
      </c>
      <c r="C247" s="1672"/>
      <c r="D247" s="1572">
        <v>0</v>
      </c>
      <c r="E247" s="1672"/>
      <c r="F247" s="1672"/>
      <c r="G247" s="1672"/>
      <c r="H247" s="1672"/>
      <c r="I247" s="1672"/>
      <c r="J247" s="1672"/>
      <c r="K247" s="1677">
        <f t="shared" si="21"/>
        <v>0</v>
      </c>
      <c r="L247" s="1572">
        <v>0</v>
      </c>
    </row>
    <row r="248" spans="1:12" x14ac:dyDescent="0.2">
      <c r="A248" s="1274" t="s">
        <v>295</v>
      </c>
      <c r="B248" s="494" t="s">
        <v>278</v>
      </c>
      <c r="C248" s="1672"/>
      <c r="D248" s="1578">
        <v>0</v>
      </c>
      <c r="E248" s="1672"/>
      <c r="F248" s="1672"/>
      <c r="G248" s="1672"/>
      <c r="H248" s="1672"/>
      <c r="I248" s="1672"/>
      <c r="J248" s="1672"/>
      <c r="K248" s="1677">
        <f t="shared" si="21"/>
        <v>0</v>
      </c>
      <c r="L248" s="1572">
        <v>0</v>
      </c>
    </row>
    <row r="249" spans="1:12" x14ac:dyDescent="0.2">
      <c r="A249" s="1275" t="s">
        <v>1784</v>
      </c>
      <c r="B249" s="557" t="s">
        <v>279</v>
      </c>
      <c r="C249" s="1672"/>
      <c r="D249" s="1578">
        <v>0</v>
      </c>
      <c r="E249" s="1672"/>
      <c r="F249" s="1672"/>
      <c r="G249" s="1672"/>
      <c r="H249" s="1672"/>
      <c r="I249" s="1672"/>
      <c r="J249" s="1672"/>
      <c r="K249" s="1677">
        <f t="shared" si="21"/>
        <v>0</v>
      </c>
      <c r="L249" s="1572">
        <v>0</v>
      </c>
    </row>
    <row r="250" spans="1:12" x14ac:dyDescent="0.2">
      <c r="A250" s="1274" t="s">
        <v>1785</v>
      </c>
      <c r="B250" s="494" t="s">
        <v>280</v>
      </c>
      <c r="C250" s="1672"/>
      <c r="D250" s="1578">
        <v>0</v>
      </c>
      <c r="E250" s="1672"/>
      <c r="F250" s="1672"/>
      <c r="G250" s="1672"/>
      <c r="H250" s="1672"/>
      <c r="I250" s="1672"/>
      <c r="J250" s="1672"/>
      <c r="K250" s="1677">
        <f t="shared" si="21"/>
        <v>0</v>
      </c>
      <c r="L250" s="1572">
        <v>0</v>
      </c>
    </row>
    <row r="251" spans="1:12" x14ac:dyDescent="0.2">
      <c r="A251" s="1274" t="s">
        <v>236</v>
      </c>
      <c r="B251" s="494" t="s">
        <v>281</v>
      </c>
      <c r="C251" s="1672"/>
      <c r="D251" s="1578">
        <v>0</v>
      </c>
      <c r="E251" s="1672"/>
      <c r="F251" s="1672"/>
      <c r="G251" s="1672"/>
      <c r="H251" s="1672"/>
      <c r="I251" s="1672"/>
      <c r="J251" s="1672"/>
      <c r="K251" s="1677">
        <f t="shared" si="21"/>
        <v>0</v>
      </c>
      <c r="L251" s="1572">
        <v>0</v>
      </c>
    </row>
    <row r="252" spans="1:12" x14ac:dyDescent="0.2">
      <c r="A252" s="1274" t="s">
        <v>696</v>
      </c>
      <c r="B252" s="494" t="s">
        <v>282</v>
      </c>
      <c r="C252" s="1672"/>
      <c r="D252" s="1578">
        <v>0</v>
      </c>
      <c r="E252" s="1672"/>
      <c r="F252" s="1672"/>
      <c r="G252" s="1672"/>
      <c r="H252" s="1672"/>
      <c r="I252" s="1672"/>
      <c r="J252" s="1672"/>
      <c r="K252" s="1677">
        <f t="shared" si="21"/>
        <v>0</v>
      </c>
      <c r="L252" s="1572">
        <v>0</v>
      </c>
    </row>
    <row r="253" spans="1:12" x14ac:dyDescent="0.2">
      <c r="A253" s="1274" t="s">
        <v>237</v>
      </c>
      <c r="B253" s="494" t="s">
        <v>283</v>
      </c>
      <c r="C253" s="1672"/>
      <c r="D253" s="1578">
        <v>0</v>
      </c>
      <c r="E253" s="1672"/>
      <c r="F253" s="1672"/>
      <c r="G253" s="1672"/>
      <c r="H253" s="1672"/>
      <c r="I253" s="1672"/>
      <c r="J253" s="1672"/>
      <c r="K253" s="1677">
        <f t="shared" si="21"/>
        <v>0</v>
      </c>
      <c r="L253" s="1572">
        <v>0</v>
      </c>
    </row>
    <row r="254" spans="1:12" ht="22.5" x14ac:dyDescent="0.2">
      <c r="A254" s="1274" t="s">
        <v>1021</v>
      </c>
      <c r="B254" s="557" t="s">
        <v>284</v>
      </c>
      <c r="C254" s="1672"/>
      <c r="D254" s="1578">
        <v>0</v>
      </c>
      <c r="E254" s="1672"/>
      <c r="F254" s="1672"/>
      <c r="G254" s="1672"/>
      <c r="H254" s="1672"/>
      <c r="I254" s="1672"/>
      <c r="J254" s="1672"/>
      <c r="K254" s="1677">
        <f t="shared" si="21"/>
        <v>0</v>
      </c>
      <c r="L254" s="1572">
        <v>0</v>
      </c>
    </row>
    <row r="255" spans="1:12" x14ac:dyDescent="0.2">
      <c r="A255" s="1274" t="s">
        <v>1022</v>
      </c>
      <c r="B255" s="494" t="s">
        <v>285</v>
      </c>
      <c r="C255" s="1672"/>
      <c r="D255" s="1578">
        <v>0</v>
      </c>
      <c r="E255" s="1672"/>
      <c r="F255" s="1672"/>
      <c r="G255" s="1672"/>
      <c r="H255" s="1672"/>
      <c r="I255" s="1672"/>
      <c r="J255" s="1672"/>
      <c r="K255" s="1677">
        <f t="shared" si="21"/>
        <v>0</v>
      </c>
      <c r="L255" s="1572">
        <v>0</v>
      </c>
    </row>
    <row r="256" spans="1:12" x14ac:dyDescent="0.2">
      <c r="A256" s="1274" t="s">
        <v>964</v>
      </c>
      <c r="B256" s="503" t="s">
        <v>286</v>
      </c>
      <c r="C256" s="1672"/>
      <c r="D256" s="1578">
        <v>0</v>
      </c>
      <c r="E256" s="1672"/>
      <c r="F256" s="1672"/>
      <c r="G256" s="1672"/>
      <c r="H256" s="1672"/>
      <c r="I256" s="1672"/>
      <c r="J256" s="1672"/>
      <c r="K256" s="1677">
        <f t="shared" si="21"/>
        <v>0</v>
      </c>
      <c r="L256" s="1572">
        <v>0</v>
      </c>
    </row>
    <row r="257" spans="1:14" ht="12.75" customHeight="1" thickBot="1" x14ac:dyDescent="0.25">
      <c r="A257" s="1379" t="s">
        <v>711</v>
      </c>
      <c r="B257" s="1397">
        <v>2300</v>
      </c>
      <c r="C257" s="1672"/>
      <c r="D257" s="1673">
        <f>SUM(D245:D256)</f>
        <v>8390</v>
      </c>
      <c r="E257" s="1672"/>
      <c r="F257" s="1672"/>
      <c r="G257" s="1672"/>
      <c r="H257" s="1672"/>
      <c r="I257" s="1672"/>
      <c r="J257" s="1672"/>
      <c r="K257" s="1673">
        <f>SUM(K245:K256)</f>
        <v>8390</v>
      </c>
      <c r="L257" s="1673">
        <f>SUM(L245:L256)</f>
        <v>8575</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1059</v>
      </c>
      <c r="B259" s="559">
        <v>2410</v>
      </c>
      <c r="C259" s="1672"/>
      <c r="D259" s="1585">
        <v>19431</v>
      </c>
      <c r="E259" s="1672"/>
      <c r="F259" s="1672"/>
      <c r="G259" s="1672"/>
      <c r="H259" s="1672"/>
      <c r="I259" s="1672"/>
      <c r="J259" s="1672"/>
      <c r="K259" s="1677">
        <f>D259</f>
        <v>19431</v>
      </c>
      <c r="L259" s="1585">
        <v>18900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260</v>
      </c>
      <c r="B261" s="1398" t="s">
        <v>34</v>
      </c>
      <c r="C261" s="1672"/>
      <c r="D261" s="1673">
        <f>SUM(D259:D260)</f>
        <v>19431</v>
      </c>
      <c r="E261" s="1672"/>
      <c r="F261" s="1672"/>
      <c r="G261" s="1672"/>
      <c r="H261" s="1672"/>
      <c r="I261" s="1672"/>
      <c r="J261" s="1672"/>
      <c r="K261" s="1673">
        <f>SUM(K259:K260)</f>
        <v>19431</v>
      </c>
      <c r="L261" s="1673">
        <f>SUM(L259:L260)</f>
        <v>18900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1060</v>
      </c>
      <c r="B263" s="559">
        <v>2510</v>
      </c>
      <c r="C263" s="1672"/>
      <c r="D263" s="1572">
        <v>0</v>
      </c>
      <c r="E263" s="1672"/>
      <c r="F263" s="1672"/>
      <c r="G263" s="1672"/>
      <c r="H263" s="1672"/>
      <c r="I263" s="1672"/>
      <c r="J263" s="1672"/>
      <c r="K263" s="1677">
        <f>D263</f>
        <v>0</v>
      </c>
      <c r="L263" s="1585">
        <v>0</v>
      </c>
    </row>
    <row r="264" spans="1:14" x14ac:dyDescent="0.2">
      <c r="A264" s="1273" t="s">
        <v>459</v>
      </c>
      <c r="B264" s="559">
        <v>2520</v>
      </c>
      <c r="C264" s="1672"/>
      <c r="D264" s="1572">
        <v>15044</v>
      </c>
      <c r="E264" s="1672"/>
      <c r="F264" s="1672"/>
      <c r="G264" s="1672"/>
      <c r="H264" s="1672"/>
      <c r="I264" s="1672"/>
      <c r="J264" s="1672"/>
      <c r="K264" s="1677">
        <f t="shared" ref="K264:K269" si="22">D264</f>
        <v>15044</v>
      </c>
      <c r="L264" s="1572">
        <v>15150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35175</v>
      </c>
      <c r="E266" s="1672"/>
      <c r="F266" s="1672"/>
      <c r="G266" s="1672"/>
      <c r="H266" s="1672"/>
      <c r="I266" s="1672"/>
      <c r="J266" s="1672"/>
      <c r="K266" s="1677">
        <f t="shared" si="22"/>
        <v>35175</v>
      </c>
      <c r="L266" s="1572">
        <v>33600</v>
      </c>
    </row>
    <row r="267" spans="1:14" x14ac:dyDescent="0.2">
      <c r="A267" s="1273" t="s">
        <v>946</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25541</v>
      </c>
      <c r="E268" s="1672"/>
      <c r="F268" s="1672"/>
      <c r="G268" s="1672"/>
      <c r="H268" s="1672"/>
      <c r="I268" s="1672"/>
      <c r="J268" s="1672"/>
      <c r="K268" s="1677">
        <f t="shared" si="22"/>
        <v>25541</v>
      </c>
      <c r="L268" s="1572">
        <v>24850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713</v>
      </c>
      <c r="B270" s="1382" t="s">
        <v>35</v>
      </c>
      <c r="C270" s="1672"/>
      <c r="D270" s="1673">
        <f>SUM(D263:D269)</f>
        <v>75760</v>
      </c>
      <c r="E270" s="1672"/>
      <c r="F270" s="1672"/>
      <c r="G270" s="1672"/>
      <c r="H270" s="1672"/>
      <c r="I270" s="1672"/>
      <c r="J270" s="1672"/>
      <c r="K270" s="1673">
        <f>SUM(K263:K269)</f>
        <v>75760</v>
      </c>
      <c r="L270" s="1673">
        <f>SUM(L263:L269)</f>
        <v>73600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1052</v>
      </c>
      <c r="B272" s="503">
        <v>2610</v>
      </c>
      <c r="C272" s="1672"/>
      <c r="D272" s="1585">
        <v>0</v>
      </c>
      <c r="E272" s="1672"/>
      <c r="F272" s="1672"/>
      <c r="G272" s="1672"/>
      <c r="H272" s="1672"/>
      <c r="I272" s="1672"/>
      <c r="J272" s="1672"/>
      <c r="K272" s="1677">
        <f>D272</f>
        <v>0</v>
      </c>
      <c r="L272" s="1585">
        <v>0</v>
      </c>
    </row>
    <row r="273" spans="1:12" x14ac:dyDescent="0.2">
      <c r="A273" s="1273" t="s">
        <v>602</v>
      </c>
      <c r="B273" s="512">
        <v>2620</v>
      </c>
      <c r="C273" s="1672"/>
      <c r="D273" s="1572">
        <v>0</v>
      </c>
      <c r="E273" s="1672"/>
      <c r="F273" s="1672"/>
      <c r="G273" s="1672"/>
      <c r="H273" s="1672"/>
      <c r="I273" s="1672"/>
      <c r="J273" s="1672"/>
      <c r="K273" s="1677">
        <f>D273</f>
        <v>0</v>
      </c>
      <c r="L273" s="1572">
        <v>0</v>
      </c>
    </row>
    <row r="274" spans="1:12" ht="12" customHeight="1" x14ac:dyDescent="0.2">
      <c r="A274" s="1273" t="s">
        <v>1053</v>
      </c>
      <c r="B274" s="503">
        <v>2630</v>
      </c>
      <c r="C274" s="1672"/>
      <c r="D274" s="1572">
        <v>0</v>
      </c>
      <c r="E274" s="1672"/>
      <c r="F274" s="1672"/>
      <c r="G274" s="1672"/>
      <c r="H274" s="1672"/>
      <c r="I274" s="1672"/>
      <c r="J274" s="1672"/>
      <c r="K274" s="1677">
        <f>D274</f>
        <v>0</v>
      </c>
      <c r="L274" s="1572">
        <v>0</v>
      </c>
    </row>
    <row r="275" spans="1:12" x14ac:dyDescent="0.2">
      <c r="A275" s="1273" t="s">
        <v>399</v>
      </c>
      <c r="B275" s="503">
        <v>2640</v>
      </c>
      <c r="C275" s="1672"/>
      <c r="D275" s="1572">
        <v>0</v>
      </c>
      <c r="E275" s="1672"/>
      <c r="F275" s="1672"/>
      <c r="G275" s="1672"/>
      <c r="H275" s="1672"/>
      <c r="I275" s="1672"/>
      <c r="J275" s="1672"/>
      <c r="K275" s="1677">
        <f>D275</f>
        <v>0</v>
      </c>
      <c r="L275" s="1572">
        <v>0</v>
      </c>
    </row>
    <row r="276" spans="1:12" x14ac:dyDescent="0.2">
      <c r="A276" s="1273" t="s">
        <v>400</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972</v>
      </c>
      <c r="B278" s="531" t="s">
        <v>569</v>
      </c>
      <c r="C278" s="1672"/>
      <c r="D278" s="1694">
        <v>0</v>
      </c>
      <c r="E278" s="1672"/>
      <c r="F278" s="1672"/>
      <c r="G278" s="1672"/>
      <c r="H278" s="1672"/>
      <c r="I278" s="1672"/>
      <c r="J278" s="1672"/>
      <c r="K278" s="1695">
        <f>D278</f>
        <v>0</v>
      </c>
      <c r="L278" s="1694">
        <v>0</v>
      </c>
    </row>
    <row r="279" spans="1:12" ht="12.75" customHeight="1" thickBot="1" x14ac:dyDescent="0.25">
      <c r="A279" s="1399" t="s">
        <v>805</v>
      </c>
      <c r="B279" s="1386">
        <v>2000</v>
      </c>
      <c r="C279" s="1672"/>
      <c r="D279" s="1680">
        <f>SUM(D238,D243,D257,D261,D270,D277,D278)</f>
        <v>120490</v>
      </c>
      <c r="E279" s="1672"/>
      <c r="F279" s="1672"/>
      <c r="G279" s="1672"/>
      <c r="H279" s="1672"/>
      <c r="I279" s="1672"/>
      <c r="J279" s="1672"/>
      <c r="K279" s="1680">
        <f>SUM(K238,K243,K257,K261,K270,K277,K278)</f>
        <v>120490</v>
      </c>
      <c r="L279" s="1680">
        <f>SUM(L238,L243,L257,L261,L270,L277,L278)</f>
        <v>118375</v>
      </c>
    </row>
    <row r="280" spans="1:12" ht="15.75" customHeight="1" thickTop="1" thickBot="1" x14ac:dyDescent="0.25">
      <c r="A280" s="1361" t="s">
        <v>869</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1818</v>
      </c>
      <c r="C282" s="1672"/>
      <c r="D282" s="1573">
        <v>0</v>
      </c>
      <c r="E282" s="1672"/>
      <c r="F282" s="1672"/>
      <c r="G282" s="1672"/>
      <c r="H282" s="1672"/>
      <c r="I282" s="1672"/>
      <c r="J282" s="1672"/>
      <c r="K282" s="1671">
        <f>D282</f>
        <v>0</v>
      </c>
      <c r="L282" s="1573">
        <v>0</v>
      </c>
    </row>
    <row r="283" spans="1:12" x14ac:dyDescent="0.2">
      <c r="A283" s="1273" t="s">
        <v>300</v>
      </c>
      <c r="B283" s="503">
        <v>4120</v>
      </c>
      <c r="C283" s="1672"/>
      <c r="D283" s="1572">
        <v>0</v>
      </c>
      <c r="E283" s="1672"/>
      <c r="F283" s="1672"/>
      <c r="G283" s="1672"/>
      <c r="H283" s="1672"/>
      <c r="I283" s="1672"/>
      <c r="J283" s="1672"/>
      <c r="K283" s="1671">
        <f>D283</f>
        <v>0</v>
      </c>
      <c r="L283" s="1572">
        <v>0</v>
      </c>
    </row>
    <row r="284" spans="1:12" x14ac:dyDescent="0.2">
      <c r="A284" s="1273" t="s">
        <v>691</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1472</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1161</v>
      </c>
      <c r="B290" s="512" t="s">
        <v>612</v>
      </c>
      <c r="C290" s="1672"/>
      <c r="D290" s="1672"/>
      <c r="E290" s="1672"/>
      <c r="F290" s="1672"/>
      <c r="G290" s="1672"/>
      <c r="H290" s="1572">
        <v>0</v>
      </c>
      <c r="I290" s="1672"/>
      <c r="J290" s="1672"/>
      <c r="K290" s="1671">
        <f>H290</f>
        <v>0</v>
      </c>
      <c r="L290" s="1572">
        <v>0</v>
      </c>
    </row>
    <row r="291" spans="1:14" x14ac:dyDescent="0.2">
      <c r="A291" s="1273" t="s">
        <v>89</v>
      </c>
      <c r="B291" s="503" t="s">
        <v>584</v>
      </c>
      <c r="C291" s="1672"/>
      <c r="D291" s="1672"/>
      <c r="E291" s="1672"/>
      <c r="F291" s="1672"/>
      <c r="G291" s="1672"/>
      <c r="H291" s="1572">
        <v>0</v>
      </c>
      <c r="I291" s="1672"/>
      <c r="J291" s="1672"/>
      <c r="K291" s="1671">
        <f>H291</f>
        <v>0</v>
      </c>
      <c r="L291" s="1572">
        <v>0</v>
      </c>
    </row>
    <row r="292" spans="1:14" x14ac:dyDescent="0.2">
      <c r="A292" s="1273" t="s">
        <v>756</v>
      </c>
      <c r="B292" s="503" t="s">
        <v>613</v>
      </c>
      <c r="C292" s="1672"/>
      <c r="D292" s="1672"/>
      <c r="E292" s="1672"/>
      <c r="F292" s="1672"/>
      <c r="G292" s="1672"/>
      <c r="H292" s="1572">
        <v>0</v>
      </c>
      <c r="I292" s="1672"/>
      <c r="J292" s="1672"/>
      <c r="K292" s="1671">
        <f>H292</f>
        <v>0</v>
      </c>
      <c r="L292" s="1572">
        <v>0</v>
      </c>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v>0</v>
      </c>
    </row>
    <row r="295" spans="1:14" ht="12.75" customHeight="1" thickTop="1" thickBot="1" x14ac:dyDescent="0.25">
      <c r="A295" s="2300" t="s">
        <v>501</v>
      </c>
      <c r="B295" s="2301"/>
      <c r="C295" s="1672"/>
      <c r="D295" s="1673">
        <f>SUM(D229,D279,D280,D285)</f>
        <v>169674</v>
      </c>
      <c r="E295" s="1672"/>
      <c r="F295" s="1672"/>
      <c r="G295" s="1672"/>
      <c r="H295" s="1673">
        <f>H293</f>
        <v>0</v>
      </c>
      <c r="I295" s="1672"/>
      <c r="J295" s="1672"/>
      <c r="K295" s="1673">
        <f>SUM(K229,K279,K280,K285,K293,K294)</f>
        <v>169674</v>
      </c>
      <c r="L295" s="1673">
        <f>SUM(L229,L279,L280,L285,L293,L294)</f>
        <v>167554</v>
      </c>
    </row>
    <row r="296" spans="1:14" ht="13.5" thickTop="1" x14ac:dyDescent="0.2">
      <c r="A296" s="2282" t="s">
        <v>988</v>
      </c>
      <c r="B296" s="2283"/>
      <c r="C296" s="1672"/>
      <c r="D296" s="1674"/>
      <c r="E296" s="1672"/>
      <c r="F296" s="1672"/>
      <c r="G296" s="1672"/>
      <c r="H296" s="1706"/>
      <c r="I296" s="1672"/>
      <c r="J296" s="1672"/>
      <c r="K296" s="1688">
        <f>'Revenues 9-14'!G268-'Expenditures 15-22'!K295</f>
        <v>-51370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92" t="s">
        <v>142</v>
      </c>
      <c r="B298" s="2286"/>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v>0</v>
      </c>
      <c r="D301" s="1572">
        <v>0</v>
      </c>
      <c r="E301" s="1572">
        <v>0</v>
      </c>
      <c r="F301" s="1572">
        <v>0</v>
      </c>
      <c r="G301" s="1572">
        <v>935595</v>
      </c>
      <c r="H301" s="1572">
        <v>0</v>
      </c>
      <c r="I301" s="1573">
        <v>0</v>
      </c>
      <c r="J301" s="1573">
        <v>0</v>
      </c>
      <c r="K301" s="1671">
        <f>SUM(C301:J301)</f>
        <v>935595</v>
      </c>
      <c r="L301" s="1573">
        <v>1000000</v>
      </c>
    </row>
    <row r="302" spans="1:14" ht="13.5" customHeight="1" x14ac:dyDescent="0.2">
      <c r="A302" s="1286" t="s">
        <v>972</v>
      </c>
      <c r="B302" s="503" t="s">
        <v>569</v>
      </c>
      <c r="C302" s="1572">
        <v>0</v>
      </c>
      <c r="D302" s="1572">
        <v>0</v>
      </c>
      <c r="E302" s="1572">
        <v>28750</v>
      </c>
      <c r="F302" s="1572">
        <v>0</v>
      </c>
      <c r="G302" s="1572">
        <v>0</v>
      </c>
      <c r="H302" s="1572">
        <v>0</v>
      </c>
      <c r="I302" s="1573">
        <v>0</v>
      </c>
      <c r="J302" s="1573">
        <v>0</v>
      </c>
      <c r="K302" s="1671">
        <f>SUM(C302:J302)</f>
        <v>28750</v>
      </c>
      <c r="L302" s="1572">
        <v>0</v>
      </c>
    </row>
    <row r="303" spans="1:14" ht="12.75" customHeight="1" thickBot="1" x14ac:dyDescent="0.25">
      <c r="A303" s="1379" t="s">
        <v>805</v>
      </c>
      <c r="B303" s="1380" t="s">
        <v>564</v>
      </c>
      <c r="C303" s="1680">
        <f>SUM(C301:C302)</f>
        <v>0</v>
      </c>
      <c r="D303" s="1680">
        <f t="shared" ref="D303:L303" si="23">SUM(D301:D302)</f>
        <v>0</v>
      </c>
      <c r="E303" s="1680">
        <f t="shared" si="23"/>
        <v>28750</v>
      </c>
      <c r="F303" s="1680">
        <f t="shared" si="23"/>
        <v>0</v>
      </c>
      <c r="G303" s="1680">
        <f t="shared" si="23"/>
        <v>935595</v>
      </c>
      <c r="H303" s="1680">
        <f t="shared" si="23"/>
        <v>0</v>
      </c>
      <c r="I303" s="1680">
        <f t="shared" si="23"/>
        <v>0</v>
      </c>
      <c r="J303" s="1680">
        <f t="shared" si="23"/>
        <v>0</v>
      </c>
      <c r="K303" s="1680">
        <f t="shared" si="23"/>
        <v>964345</v>
      </c>
      <c r="L303" s="1680">
        <f t="shared" si="23"/>
        <v>1000000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300</v>
      </c>
      <c r="B307" s="503">
        <v>4120</v>
      </c>
      <c r="C307" s="1672"/>
      <c r="D307" s="1672"/>
      <c r="E307" s="1573">
        <v>0</v>
      </c>
      <c r="F307" s="1672"/>
      <c r="G307" s="1672"/>
      <c r="H307" s="1573">
        <v>0</v>
      </c>
      <c r="I307" s="1581"/>
      <c r="J307" s="1672"/>
      <c r="K307" s="1671">
        <f>SUM(E307,H307)</f>
        <v>0</v>
      </c>
      <c r="L307" s="1572">
        <v>0</v>
      </c>
    </row>
    <row r="308" spans="1:14" x14ac:dyDescent="0.2">
      <c r="A308" s="1273" t="s">
        <v>691</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692</v>
      </c>
      <c r="B309" s="512">
        <v>4190</v>
      </c>
      <c r="C309" s="1672"/>
      <c r="D309" s="1672"/>
      <c r="E309" s="1573"/>
      <c r="F309" s="1672"/>
      <c r="G309" s="1672"/>
      <c r="H309" s="1573">
        <v>0</v>
      </c>
      <c r="I309" s="1581"/>
      <c r="J309" s="1672"/>
      <c r="K309" s="1671">
        <f>SUM(E309,H309)</f>
        <v>0</v>
      </c>
      <c r="L309" s="1572">
        <v>0</v>
      </c>
    </row>
    <row r="310" spans="1:14" ht="12.75" customHeight="1" thickBot="1" x14ac:dyDescent="0.25">
      <c r="A310" s="1379" t="s">
        <v>1472</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v>0</v>
      </c>
    </row>
    <row r="312" spans="1:14" s="548" customFormat="1" ht="12.75" customHeight="1" thickTop="1" thickBot="1" x14ac:dyDescent="0.25">
      <c r="A312" s="2297" t="s">
        <v>274</v>
      </c>
      <c r="B312" s="2298"/>
      <c r="C312" s="1673">
        <f>SUM(C303)</f>
        <v>0</v>
      </c>
      <c r="D312" s="1673">
        <f>SUM(D303)</f>
        <v>0</v>
      </c>
      <c r="E312" s="1673">
        <f>SUM(E303,E310)</f>
        <v>28750</v>
      </c>
      <c r="F312" s="1673">
        <f>SUM(F303)</f>
        <v>0</v>
      </c>
      <c r="G312" s="1673">
        <f>SUM(G303)</f>
        <v>935595</v>
      </c>
      <c r="H312" s="1673">
        <f>SUM(H303,H310)</f>
        <v>0</v>
      </c>
      <c r="I312" s="1673">
        <f>SUM(I303)</f>
        <v>0</v>
      </c>
      <c r="J312" s="1673">
        <f>SUM(J303)</f>
        <v>0</v>
      </c>
      <c r="K312" s="1673">
        <f>SUM(K303,K310,K311)</f>
        <v>964345</v>
      </c>
      <c r="L312" s="1673">
        <f>SUM(L303,L310,L311)</f>
        <v>1000000</v>
      </c>
      <c r="M312" s="539"/>
      <c r="N312" s="539"/>
    </row>
    <row r="313" spans="1:14" ht="13.5" thickTop="1" x14ac:dyDescent="0.2">
      <c r="A313" s="2293" t="s">
        <v>988</v>
      </c>
      <c r="B313" s="2294"/>
      <c r="C313" s="1676"/>
      <c r="D313" s="1676"/>
      <c r="E313" s="1676"/>
      <c r="F313" s="1676"/>
      <c r="G313" s="1676"/>
      <c r="H313" s="1676"/>
      <c r="I313" s="1676"/>
      <c r="J313" s="1676"/>
      <c r="K313" s="1695">
        <f>'Revenues 9-14'!H268-'Expenditures 15-22'!K312</f>
        <v>-838480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6" t="s">
        <v>148</v>
      </c>
      <c r="B315" s="2307"/>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8" t="s">
        <v>891</v>
      </c>
      <c r="B317" s="2307"/>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279</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296</v>
      </c>
      <c r="B321" s="567" t="s">
        <v>280</v>
      </c>
      <c r="C321" s="1573">
        <v>0</v>
      </c>
      <c r="D321" s="1573">
        <v>3956</v>
      </c>
      <c r="E321" s="1573">
        <v>0</v>
      </c>
      <c r="F321" s="1573">
        <v>0</v>
      </c>
      <c r="G321" s="1573">
        <v>0</v>
      </c>
      <c r="H321" s="1573">
        <v>0</v>
      </c>
      <c r="I321" s="1573">
        <v>0</v>
      </c>
      <c r="J321" s="1573">
        <v>0</v>
      </c>
      <c r="K321" s="1671">
        <f t="shared" si="24"/>
        <v>3956</v>
      </c>
      <c r="L321" s="1573">
        <v>4000</v>
      </c>
      <c r="M321" s="539"/>
      <c r="N321" s="539"/>
    </row>
    <row r="322" spans="1:14" s="548" customFormat="1" x14ac:dyDescent="0.2">
      <c r="A322" s="1288" t="s">
        <v>236</v>
      </c>
      <c r="B322" s="567" t="s">
        <v>281</v>
      </c>
      <c r="C322" s="1573">
        <v>0</v>
      </c>
      <c r="D322" s="1573">
        <v>0</v>
      </c>
      <c r="E322" s="1573">
        <v>34788</v>
      </c>
      <c r="F322" s="1573">
        <v>0</v>
      </c>
      <c r="G322" s="1573">
        <v>0</v>
      </c>
      <c r="H322" s="1573">
        <v>0</v>
      </c>
      <c r="I322" s="1573">
        <v>0</v>
      </c>
      <c r="J322" s="1573">
        <v>0</v>
      </c>
      <c r="K322" s="1671">
        <f t="shared" si="24"/>
        <v>34788</v>
      </c>
      <c r="L322" s="1573">
        <v>35000</v>
      </c>
      <c r="M322" s="539"/>
      <c r="N322" s="539"/>
    </row>
    <row r="323" spans="1:14" s="548" customFormat="1" x14ac:dyDescent="0.2">
      <c r="A323" s="1288" t="s">
        <v>696</v>
      </c>
      <c r="B323" s="567" t="s">
        <v>282</v>
      </c>
      <c r="C323" s="1573">
        <v>0</v>
      </c>
      <c r="D323" s="1573">
        <v>0</v>
      </c>
      <c r="E323" s="1573">
        <v>10905</v>
      </c>
      <c r="F323" s="1573">
        <v>0</v>
      </c>
      <c r="G323" s="1573">
        <v>0</v>
      </c>
      <c r="H323" s="1573">
        <v>0</v>
      </c>
      <c r="I323" s="1573">
        <v>0</v>
      </c>
      <c r="J323" s="1573">
        <v>0</v>
      </c>
      <c r="K323" s="1671">
        <f t="shared" si="24"/>
        <v>10905</v>
      </c>
      <c r="L323" s="1573">
        <v>11500</v>
      </c>
      <c r="M323" s="539"/>
      <c r="N323" s="539"/>
    </row>
    <row r="324" spans="1:14" s="548" customFormat="1" x14ac:dyDescent="0.2">
      <c r="A324" s="1288" t="s">
        <v>237</v>
      </c>
      <c r="B324" s="567" t="s">
        <v>283</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1021</v>
      </c>
      <c r="B325" s="568" t="s">
        <v>284</v>
      </c>
      <c r="C325" s="1573">
        <v>101064</v>
      </c>
      <c r="D325" s="1573">
        <v>0</v>
      </c>
      <c r="E325" s="1573">
        <v>2364</v>
      </c>
      <c r="F325" s="1573">
        <v>0</v>
      </c>
      <c r="G325" s="1573">
        <v>0</v>
      </c>
      <c r="H325" s="1573">
        <v>0</v>
      </c>
      <c r="I325" s="1573">
        <v>0</v>
      </c>
      <c r="J325" s="1573">
        <v>0</v>
      </c>
      <c r="K325" s="1671">
        <f t="shared" si="24"/>
        <v>103428</v>
      </c>
      <c r="L325" s="1573">
        <v>101250</v>
      </c>
      <c r="M325" s="539"/>
      <c r="N325" s="539"/>
    </row>
    <row r="326" spans="1:14" s="548" customFormat="1" x14ac:dyDescent="0.2">
      <c r="A326" s="1288" t="s">
        <v>1022</v>
      </c>
      <c r="B326" s="567" t="s">
        <v>285</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964</v>
      </c>
      <c r="B327" s="567" t="s">
        <v>286</v>
      </c>
      <c r="C327" s="1573">
        <v>11223</v>
      </c>
      <c r="D327" s="1573">
        <v>0</v>
      </c>
      <c r="E327" s="1573">
        <v>0</v>
      </c>
      <c r="F327" s="1573">
        <v>0</v>
      </c>
      <c r="G327" s="1573">
        <v>0</v>
      </c>
      <c r="H327" s="1573">
        <v>0</v>
      </c>
      <c r="I327" s="1573">
        <v>0</v>
      </c>
      <c r="J327" s="1573">
        <v>0</v>
      </c>
      <c r="K327" s="1671">
        <f t="shared" si="24"/>
        <v>11223</v>
      </c>
      <c r="L327" s="1573">
        <v>12000</v>
      </c>
      <c r="M327" s="539"/>
      <c r="N327" s="539"/>
    </row>
    <row r="328" spans="1:14" s="548" customFormat="1" x14ac:dyDescent="0.2">
      <c r="A328" s="1289" t="s">
        <v>468</v>
      </c>
      <c r="B328" s="562" t="s">
        <v>1123</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1124</v>
      </c>
      <c r="B329" s="562" t="s">
        <v>1125</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711</v>
      </c>
      <c r="B330" s="1380" t="s">
        <v>564</v>
      </c>
      <c r="C330" s="1673">
        <f>SUM(C319:C329)</f>
        <v>112287</v>
      </c>
      <c r="D330" s="1673">
        <f t="shared" ref="D330:J330" si="25">SUM(D319:D329)</f>
        <v>3956</v>
      </c>
      <c r="E330" s="1673">
        <f t="shared" si="25"/>
        <v>48057</v>
      </c>
      <c r="F330" s="1673">
        <f t="shared" si="25"/>
        <v>0</v>
      </c>
      <c r="G330" s="1673">
        <f t="shared" si="25"/>
        <v>0</v>
      </c>
      <c r="H330" s="1673">
        <f t="shared" si="25"/>
        <v>0</v>
      </c>
      <c r="I330" s="1673">
        <f t="shared" si="25"/>
        <v>0</v>
      </c>
      <c r="J330" s="1673">
        <f t="shared" si="25"/>
        <v>0</v>
      </c>
      <c r="K330" s="1673">
        <f>SUM(K319:K329)</f>
        <v>164300</v>
      </c>
      <c r="L330" s="1673">
        <f>SUM(L319:L329)</f>
        <v>163750</v>
      </c>
      <c r="M330" s="539"/>
      <c r="N330" s="539"/>
    </row>
    <row r="331" spans="1:14" s="548" customFormat="1" ht="12.75" customHeight="1" thickTop="1" x14ac:dyDescent="0.2">
      <c r="A331" s="1466" t="s">
        <v>1824</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300</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v>0</v>
      </c>
      <c r="I337" s="1683"/>
      <c r="J337" s="1683"/>
      <c r="K337" s="1671">
        <f>H337</f>
        <v>0</v>
      </c>
      <c r="L337" s="1582">
        <v>0</v>
      </c>
    </row>
    <row r="338" spans="1:14" ht="12.75" customHeight="1" x14ac:dyDescent="0.2">
      <c r="A338" s="1287" t="s">
        <v>1161</v>
      </c>
      <c r="B338" s="562" t="s">
        <v>612</v>
      </c>
      <c r="C338" s="1683"/>
      <c r="D338" s="1683"/>
      <c r="E338" s="1683"/>
      <c r="F338" s="1683"/>
      <c r="G338" s="1683"/>
      <c r="H338" s="1582">
        <v>0</v>
      </c>
      <c r="I338" s="1683"/>
      <c r="J338" s="1683"/>
      <c r="K338" s="1671">
        <f>H338</f>
        <v>0</v>
      </c>
      <c r="L338" s="1582">
        <v>0</v>
      </c>
    </row>
    <row r="339" spans="1:14" x14ac:dyDescent="0.2">
      <c r="A339" s="1273" t="s">
        <v>894</v>
      </c>
      <c r="B339" s="512">
        <v>5150</v>
      </c>
      <c r="C339" s="1683"/>
      <c r="D339" s="1683"/>
      <c r="E339" s="1683"/>
      <c r="F339" s="1683"/>
      <c r="G339" s="1683"/>
      <c r="H339" s="1573">
        <v>0</v>
      </c>
      <c r="I339" s="1683"/>
      <c r="J339" s="1683"/>
      <c r="K339" s="1671">
        <f>H339</f>
        <v>0</v>
      </c>
      <c r="L339" s="1573">
        <v>0</v>
      </c>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v>0</v>
      </c>
    </row>
    <row r="342" spans="1:14" ht="12.75" customHeight="1" thickTop="1" thickBot="1" x14ac:dyDescent="0.25">
      <c r="A342" s="1388" t="s">
        <v>501</v>
      </c>
      <c r="B342" s="1401"/>
      <c r="C342" s="1673">
        <f>SUM(C330)</f>
        <v>112287</v>
      </c>
      <c r="D342" s="1673">
        <f>SUM(D330)</f>
        <v>3956</v>
      </c>
      <c r="E342" s="1673">
        <f>SUM(E330)</f>
        <v>48057</v>
      </c>
      <c r="F342" s="1673">
        <f>SUM(F330)</f>
        <v>0</v>
      </c>
      <c r="G342" s="1673">
        <f>SUM(G330)</f>
        <v>0</v>
      </c>
      <c r="H342" s="1673">
        <f>SUM(H330,H334,H340)</f>
        <v>0</v>
      </c>
      <c r="I342" s="1673">
        <f>SUM(I330)</f>
        <v>0</v>
      </c>
      <c r="J342" s="1673">
        <f>SUM(J330)</f>
        <v>0</v>
      </c>
      <c r="K342" s="1673">
        <f>SUM(K330,K334,K340)</f>
        <v>164300</v>
      </c>
      <c r="L342" s="1680">
        <f>SUM(L330,L334,L340,L341)</f>
        <v>163750</v>
      </c>
    </row>
    <row r="343" spans="1:14" ht="12.75" customHeight="1" thickTop="1" x14ac:dyDescent="0.2">
      <c r="A343" s="2295" t="s">
        <v>988</v>
      </c>
      <c r="B343" s="2296"/>
      <c r="C343" s="1672"/>
      <c r="D343" s="1672"/>
      <c r="E343" s="1672"/>
      <c r="F343" s="1672"/>
      <c r="G343" s="1672"/>
      <c r="H343" s="1672"/>
      <c r="I343" s="1672"/>
      <c r="J343" s="1672"/>
      <c r="K343" s="1688">
        <f>'Revenues 9-14'!J268-'Expenditures 15-22'!K342</f>
        <v>-12871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5" t="s">
        <v>959</v>
      </c>
      <c r="B345" s="2286"/>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75000</v>
      </c>
    </row>
    <row r="349" spans="1:14" x14ac:dyDescent="0.2">
      <c r="A349" s="1273" t="s">
        <v>195</v>
      </c>
      <c r="B349" s="503">
        <v>2540</v>
      </c>
      <c r="C349" s="1572"/>
      <c r="D349" s="1572">
        <v>0</v>
      </c>
      <c r="E349" s="1572">
        <v>900</v>
      </c>
      <c r="F349" s="1572">
        <v>179</v>
      </c>
      <c r="G349" s="1572">
        <v>18000</v>
      </c>
      <c r="H349" s="1572">
        <v>0</v>
      </c>
      <c r="I349" s="1573">
        <v>0</v>
      </c>
      <c r="J349" s="1573">
        <v>0</v>
      </c>
      <c r="K349" s="1671">
        <f>SUM(C349:J349)</f>
        <v>19079</v>
      </c>
      <c r="L349" s="1572">
        <v>5000</v>
      </c>
    </row>
    <row r="350" spans="1:14" ht="12.75" customHeight="1" thickBot="1" x14ac:dyDescent="0.25">
      <c r="A350" s="1379" t="s">
        <v>713</v>
      </c>
      <c r="B350" s="1380" t="s">
        <v>35</v>
      </c>
      <c r="C350" s="1673">
        <f>SUM(C348:C349)</f>
        <v>0</v>
      </c>
      <c r="D350" s="1673">
        <f t="shared" ref="D350:L350" si="26">SUM(D348:D349)</f>
        <v>0</v>
      </c>
      <c r="E350" s="1673">
        <f t="shared" si="26"/>
        <v>900</v>
      </c>
      <c r="F350" s="1673">
        <f t="shared" si="26"/>
        <v>179</v>
      </c>
      <c r="G350" s="1673">
        <f t="shared" si="26"/>
        <v>18000</v>
      </c>
      <c r="H350" s="1673">
        <f t="shared" si="26"/>
        <v>0</v>
      </c>
      <c r="I350" s="1673">
        <f t="shared" si="26"/>
        <v>0</v>
      </c>
      <c r="J350" s="1673">
        <f t="shared" si="26"/>
        <v>0</v>
      </c>
      <c r="K350" s="1673">
        <f t="shared" si="26"/>
        <v>19079</v>
      </c>
      <c r="L350" s="1673">
        <f t="shared" si="26"/>
        <v>80000</v>
      </c>
    </row>
    <row r="351" spans="1:14" ht="12.75" customHeight="1" thickTop="1" x14ac:dyDescent="0.2">
      <c r="A351" s="1279" t="s">
        <v>972</v>
      </c>
      <c r="B351" s="521" t="s">
        <v>569</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619</v>
      </c>
      <c r="B352" s="1382" t="s">
        <v>564</v>
      </c>
      <c r="C352" s="1673">
        <f>SUM(C350:C351)</f>
        <v>0</v>
      </c>
      <c r="D352" s="1673">
        <f t="shared" ref="D352:L352" si="27">SUM(D350:D351)</f>
        <v>0</v>
      </c>
      <c r="E352" s="1673">
        <f t="shared" si="27"/>
        <v>900</v>
      </c>
      <c r="F352" s="1673">
        <f t="shared" si="27"/>
        <v>179</v>
      </c>
      <c r="G352" s="1673">
        <f t="shared" si="27"/>
        <v>18000</v>
      </c>
      <c r="H352" s="1673">
        <f t="shared" si="27"/>
        <v>0</v>
      </c>
      <c r="I352" s="1673">
        <f t="shared" si="27"/>
        <v>0</v>
      </c>
      <c r="J352" s="1673">
        <f t="shared" si="27"/>
        <v>0</v>
      </c>
      <c r="K352" s="1673">
        <f t="shared" si="27"/>
        <v>19079</v>
      </c>
      <c r="L352" s="1673">
        <f t="shared" si="27"/>
        <v>80000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692</v>
      </c>
      <c r="B356" s="557" t="s">
        <v>553</v>
      </c>
      <c r="C356" s="1672"/>
      <c r="D356" s="1672"/>
      <c r="E356" s="1672"/>
      <c r="F356" s="1672"/>
      <c r="G356" s="1672"/>
      <c r="H356" s="1583">
        <v>0</v>
      </c>
      <c r="I356" s="1715"/>
      <c r="J356" s="1672"/>
      <c r="K356" s="1599">
        <f>H356</f>
        <v>0</v>
      </c>
      <c r="L356" s="1583">
        <v>0</v>
      </c>
    </row>
    <row r="357" spans="1:14" ht="12.75" customHeight="1" thickBot="1" x14ac:dyDescent="0.25">
      <c r="A357" s="1379" t="s">
        <v>1472</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614</v>
      </c>
      <c r="B361" s="494" t="s">
        <v>613</v>
      </c>
      <c r="C361" s="1672"/>
      <c r="D361" s="1672"/>
      <c r="E361" s="1672"/>
      <c r="F361" s="1672"/>
      <c r="G361" s="1672"/>
      <c r="H361" s="1573">
        <v>0</v>
      </c>
      <c r="I361" s="1672"/>
      <c r="J361" s="1672"/>
      <c r="K361" s="1671">
        <f>SUM(C361:J361)</f>
        <v>0</v>
      </c>
      <c r="L361" s="1572">
        <v>0</v>
      </c>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v>0</v>
      </c>
      <c r="M366" s="501"/>
      <c r="N366" s="501"/>
    </row>
    <row r="367" spans="1:14" ht="12.75" customHeight="1" thickTop="1" thickBot="1" x14ac:dyDescent="0.25">
      <c r="A367" s="1393" t="s">
        <v>501</v>
      </c>
      <c r="B367" s="1402"/>
      <c r="C367" s="1673">
        <f t="shared" ref="C367:L367" si="28">SUM(C352,C357,C365,C366)</f>
        <v>0</v>
      </c>
      <c r="D367" s="1673">
        <f t="shared" si="28"/>
        <v>0</v>
      </c>
      <c r="E367" s="1673">
        <f t="shared" si="28"/>
        <v>900</v>
      </c>
      <c r="F367" s="1673">
        <f t="shared" si="28"/>
        <v>179</v>
      </c>
      <c r="G367" s="1673">
        <f t="shared" si="28"/>
        <v>18000</v>
      </c>
      <c r="H367" s="1673">
        <f t="shared" si="28"/>
        <v>0</v>
      </c>
      <c r="I367" s="1673">
        <f t="shared" si="28"/>
        <v>0</v>
      </c>
      <c r="J367" s="1673">
        <f t="shared" si="28"/>
        <v>0</v>
      </c>
      <c r="K367" s="1673">
        <f t="shared" si="28"/>
        <v>19079</v>
      </c>
      <c r="L367" s="1673">
        <f t="shared" si="28"/>
        <v>80000</v>
      </c>
    </row>
    <row r="368" spans="1:14" ht="13.5" thickTop="1" x14ac:dyDescent="0.2">
      <c r="A368" s="2282" t="s">
        <v>988</v>
      </c>
      <c r="B368" s="2283"/>
      <c r="C368" s="1693"/>
      <c r="D368" s="1693"/>
      <c r="E368" s="1676"/>
      <c r="F368" s="1676"/>
      <c r="G368" s="1676"/>
      <c r="H368" s="1676"/>
      <c r="I368" s="1676"/>
      <c r="J368" s="1675"/>
      <c r="K368" s="1671">
        <f>'Revenues 9-14'!K268-'Expenditures 15-22'!K367</f>
        <v>2570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&amp;C&amp;P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terms/"/>
    <ds:schemaRef ds:uri="6ce3111e-7420-4802-b50a-75d4e9a0b980"/>
    <ds:schemaRef ds:uri="http://www.w3.org/XML/1998/namespace"/>
    <ds:schemaRef ds:uri="http://purl.org/dc/elements/1.1/"/>
    <ds:schemaRef ds:uri="http://schemas.openxmlformats.org/package/2006/metadata/core-properties"/>
    <ds:schemaRef ds:uri="http://purl.org/dc/dcmitype/"/>
    <ds:schemaRef ds:uri="4d435f69-8686-490b-bd6d-b153bf22ab50"/>
    <ds:schemaRef ds:uri="http://schemas.microsoft.com/sharepoint/v3"/>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2020-10-08T21:09:36Z</cp:lastPrinted>
  <dcterms:created xsi:type="dcterms:W3CDTF">2003-10-29T19:06:34Z</dcterms:created>
  <dcterms:modified xsi:type="dcterms:W3CDTF">2020-11-02T00:55:41Z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b5b652af-21b3-47fd-b8b1-68ce2bac8fbb</vt:lpwstr>
  </property>
</Properties>
</file>