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ABCB9F1-C75B-4693-B357-B23BF0F16951}"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705" i="106" l="1"/>
  <c r="D7705" i="106" s="1"/>
  <c r="E67" i="184"/>
  <c r="N67" i="184" s="1"/>
  <c r="F34" i="34"/>
  <c r="B7826" i="106" s="1"/>
  <c r="D7826" i="106" s="1"/>
  <c r="D69" i="36"/>
  <c r="H342" i="29"/>
  <c r="B7696" i="106"/>
  <c r="D7696" i="106" s="1"/>
  <c r="E66" i="184"/>
  <c r="N66" i="184" s="1"/>
  <c r="B7189" i="106"/>
  <c r="D7189" i="106" s="1"/>
  <c r="E64" i="184"/>
  <c r="N64" i="184" s="1"/>
  <c r="B7171" i="106"/>
  <c r="D7171" i="106" s="1"/>
  <c r="E62" i="184"/>
  <c r="N62" i="184" s="1"/>
  <c r="B2724" i="106"/>
  <c r="D2724" i="106" s="1"/>
  <c r="B7180" i="106"/>
  <c r="D7180" i="106" s="1"/>
  <c r="E63" i="184"/>
  <c r="N63" i="184" s="1"/>
  <c r="B7126" i="106"/>
  <c r="D7126" i="106" s="1"/>
  <c r="E57" i="184"/>
  <c r="N57" i="184" s="1"/>
  <c r="G33" i="108"/>
  <c r="E17" i="184"/>
  <c r="H17" i="184" s="1"/>
  <c r="D31" i="108"/>
  <c r="E16" i="184"/>
  <c r="H16" i="184" s="1"/>
  <c r="G30" i="108"/>
  <c r="H12" i="184"/>
  <c r="H19" i="184" s="1"/>
  <c r="L20" i="184" s="1"/>
  <c r="B7162" i="106"/>
  <c r="D7162" i="106" s="1"/>
  <c r="E61" i="184"/>
  <c r="N61" i="184" s="1"/>
  <c r="C342" i="29"/>
  <c r="B7216" i="106" s="1"/>
  <c r="D7216" i="106" s="1"/>
  <c r="B7153" i="106"/>
  <c r="D7153" i="106" s="1"/>
  <c r="E60" i="184"/>
  <c r="N60" i="184" s="1"/>
  <c r="B7135" i="106"/>
  <c r="D7135" i="106" s="1"/>
  <c r="E58" i="184"/>
  <c r="N58" i="184" s="1"/>
  <c r="B7198" i="106"/>
  <c r="D7198" i="106" s="1"/>
  <c r="E65"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N23" i="3"/>
  <c r="B284" i="106" s="1"/>
  <c r="D284" i="106" s="1"/>
  <c r="B7220" i="106"/>
  <c r="D7220" i="106" s="1"/>
  <c r="F75" i="34"/>
  <c r="B7886" i="106" s="1"/>
  <c r="D7886" i="106" s="1"/>
  <c r="B7222" i="106"/>
  <c r="D7222" i="106" s="1"/>
  <c r="F76" i="34"/>
  <c r="B7887" i="106" s="1"/>
  <c r="D7887" i="106" s="1"/>
  <c r="B7235" i="106"/>
  <c r="D7235" i="106" s="1"/>
  <c r="E19" i="184"/>
  <c r="F41" i="108"/>
  <c r="G43" i="108" s="1"/>
  <c r="B5527" i="106"/>
  <c r="D5527" i="106" s="1"/>
  <c r="K342" i="29"/>
  <c r="F13" i="34" s="1"/>
  <c r="N65" i="184"/>
  <c r="N68" i="184" s="1"/>
  <c r="E68" i="184"/>
  <c r="E367" i="29"/>
  <c r="B3635" i="106"/>
  <c r="D44" i="36"/>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D8" i="146"/>
  <c r="B6227" i="106"/>
  <c r="D6227" i="106" s="1"/>
  <c r="J20" i="4"/>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<sst xmlns="http://schemas.openxmlformats.org/spreadsheetml/2006/main" count="5194" uniqueCount="2096">
  <si>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</si>
  <si>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</si>
  <si>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</si>
  <si>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</si>
  <si>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</si>
  <si>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</si>
  <si>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</si>
  <si>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</si>
  <si>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</si>
  <si>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</si>
  <si>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</si>
  <si>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</si>
  <si>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</si>
  <si>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</si>
  <si>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</si>
  <si>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</si>
  <si>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</si>
  <si>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</si>
  <si>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</si>
  <si>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</si>
  <si>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</si>
  <si>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</si>
  <si>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</si>
  <si>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</si>
  <si>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</si>
  <si>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</si>
  <si>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</si>
  <si>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</si>
  <si>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</si>
  <si>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</si>
  <si>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</si>
  <si>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</si>
  <si>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</si>
  <si>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</si>
  <si>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</si>
  <si>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</si>
  <si>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</si>
  <si>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</si>
  <si>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</si>
  <si>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</si>
  <si>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</si>
  <si>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</si>
  <si>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</si>
  <si>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</si>
  <si>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</si>
  <si>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</si>
  <si>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</si>
  <si>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</si>
  <si>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</si>
  <si>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</si>
  <si>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</si>
  <si>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</si>
  <si>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</si>
  <si>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</si>
  <si>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</si>
  <si>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</si>
  <si>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</si>
  <si>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</si>
  <si>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</si>
  <si>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</si>
  <si>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</si>
  <si>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</si>
  <si>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</si>
  <si>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</si>
  <si>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</si>
  <si>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</si>
  <si>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</si>
  <si>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</si>
  <si>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</si>
  <si>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</si>
  <si>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</si>
  <si>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</si>
  <si>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</si>
  <si>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</si>
  <si>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</si>
  <si>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</si>
  <si>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</si>
  <si>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</si>
  <si>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</si>
  <si>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</si>
  <si>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</si>
  <si>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</si>
  <si>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</si>
  <si>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</si>
  <si>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</si>
  <si>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</si>
  <si>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</si>
  <si>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</si>
  <si>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</si>
  <si>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</si>
  <si>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</si>
  <si>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</si>
  <si>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</si>
  <si>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</si>
  <si>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</si>
  <si>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</si>
  <si>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</si>
  <si>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</si>
  <si>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</si>
  <si>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</si>
  <si>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</si>
  <si>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</si>
  <si>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</si>
  <si>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</si>
  <si>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</si>
  <si>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</si>
  <si>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</si>
  <si>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</si>
  <si>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</si>
  <si>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</si>
  <si>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</si>
  <si>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</si>
  <si>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</si>
  <si>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</si>
  <si>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</si>
  <si>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</si>
  <si>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</si>
  <si>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</si>
  <si>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</si>
  <si>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</si>
  <si>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</si>
  <si>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</si>
  <si>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</si>
  <si>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</si>
  <si>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</si>
  <si>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</si>
  <si>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</si>
  <si>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</si>
  <si>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</si>
  <si>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</si>
  <si>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</si>
  <si>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</si>
  <si>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</si>
  <si>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</si>
  <si>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</si>
  <si>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</si>
  <si>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</si>
  <si>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</si>
  <si>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</si>
  <si>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</si>
  <si>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</si>
  <si>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</si>
  <si>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</si>
  <si>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</si>
  <si>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</si>
  <si>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</si>
  <si>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</si>
  <si>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</si>
  <si>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</si>
  <si>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</si>
  <si>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</si>
  <si>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</si>
  <si>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</si>
  <si>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</si>
  <si>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</si>
  <si>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</si>
  <si>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</si>
  <si>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</si>
  <si>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</si>
  <si>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</si>
  <si>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</si>
  <si>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</si>
  <si>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</si>
  <si>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</si>
  <si>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</si>
  <si>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</si>
  <si>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</si>
  <si>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</si>
  <si>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</si>
  <si>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</si>
  <si>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</si>
  <si>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</si>
  <si>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</si>
  <si>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</si>
  <si>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</si>
  <si>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</si>
  <si>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</si>
  <si>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</si>
  <si>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</si>
  <si>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</si>
  <si>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</si>
  <si>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</si>
  <si>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</si>
  <si>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</si>
  <si>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</si>
  <si>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</si>
  <si>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</si>
  <si>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</si>
  <si>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</si>
  <si>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</si>
  <si>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</si>
  <si>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</si>
  <si>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</si>
  <si>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</si>
  <si>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</si>
  <si>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</si>
  <si>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</si>
  <si>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</si>
  <si>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</si>
  <si>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</si>
  <si>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</si>
  <si>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</si>
  <si>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</si>
  <si>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</si>
  <si>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</si>
  <si>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</si>
  <si>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</si>
  <si>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</si>
  <si>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</si>
  <si>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</si>
  <si>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</si>
  <si>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</si>
  <si>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</si>
  <si>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</si>
  <si>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</si>
  <si>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</si>
  <si>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</si>
  <si>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</si>
  <si>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</si>
  <si>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</si>
  <si>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</si>
  <si>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</si>
  <si>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</si>
  <si>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</si>
  <si>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</si>
  <si>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</si>
  <si>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</si>
  <si>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</si>
  <si>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</si>
  <si>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</si>
  <si>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</si>
  <si>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</si>
  <si>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</si>
  <si>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</si>
  <si>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</si>
  <si>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</si>
  <si>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</si>
  <si>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</si>
  <si>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</si>
  <si>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</si>
  <si>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</si>
  <si>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</si>
  <si>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</si>
  <si>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</si>
  <si>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</si>
  <si>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</si>
  <si>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</si>
  <si>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</si>
  <si>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</si>
  <si>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</si>
  <si>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</si>
  <si>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</si>
  <si>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</si>
  <si>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</si>
  <si>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</si>
  <si>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</si>
  <si>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</si>
  <si>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</si>
  <si>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</si>
  <si>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</si>
  <si>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</si>
  <si>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</si>
  <si>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</si>
  <si>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</si>
  <si>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</si>
  <si>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</si>
  <si>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</si>
  <si>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</si>
  <si>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</si>
  <si>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</si>
  <si>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</si>
  <si>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</si>
  <si>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</si>
  <si>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</si>
  <si>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</si>
  <si>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</si>
  <si>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</si>
  <si>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</si>
  <si>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</si>
  <si>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</si>
  <si>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</si>
  <si>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</si>
  <si>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</si>
  <si>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</si>
  <si>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</si>
  <si>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</si>
  <si>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</si>
  <si>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</si>
  <si>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</si>
  <si>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</si>
  <si>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</si>
  <si>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</si>
  <si>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</si>
  <si>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</si>
  <si>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</si>
  <si>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</si>
  <si>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</si>
  <si>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</si>
  <si>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</si>
  <si>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</si>
  <si>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</si>
  <si>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</si>
  <si>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</si>
  <si>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</si>
  <si>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</si>
  <si>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</si>
  <si>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</si>
  <si>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</si>
  <si>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</si>
  <si>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</si>
  <si>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</si>
  <si>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</si>
  <si>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</si>
  <si>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</si>
  <si>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</si>
  <si>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</si>
  <si>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</si>
  <si>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</si>
  <si>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</si>
  <si>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</si>
  <si>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</si>
  <si>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</si>
  <si>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</si>
  <si>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</si>
  <si>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</si>
  <si>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</si>
  <si>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</si>
  <si>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</si>
  <si>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</si>
  <si>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</si>
  <si>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</si>
  <si>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</si>
  <si>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</si>
  <si>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</si>
  <si>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</si>
  <si>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</si>
  <si>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</si>
  <si>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</si>
  <si>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</si>
  <si>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</si>
  <si>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</si>
  <si>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</si>
  <si>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</si>
  <si>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</si>
  <si>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</si>
  <si>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</si>
  <si>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</si>
  <si>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</si>
  <si>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</si>
  <si>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</si>
  <si>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</si>
  <si>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</si>
  <si>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</si>
  <si>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</si>
  <si>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</si>
  <si>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</si>
  <si>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</si>
  <si>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</si>
  <si>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</si>
  <si>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</si>
  <si>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</si>
  <si>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</si>
  <si>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</si>
  <si>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</si>
  <si>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</si>
  <si>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</si>
  <si>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</si>
  <si>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</si>
  <si>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</si>
  <si>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</si>
  <si>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</si>
  <si>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</si>
  <si>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</si>
  <si>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</si>
  <si>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</si>
  <si>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</si>
  <si>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</si>
  <si>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</si>
  <si>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</si>
  <si>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</si>
  <si>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</si>
  <si>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</si>
  <si>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</si>
  <si>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</si>
  <si>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</si>
  <si>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</si>
  <si>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</si>
  <si>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</si>
  <si>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</si>
  <si>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</si>
  <si>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</si>
  <si>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</si>
  <si>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</si>
  <si>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</si>
  <si>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</si>
  <si>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</si>
  <si>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</si>
  <si>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</si>
  <si>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</si>
  <si>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</si>
  <si>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</si>
  <si>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</si>
  <si>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</si>
  <si>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</si>
  <si>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</si>
  <si>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</si>
  <si>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</si>
  <si>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</si>
  <si>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</si>
  <si>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</si>
  <si>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</si>
  <si>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</si>
  <si>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</si>
  <si>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</si>
  <si>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</si>
  <si>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</si>
  <si>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</si>
  <si>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</si>
  <si>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</si>
  <si>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</si>
  <si>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</si>
  <si>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</si>
  <si>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</si>
  <si>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</si>
  <si>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</si>
  <si>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</si>
  <si>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</si>
  <si>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</si>
  <si>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</si>
  <si>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</si>
  <si>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</si>
  <si>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</si>
  <si>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</si>
  <si>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</si>
  <si>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</si>
  <si>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</si>
  <si>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</si>
  <si>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</si>
  <si>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</si>
  <si>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</si>
  <si>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</si>
  <si>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</si>
  <si>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</si>
  <si>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</si>
  <si>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</si>
  <si>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</si>
  <si>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</si>
  <si>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</si>
  <si>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</si>
  <si>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</si>
  <si>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</si>
  <si>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</si>
  <si>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</si>
  <si>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</si>
  <si>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</si>
  <si>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</si>
  <si>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</si>
  <si>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</si>
  <si>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</si>
  <si>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</si>
  <si>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</si>
  <si>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</si>
  <si>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</si>
  <si>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</si>
  <si>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</si>
  <si>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</si>
  <si>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</si>
  <si>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</si>
  <si>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</si>
  <si>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</si>
  <si>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</si>
  <si>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</si>
  <si>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</si>
  <si>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</si>
  <si>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</si>
  <si>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</si>
  <si>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</si>
  <si>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</si>
  <si>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</si>
  <si>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</si>
  <si>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</si>
  <si>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</si>
  <si>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</si>
  <si>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</si>
  <si>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</si>
  <si>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</si>
  <si>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</si>
  <si>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</si>
  <si>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</si>
  <si>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</si>
  <si>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</si>
  <si>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</si>
  <si>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</si>
  <si>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</si>
  <si>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</si>
  <si>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</si>
  <si>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</si>
  <si>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</si>
  <si>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</si>
  <si>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</si>
  <si>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</si>
  <si>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</si>
  <si>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</si>
  <si>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</si>
  <si>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</si>
  <si>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</si>
  <si>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</si>
  <si>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</si>
  <si>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</si>
  <si>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</si>
  <si>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</si>
  <si>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</si>
  <si>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</si>
  <si>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</si>
  <si>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</si>
  <si>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</si>
  <si>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</si>
  <si>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</si>
  <si>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</si>
  <si>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</si>
  <si>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</si>
  <si>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</si>
  <si>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</si>
  <si>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</si>
  <si>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</si>
  <si>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</si>
  <si>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</si>
  <si>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</si>
  <si>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</si>
  <si>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</si>
  <si>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</si>
  <si>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</si>
  <si>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</si>
  <si>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</si>
  <si>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</si>
  <si>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</si>
  <si>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</si>
  <si>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</si>
  <si>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</si>
  <si>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</si>
  <si>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</si>
  <si>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</si>
  <si>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</si>
  <si>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</si>
  <si>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</si>
  <si>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</si>
  <si>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</si>
  <si>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</si>
  <si>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</si>
  <si>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</si>
  <si>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</si>
  <si>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</si>
  <si>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</si>
  <si>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</si>
  <si>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</si>
  <si>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</si>
  <si>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</si>
  <si>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</si>
  <si>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</si>
  <si>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</si>
  <si>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</si>
  <si>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</si>
  <si>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</si>
  <si>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</si>
  <si>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</si>
  <si>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</si>
  <si>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</si>
  <si>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</si>
  <si>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</si>
  <si>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</si>
  <si>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</si>
  <si>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</si>
  <si>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</si>
  <si>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</si>
  <si>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</si>
  <si>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</si>
  <si>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</si>
  <si>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</si>
  <si>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</si>
  <si>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</si>
  <si>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</si>
  <si>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</si>
  <si>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</si>
  <si>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</si>
  <si>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</si>
  <si>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</si>
  <si>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</si>
  <si>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</si>
  <si>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</si>
  <si>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</si>
  <si>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</si>
  <si>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</si>
  <si>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</si>
  <si>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</si>
  <si>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</si>
  <si>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</si>
  <si>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</si>
  <si>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</si>
  <si>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</si>
  <si>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</si>
  <si>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</si>
  <si>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</si>
  <si>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</si>
  <si>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</si>
  <si>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</si>
  <si>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</si>
  <si>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</si>
  <si>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</si>
  <si>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</si>
  <si>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</si>
  <si>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</si>
  <si>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</si>
  <si>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</si>
  <si>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</si>
  <si>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</si>
  <si>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</si>
  <si>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</si>
  <si>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</si>
  <si>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</si>
  <si>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</si>
  <si>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</si>
  <si>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</si>
  <si>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</si>
  <si>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</si>
  <si>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</si>
  <si>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</si>
  <si>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</si>
  <si>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</si>
  <si>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</si>
  <si>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</si>
  <si>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</si>
  <si>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</si>
  <si>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</si>
  <si>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</si>
  <si>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</si>
  <si>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</si>
  <si>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</si>
  <si>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</si>
  <si>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</si>
  <si>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</si>
  <si>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</si>
  <si>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</si>
  <si>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</si>
  <si>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</si>
  <si>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</si>
  <si>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</si>
  <si>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</si>
  <si>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</si>
  <si>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</si>
  <si>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</si>
  <si>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</si>
  <si>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</si>
  <si>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</si>
  <si>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</si>
  <si>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</si>
  <si>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</si>
  <si>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</si>
  <si>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</si>
  <si>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</si>
  <si>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</si>
  <si>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</si>
  <si>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</si>
  <si>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</si>
  <si>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</si>
  <si>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</si>
  <si>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</si>
  <si>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</si>
  <si>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</si>
  <si>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</si>
  <si>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</si>
  <si>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</si>
  <si>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</si>
  <si>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</si>
  <si>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</si>
  <si>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</si>
  <si>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</si>
  <si>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</si>
  <si>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</si>
  <si>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</si>
  <si>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</si>
  <si>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</si>
  <si>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</si>
  <si>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</si>
  <si>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</si>
  <si>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</si>
  <si>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</si>
  <si>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</si>
  <si>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</si>
  <si>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</si>
  <si>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</si>
  <si>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</si>
  <si>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</si>
  <si>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</si>
  <si>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</si>
  <si>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</si>
  <si>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</si>
  <si>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</si>
  <si>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</si>
  <si>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</si>
  <si>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</si>
  <si>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</si>
  <si>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</si>
  <si>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</si>
  <si>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</si>
  <si>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</si>
  <si>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</si>
  <si>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</si>
  <si>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</si>
  <si>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</si>
  <si>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</si>
  <si>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</si>
  <si>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</si>
  <si>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</si>
  <si>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</si>
  <si>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</si>
  <si>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</si>
  <si>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</si>
  <si>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</si>
  <si>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</si>
  <si>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</si>
  <si>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</si>
  <si>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</si>
  <si>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</si>
  <si>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</si>
  <si>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</si>
  <si>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</si>
  <si>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</si>
  <si>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</si>
  <si>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</si>
  <si>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</si>
  <si>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</si>
  <si>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</si>
  <si>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</si>
  <si>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</si>
  <si>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</si>
  <si>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</si>
  <si>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</si>
  <si>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</si>
  <si>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</si>
  <si>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</si>
  <si>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</si>
  <si>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</si>
  <si>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</si>
  <si>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</si>
  <si>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</si>
  <si>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</si>
  <si>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</si>
  <si>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</si>
  <si>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</si>
  <si>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</si>
  <si>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</si>
  <si>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</si>
  <si>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</si>
  <si>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</si>
  <si>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</si>
  <si>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</si>
  <si>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</si>
  <si>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</si>
  <si>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</si>
  <si>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</si>
  <si>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</si>
  <si>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</si>
  <si>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</si>
  <si>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</si>
  <si>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</si>
  <si>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</si>
  <si>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</si>
  <si>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</si>
  <si>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</si>
  <si>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</si>
  <si>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</si>
  <si>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</si>
  <si>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</si>
  <si>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</si>
  <si>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</si>
  <si>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</si>
  <si>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</si>
  <si>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</si>
  <si>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</si>
  <si>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</si>
  <si>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</si>
  <si>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</si>
  <si>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</si>
  <si>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</si>
  <si>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</si>
  <si>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</si>
  <si>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</si>
  <si>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</si>
  <si>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</si>
  <si>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</si>
  <si>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</si>
  <si>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</si>
  <si>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</si>
  <si>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</si>
  <si>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</si>
  <si>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</si>
  <si>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</si>
  <si>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</si>
  <si>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</si>
  <si>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</si>
  <si>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</si>
  <si>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</si>
  <si>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</si>
  <si>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</si>
  <si>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</si>
  <si>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</si>
  <si>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</si>
  <si>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</si>
  <si>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</si>
  <si>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</si>
  <si>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</si>
  <si>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</si>
  <si>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</si>
  <si>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</si>
  <si>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</si>
  <si>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</si>
  <si>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</si>
  <si>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</si>
  <si>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</si>
  <si>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</si>
  <si>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</si>
  <si>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</si>
  <si>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</si>
  <si>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</si>
  <si>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</si>
  <si>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</si>
  <si>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</si>
  <si>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</si>
  <si>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</si>
  <si>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</si>
  <si>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</si>
  <si>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</si>
  <si>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</si>
  <si>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</si>
  <si>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</si>
  <si>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</si>
  <si>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</si>
  <si>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</si>
  <si>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</si>
  <si>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</si>
  <si>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</si>
  <si>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</si>
  <si>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</si>
  <si>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</si>
  <si>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</si>
  <si>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</si>
  <si>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</si>
  <si>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</si>
  <si>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</si>
  <si>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</si>
  <si>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</si>
  <si>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</si>
  <si>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</si>
  <si>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</si>
  <si>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</si>
  <si>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</si>
  <si>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</si>
  <si>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</si>
  <si>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</si>
  <si>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</si>
  <si>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</si>
  <si>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</si>
  <si>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</si>
  <si>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</si>
  <si>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</si>
  <si>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</si>
  <si>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</si>
  <si>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</si>
  <si>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</si>
  <si>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</si>
  <si>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</si>
  <si>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</si>
  <si>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</si>
  <si>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</si>
  <si>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</si>
  <si>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</si>
  <si>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</si>
  <si>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</si>
  <si>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</si>
  <si>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</si>
  <si>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</si>
  <si>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</si>
  <si>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</si>
  <si>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</si>
  <si>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</si>
  <si>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</si>
  <si>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</si>
  <si>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</si>
  <si>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</si>
  <si>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</si>
  <si>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</si>
  <si>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</si>
  <si>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</si>
  <si>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</si>
  <si>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</si>
  <si>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</si>
  <si>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</si>
  <si>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</si>
  <si>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</si>
  <si>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</si>
  <si>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</si>
  <si>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</si>
  <si>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</si>
  <si>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</si>
  <si>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</si>
  <si>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</si>
  <si>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</si>
  <si>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</si>
  <si>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</si>
  <si>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</si>
  <si>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</si>
  <si>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</si>
  <si>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</si>
  <si>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</si>
  <si>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</si>
  <si>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</si>
  <si>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</si>
  <si>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</si>
  <si>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</si>
  <si>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</si>
  <si>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</si>
  <si>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</si>
  <si>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</si>
  <si>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</si>
  <si>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</si>
  <si>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</si>
  <si>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</si>
  <si>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</si>
  <si>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</si>
  <si>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</si>
  <si>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</si>
  <si>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</si>
  <si>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</si>
  <si>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</si>
  <si>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</si>
  <si>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</si>
  <si>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</si>
  <si>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</si>
  <si>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</si>
  <si>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</si>
  <si>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</si>
  <si>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</si>
  <si>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</si>
  <si>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</si>
  <si>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</si>
  <si>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</si>
  <si>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</si>
  <si>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</si>
  <si>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</si>
  <si>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</si>
  <si>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</si>
  <si>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</si>
  <si>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</si>
  <si>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</si>
  <si>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</si>
  <si>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</si>
  <si>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</si>
  <si>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</si>
  <si>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</si>
  <si>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</si>
  <si>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</si>
  <si>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</si>
  <si>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</si>
  <si>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</si>
  <si>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</si>
  <si>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</si>
  <si>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</si>
  <si>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</si>
  <si>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</si>
  <si>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</si>
  <si>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</si>
  <si>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</si>
  <si>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</si>
  <si>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</si>
  <si>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</si>
  <si>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</si>
  <si>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</si>
  <si>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</si>
  <si>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</si>
  <si>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</si>
  <si>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</si>
  <si>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</si>
  <si>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</si>
  <si>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</si>
  <si>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</si>
  <si>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</si>
  <si>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</si>
  <si>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</si>
  <si>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</si>
  <si>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</si>
  <si>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</si>
  <si>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</si>
  <si>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</si>
  <si>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</si>
  <si>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</si>
  <si>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</si>
  <si>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</si>
  <si>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</si>
  <si>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</si>
  <si>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</si>
  <si>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</si>
  <si>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</si>
  <si>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</si>
  <si>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</si>
  <si>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</si>
  <si>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</si>
  <si>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</si>
  <si>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</si>
  <si>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</si>
  <si>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</si>
  <si>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</si>
  <si>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</si>
  <si>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</si>
  <si>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</si>
  <si>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</si>
  <si>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</si>
  <si>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</si>
  <si>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</si>
  <si>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</si>
  <si>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</si>
  <si>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</si>
  <si>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</si>
  <si>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</si>
  <si>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</si>
  <si>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</si>
  <si>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</si>
  <si>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</si>
  <si>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</si>
  <si>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</si>
  <si>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</si>
  <si>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</si>
  <si>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</si>
  <si>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</si>
  <si>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</si>
  <si>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</si>
  <si>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</si>
  <si>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</si>
  <si>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</si>
  <si>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</si>
  <si>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</si>
  <si>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</si>
  <si>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</si>
  <si>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</si>
  <si>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</si>
  <si>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</si>
  <si>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</si>
  <si>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</si>
  <si>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</si>
  <si>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</si>
  <si>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</si>
  <si>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</si>
  <si>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</si>
  <si>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</si>
  <si>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</si>
  <si>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</si>
  <si>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</si>
  <si>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</si>
  <si>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</si>
  <si>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</si>
  <si>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</si>
  <si>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</si>
  <si>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</si>
  <si>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</si>
  <si>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</si>
  <si>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</si>
  <si>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</si>
  <si>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</si>
  <si>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</si>
  <si>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</si>
  <si>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</si>
  <si>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</si>
  <si>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</si>
  <si>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</si>
  <si>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</si>
  <si>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</si>
  <si>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</si>
  <si>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</si>
  <si>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</si>
  <si>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</si>
  <si>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</si>
  <si>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</si>
  <si>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</si>
  <si>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</si>
  <si>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</si>
  <si>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</si>
  <si>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</si>
  <si>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</si>
  <si>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</si>
  <si>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</si>
  <si>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</si>
  <si>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</si>
  <si>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</si>
  <si>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</si>
  <si>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</si>
  <si>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</si>
  <si>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</si>
  <si>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</si>
  <si>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</si>
  <si>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</si>
  <si>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</si>
  <si>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</si>
  <si>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</si>
  <si>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</si>
  <si>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</si>
  <si>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</si>
  <si>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</si>
  <si>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</si>
  <si>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</si>
  <si>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</si>
  <si>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</si>
  <si>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</si>
  <si>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</si>
  <si>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</si>
  <si>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</si>
  <si>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</si>
  <si>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</si>
  <si>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</si>
  <si>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</si>
  <si>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</si>
  <si>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</si>
  <si>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</si>
  <si>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</si>
  <si>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</si>
  <si>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</si>
  <si>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</si>
  <si>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</si>
  <si>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</si>
  <si>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</si>
  <si>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</si>
  <si>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</si>
  <si>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</si>
  <si>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</si>
  <si>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</si>
  <si>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</si>
  <si>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</si>
  <si>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</si>
  <si>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</si>
  <si>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</si>
  <si>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</si>
  <si>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</si>
  <si>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</si>
  <si>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</si>
  <si>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</si>
  <si>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</si>
  <si>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</si>
  <si>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</si>
  <si>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</si>
  <si>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</si>
  <si>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</si>
  <si>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</si>
  <si>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</si>
  <si>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</si>
  <si>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</si>
  <si>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</si>
  <si>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</si>
  <si>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</si>
  <si>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</si>
  <si>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</si>
  <si>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</si>
  <si>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</si>
  <si>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</si>
  <si>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</si>
  <si>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</si>
  <si>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</si>
  <si>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</si>
  <si>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</si>
  <si>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</si>
  <si>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</si>
  <si>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</si>
  <si>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</si>
  <si>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</si>
  <si>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</si>
  <si>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</si>
  <si>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</si>
  <si>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</si>
  <si>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</si>
  <si>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</si>
  <si>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</si>
  <si>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</si>
  <si>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</si>
  <si>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</si>
  <si>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</si>
  <si>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</si>
  <si>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</si>
  <si>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</si>
  <si>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</si>
  <si>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</si>
  <si>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</si>
  <si>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</si>
  <si>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</si>
  <si>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</si>
  <si>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</si>
  <si>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</si>
  <si>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</si>
  <si>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</si>
  <si>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</si>
  <si>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</si>
  <si>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</si>
  <si>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</si>
  <si>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</si>
  <si>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</si>
  <si>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</si>
  <si>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</si>
  <si>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</si>
  <si>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</si>
  <si>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</si>
  <si>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</si>
  <si>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</si>
  <si>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</si>
  <si>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</si>
  <si>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</si>
  <si>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</si>
  <si>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</si>
  <si>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</si>
  <si>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</si>
  <si>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</si>
  <si>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</si>
  <si>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</si>
  <si>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</si>
  <si>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</si>
  <si>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</si>
  <si>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</si>
  <si>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</si>
  <si>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</si>
  <si>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</si>
  <si>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</si>
  <si>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</si>
  <si>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</si>
  <si>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</si>
  <si>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</si>
  <si>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</si>
  <si>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</si>
  <si>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</si>
  <si>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</si>
  <si>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</si>
  <si>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</si>
  <si>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</si>
  <si>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</si>
  <si>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</si>
  <si>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</si>
  <si>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</si>
  <si>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</si>
  <si>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</si>
  <si>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</si>
  <si>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</si>
  <si>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</si>
  <si>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</si>
  <si>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</si>
  <si>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</si>
  <si>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</si>
  <si>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</si>
  <si>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</si>
  <si>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</si>
  <si>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</si>
  <si>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</si>
  <si>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</si>
  <si>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</si>
  <si>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</si>
  <si>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</si>
  <si>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</si>
  <si>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</si>
  <si>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</si>
  <si>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</si>
  <si>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</si>
  <si>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</si>
  <si>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</si>
  <si>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</si>
  <si>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</si>
  <si>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</si>
  <si>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</si>
  <si>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</si>
  <si>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</si>
  <si>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</si>
  <si>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</si>
  <si>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</si>
  <si>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</si>
  <si>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</si>
  <si>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</si>
  <si>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</si>
  <si>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</si>
  <si>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</si>
  <si>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</si>
  <si>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</si>
  <si>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</si>
  <si>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</si>
  <si>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</si>
  <si>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</si>
  <si>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</si>
  <si>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</si>
  <si>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</si>
  <si>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</si>
  <si>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</si>
  <si>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</si>
  <si>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</si>
  <si>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</si>
  <si>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</si>
  <si>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</si>
  <si>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</si>
  <si>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</si>
  <si>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</si>
  <si>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</si>
  <si>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</si>
  <si>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</si>
  <si>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</si>
  <si>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</si>
  <si>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</si>
  <si>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</si>
  <si>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</si>
  <si>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</si>
  <si>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</si>
  <si>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</si>
  <si>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</si>
  <si>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</si>
  <si>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</si>
  <si>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</si>
  <si>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</si>
  <si>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</si>
  <si>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</si>
  <si>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</si>
  <si>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</si>
  <si>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</si>
  <si>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</si>
  <si>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</si>
  <si>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</si>
  <si>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</si>
  <si>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</si>
  <si>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</si>
  <si>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</si>
  <si>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</si>
  <si>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</si>
  <si>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</si>
  <si>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</si>
  <si>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</si>
  <si>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</si>
  <si>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</si>
  <si>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</si>
  <si>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</si>
  <si>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</si>
  <si>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</si>
  <si>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</si>
  <si>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</si>
  <si>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</si>
  <si>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</si>
  <si>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</si>
  <si>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</si>
  <si>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</si>
  <si>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</si>
  <si>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</si>
  <si>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</si>
  <si>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</si>
  <si>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</si>
  <si>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</si>
  <si>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</si>
  <si>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</si>
  <si>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</si>
  <si>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</si>
  <si>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</si>
  <si>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</si>
  <si>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</si>
  <si>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</si>
  <si>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</si>
  <si>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</si>
  <si>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</si>
  <si>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</si>
  <si>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</si>
  <si>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</si>
  <si>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</si>
  <si>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</si>
  <si>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</si>
  <si>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</si>
  <si>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</si>
  <si>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</si>
  <si>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</si>
  <si>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</si>
  <si>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</si>
  <si>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</si>
  <si>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</si>
  <si>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</si>
  <si>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</si>
  <si>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</si>
  <si>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</si>
  <si>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</si>
  <si>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</si>
  <si>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</si>
  <si>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</si>
  <si>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</si>
  <si>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</si>
  <si>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</si>
  <si>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</si>
  <si>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</si>
  <si>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</si>
  <si>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</si>
  <si>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</si>
  <si>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</si>
  <si>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</si>
  <si>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</si>
  <si>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</si>
  <si>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</si>
  <si>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</si>
  <si>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</si>
  <si>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</si>
  <si>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</si>
  <si>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</si>
  <si>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</si>
  <si>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</si>
  <si>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</si>
  <si>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</si>
  <si>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</si>
  <si>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</si>
  <si>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</si>
  <si>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</si>
  <si>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</si>
  <si>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</si>
  <si>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</si>
  <si>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</si>
  <si>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</si>
  <si>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</si>
  <si>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</si>
  <si>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</si>
  <si>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</si>
  <si>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</si>
  <si>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</si>
  <si>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</si>
  <si>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</si>
  <si>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</si>
  <si>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</si>
  <si>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</si>
  <si>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</si>
  <si>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</si>
  <si>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</si>
  <si>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</si>
  <si>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</si>
  <si>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</si>
  <si>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</si>
  <si>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</si>
  <si>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</si>
  <si>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</si>
  <si>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</si>
  <si>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</si>
  <si>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</si>
  <si>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</si>
  <si>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</si>
  <si>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</si>
  <si>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</si>
  <si>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</si>
  <si>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</si>
  <si>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</si>
  <si>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</si>
  <si>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</si>
  <si>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</si>
  <si>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</si>
  <si>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</si>
  <si>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</si>
  <si>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</si>
  <si>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</si>
  <si>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</si>
  <si>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</si>
  <si>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</si>
  <si>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</si>
  <si>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</si>
  <si>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</si>
  <si>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</si>
  <si>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</si>
  <si>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</si>
  <si>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</si>
  <si>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</si>
  <si>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</si>
  <si>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</si>
  <si>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</si>
  <si>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</si>
  <si>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</si>
  <si>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</si>
  <si>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</si>
  <si>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</si>
  <si>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</si>
  <si>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</si>
  <si>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</si>
  <si>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</si>
  <si>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</si>
  <si>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</si>
  <si>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</si>
  <si>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</si>
  <si>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</si>
  <si>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</si>
  <si>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</si>
  <si>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</si>
  <si>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</si>
  <si>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</si>
  <si>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</si>
  <si>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</si>
  <si>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</si>
  <si>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</si>
  <si>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</si>
  <si>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</si>
  <si>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</si>
  <si>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</si>
  <si>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</si>
  <si>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</si>
  <si>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</si>
  <si>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</si>
  <si>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</si>
  <si>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</si>
  <si>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</si>
  <si>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</si>
  <si>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</si>
  <si>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</si>
  <si>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</si>
  <si>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</si>
  <si>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</si>
  <si>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</si>
  <si>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</si>
  <si>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</si>
  <si>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</si>
  <si>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</si>
  <si>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</si>
  <si>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</si>
  <si>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</si>
  <si>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</si>
  <si>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</si>
  <si>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</si>
  <si>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</si>
  <si>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</si>
  <si>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</si>
  <si>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</si>
  <si>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</si>
  <si>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</si>
  <si>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</si>
  <si>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</si>
  <si>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</si>
  <si>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</si>
  <si>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</si>
  <si>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</si>
  <si>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</si>
  <si>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</si>
  <si>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</si>
  <si>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</si>
  <si>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</si>
  <si>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</si>
  <si>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</si>
  <si>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</si>
  <si>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</si>
  <si>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</si>
  <si>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</si>
  <si>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</si>
  <si>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</si>
  <si>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</si>
  <si>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</si>
  <si>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</si>
  <si>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</si>
  <si>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</si>
  <si>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</si>
  <si>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</si>
  <si>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</si>
  <si>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</si>
  <si>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</si>
  <si>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</si>
  <si>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</si>
  <si>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</si>
  <si>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</si>
  <si>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</si>
  <si>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</si>
  <si>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</si>
  <si>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</si>
  <si>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</si>
  <si>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</si>
  <si>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</si>
  <si>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</si>
  <si>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</si>
  <si>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</si>
  <si>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</si>
  <si>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</si>
  <si>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</si>
  <si>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</si>
  <si>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</si>
  <si>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</si>
  <si>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</si>
  <si>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</si>
  <si>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</si>
  <si>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</si>
  <si>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</si>
  <si>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</si>
  <si>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</si>
  <si>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</si>
  <si>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</si>
  <si>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</si>
  <si>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</si>
  <si>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</si>
  <si>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</si>
  <si>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</si>
  <si>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</si>
  <si>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</si>
  <si>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</si>
  <si>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</si>
  <si>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</si>
  <si>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</si>
  <si>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</si>
  <si>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</si>
  <si>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</si>
  <si>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</si>
  <si>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</si>
  <si>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</si>
  <si>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</si>
  <si>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</si>
  <si>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</si>
  <si>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</si>
  <si>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</si>
  <si>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</si>
  <si>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</si>
  <si>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</si>
  <si>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</si>
  <si>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</si>
  <si>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</si>
  <si>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</si>
  <si>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</si>
  <si>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</si>
  <si>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</si>
  <si>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</si>
  <si>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</si>
  <si>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</si>
  <si>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</si>
  <si>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</si>
  <si>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</si>
  <si>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</si>
  <si>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</si>
  <si>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</si>
  <si>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</si>
  <si>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</si>
  <si>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</si>
  <si>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</si>
  <si>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</si>
  <si>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</si>
  <si>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</si>
  <si>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</si>
  <si>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</si>
  <si>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</si>
  <si>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</si>
  <si>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</si>
  <si>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</si>
  <si>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</si>
  <si>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</si>
  <si>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</si>
  <si>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</si>
  <si>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</si>
  <si>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</si>
  <si>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</si>
  <si>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</si>
  <si>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</si>
  <si>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</si>
  <si>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</si>
  <si>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</si>
  <si>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</si>
  <si>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</si>
  <si>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</si>
  <si>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</si>
  <si>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</si>
  <si>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</si>
  <si>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</si>
  <si>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</si>
  <si>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</si>
  <si>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</si>
  <si>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</si>
  <si>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</si>
  <si>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</si>
  <si>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</si>
  <si>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</si>
  <si>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</si>
  <si>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</si>
  <si>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</si>
  <si>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</si>
  <si>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</si>
  <si>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</si>
  <si>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</si>
  <si>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</si>
  <si>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</si>
  <si>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</si>
  <si>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</si>
  <si>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</si>
  <si>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</si>
  <si>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</si>
  <si>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</si>
  <si>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</si>
  <si>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</si>
  <si>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</si>
  <si>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</si>
  <si>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</si>
  <si>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</si>
  <si>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</si>
  <si>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</si>
  <si>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</si>
  <si>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</si>
  <si>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</si>
  <si>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</si>
  <si>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</si>
  <si>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</si>
  <si>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</si>
  <si>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</si>
  <si>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</si>
  <si>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</si>
  <si>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</si>
  <si>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</si>
  <si>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</si>
  <si>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</si>
  <si>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</si>
  <si>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</si>
  <si>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</si>
  <si>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</si>
  <si>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</si>
  <si>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</si>
  <si>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</si>
  <si>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</si>
  <si>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</si>
  <si>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</si>
  <si>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</si>
  <si>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</si>
  <si>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</si>
  <si>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</si>
  <si>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</si>
  <si>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</si>
  <si>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</si>
  <si>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</si>
  <si>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</si>
  <si>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</si>
  <si>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</si>
  <si>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</si>
  <si>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</si>
  <si>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</si>
  <si>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</si>
  <si>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</si>
  <si>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</si>
  <si>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</si>
  <si>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</si>
  <si>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</si>
  <si>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</si>
  <si>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</si>
  <si>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</si>
  <si>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</si>
  <si>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</si>
  <si>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</si>
  <si>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</si>
  <si>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</si>
  <si>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</si>
  <si>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</si>
  <si>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</si>
  <si>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</si>
  <si>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</si>
  <si>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</si>
  <si>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</si>
  <si>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</si>
  <si>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</si>
  <si>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</si>
  <si>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</si>
  <si>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</si>
  <si>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</si>
  <si>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</si>
  <si>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</si>
  <si>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</si>
  <si>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</si>
  <si>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</si>
  <si>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</si>
  <si>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</si>
  <si>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</si>
  <si>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</si>
  <si>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</si>
  <si>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</si>
  <si>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</si>
  <si>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</si>
  <si>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</si>
  <si>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</si>
  <si>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</si>
  <si>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</si>
  <si>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</si>
  <si>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</si>
  <si>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</si>
  <si>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</si>
  <si>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</si>
  <si>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</si>
  <si>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</si>
  <si>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</si>
  <si>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</si>
  <si>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</si>
  <si>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</si>
  <si>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</si>
  <si>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</si>
  <si>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</si>
  <si>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</si>
  <si>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</si>
  <si>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</si>
  <si>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</si>
  <si>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</si>
  <si>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</si>
  <si>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</si>
  <si>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</si>
  <si>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</si>
  <si>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</si>
  <si>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</si>
  <si>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</si>
  <si>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</si>
  <si>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</si>
  <si>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</si>
  <si>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</si>
  <si>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</si>
  <si>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</si>
  <si>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</si>
  <si>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</si>
  <si>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</si>
  <si>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</si>
  <si>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</si>
  <si>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</si>
  <si>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</si>
  <si>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</si>
  <si>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</si>
  <si>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</si>
  <si>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</si>
  <si>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</si>
  <si>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</si>
  <si>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</si>
  <si>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</si>
  <si>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</si>
  <si>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</si>
  <si>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</si>
  <si>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</si>
  <si>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</si>
  <si>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</si>
  <si>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</si>
  <si>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</si>
  <si>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</si>
  <si>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</si>
  <si>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</si>
  <si>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</si>
  <si>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</si>
  <si>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</si>
  <si>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</si>
  <si>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</si>
  <si>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</si>
  <si>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</si>
  <si>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</si>
  <si>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</si>
  <si>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</si>
  <si>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</si>
  <si>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</si>
  <si>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</si>
  <si>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</si>
  <si>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</si>
  <si>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</si>
  <si>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</si>
  <si>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</si>
  <si>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</si>
  <si>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</si>
  <si>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</si>
  <si>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</si>
  <si>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</si>
  <si>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</si>
  <si>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</si>
  <si>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</si>
  <si>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</si>
  <si>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</si>
  <si>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</si>
  <si>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</si>
  <si>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</si>
  <si>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</si>
  <si>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</si>
  <si>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</si>
  <si>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</si>
  <si>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</si>
  <si>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</si>
  <si>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</si>
  <si>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</si>
  <si>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</si>
  <si>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</si>
  <si>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</si>
  <si>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</si>
  <si>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</si>
  <si>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</si>
  <si>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</si>
  <si>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</si>
  <si>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</si>
  <si>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</si>
  <si>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</si>
  <si>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</si>
  <si>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</si>
  <si>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</si>
  <si>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</si>
  <si>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</si>
  <si>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</si>
  <si>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</si>
  <si>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</si>
  <si>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</si>
  <si>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</si>
  <si>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</si>
  <si>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</si>
  <si>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</si>
  <si>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</si>
  <si>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</si>
  <si>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</si>
  <si>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</si>
  <si>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</si>
  <si>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</si>
  <si>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</si>
  <si>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</si>
  <si>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</si>
  <si>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</si>
  <si>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</si>
  <si>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</si>
  <si>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</si>
  <si>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</si>
  <si>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</si>
  <si>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</si>
  <si>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</si>
  <si>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</si>
  <si>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</si>
  <si>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</si>
  <si>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</si>
  <si>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</si>
  <si>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</si>
  <si>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</si>
  <si>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</si>
  <si>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</si>
  <si>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</si>
  <si>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</si>
  <si>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</si>
  <si>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</si>
  <si>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</si>
  <si>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</si>
  <si>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</si>
  <si>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</si>
  <si>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</si>
  <si>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</si>
  <si>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</si>
  <si>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</si>
  <si>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</si>
  <si>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</si>
  <si>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</si>
  <si>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</si>
  <si>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</si>
  <si>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</si>
  <si>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</si>
  <si>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</si>
  <si>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</si>
  <si>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</si>
  <si>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</si>
  <si>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</si>
  <si>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</si>
  <si>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</si>
  <si>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</si>
  <si>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</si>
  <si>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</si>
  <si>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</si>
  <si>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</si>
  <si>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</si>
  <si>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</si>
  <si>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</si>
  <si>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</si>
  <si>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</si>
  <si>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</si>
  <si>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</si>
  <si>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</si>
  <si>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</si>
  <si>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</si>
  <si>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</si>
  <si>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</si>
  <si>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</si>
  <si>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</si>
  <si>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</si>
  <si>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</si>
  <si>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</si>
  <si>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</si>
  <si>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</si>
  <si>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</si>
  <si>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</si>
  <si>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</si>
  <si>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</si>
  <si>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</si>
  <si>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</si>
  <si>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</si>
  <si>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</si>
  <si>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</si>
  <si>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</si>
  <si>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</si>
  <si>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</si>
  <si>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</si>
  <si>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</si>
  <si>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</si>
  <si>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</si>
  <si>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</si>
  <si>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</si>
  <si>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</si>
  <si>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</si>
  <si>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</si>
  <si>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</si>
  <si>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</si>
  <si>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</si>
  <si>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</si>
  <si>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</si>
  <si>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</si>
  <si>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</si>
  <si>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</si>
  <si>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</si>
  <si>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</si>
  <si>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</si>
  <si>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</si>
  <si>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</si>
  <si>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</si>
  <si>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</si>
  <si>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</si>
  <si>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</si>
  <si>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</si>
  <si>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</si>
  <si>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</si>
  <si>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</si>
  <si>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</si>
  <si>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</si>
  <si>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</si>
  <si>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</si>
  <si>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</si>
  <si>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</si>
  <si>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</si>
  <si>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</si>
  <si>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</si>
  <si>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</si>
  <si>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</si>
  <si>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</si>
  <si>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</si>
  <si>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</si>
  <si>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</si>
  <si>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</si>
  <si>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</si>
  <si>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</si>
  <si>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</si>
  <si>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</si>
  <si>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</si>
  <si>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</si>
  <si>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</si>
  <si>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</si>
  <si>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</si>
  <si>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</si>
  <si>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</si>
  <si>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</si>
  <si>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</si>
  <si>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</si>
  <si>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</si>
  <si>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</si>
  <si>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</si>
  <si>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</si>
  <si>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</si>
  <si>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</si>
  <si>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</si>
  <si>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</si>
  <si>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</si>
  <si>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</si>
  <si>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</si>
  <si>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</si>
  <si>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</si>
  <si>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</si>
  <si>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</si>
  <si>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</si>
  <si>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</si>
  <si>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</si>
  <si>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</si>
  <si>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</si>
  <si>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</si>
  <si>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</si>
  <si>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</si>
  <si>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</si>
  <si>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</si>
  <si>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</si>
  <si>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</si>
  <si>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</si>
  <si>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</si>
  <si>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</si>
  <si>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</si>
  <si>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MARION</t>
  </si>
  <si>
    <t>207 N. JOHNSON ST.</t>
  </si>
  <si>
    <t>KELL</t>
  </si>
  <si>
    <t>JOHN CONSOLINO</t>
  </si>
  <si>
    <t>618-822-6234</t>
  </si>
  <si>
    <t>618-822-6733</t>
  </si>
  <si>
    <t>x</t>
  </si>
  <si>
    <t>jconsolino@kellgradeschool.com</t>
  </si>
  <si>
    <t>Life Safety Bonds</t>
  </si>
  <si>
    <t>ED-Support Services-Business-Purchased Service</t>
  </si>
  <si>
    <t>TR-Support Services-Business-Purchased Service</t>
  </si>
  <si>
    <t>US Bank</t>
  </si>
  <si>
    <t>Santander Leasing LLC</t>
  </si>
  <si>
    <t>Southern Illinois School District Coop Buying Program Group</t>
  </si>
  <si>
    <t>Regional Office of Education #13</t>
  </si>
  <si>
    <t>Kaskaskia Special Education District 801</t>
  </si>
  <si>
    <t>Farrington Grade School-Sports</t>
  </si>
  <si>
    <t>Regional Office of Education #13 Job Bank</t>
  </si>
  <si>
    <t>Page 10, Line 107 - Education - Refunds and reimbursements $2,915; Erate $16,185</t>
  </si>
  <si>
    <t xml:space="preserve">                                         Transportation - Field Trip Reimbursement</t>
  </si>
  <si>
    <t>Page 12, Line 168 - State Library Grant (acct 3800)</t>
  </si>
  <si>
    <t>Page 12, Line 180 - REAP Grant</t>
  </si>
  <si>
    <t>Page 18, Line 171 - Bond Fees</t>
  </si>
  <si>
    <t>Page 25, Line 10 - Mobile Home Tax</t>
  </si>
  <si>
    <t>See PDF</t>
  </si>
  <si>
    <t xml:space="preserve">  Kell Cons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</si>
</sst>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571500</xdr:colOff>
          <xdr:row>9</xdr:row>
          <xdr:rowOff>28575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13058002003</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2070</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2095</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2071</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62870</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2072</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2077</v>
      </c>
      <c r="B23" s="2090"/>
      <c r="C23" s="2090"/>
      <c r="D23" s="2090"/>
      <c r="E23" s="2090"/>
      <c r="F23" s="2090"/>
      <c r="G23" s="2090"/>
      <c r="H23" s="2091"/>
      <c r="T23" s="2072" t="s">
        <v>2058</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c r="B25" s="2037"/>
      <c r="C25" s="2037"/>
      <c r="D25" s="2037"/>
      <c r="E25" s="2037"/>
      <c r="F25" s="2037"/>
      <c r="G25" s="2037"/>
      <c r="H25" s="2038"/>
      <c r="I25" s="110"/>
      <c r="J25" s="2061"/>
      <c r="K25" s="2061"/>
      <c r="L25" s="2061"/>
      <c r="M25" s="2061"/>
      <c r="N25" s="2061"/>
      <c r="O25" s="2061"/>
      <c r="P25" s="2061"/>
      <c r="Q25" s="2061"/>
      <c r="R25" s="2061"/>
      <c r="S25" s="2062"/>
      <c r="T25" s="2123" t="s">
        <v>2059</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2073</v>
      </c>
      <c r="B38" s="2073"/>
      <c r="C38" s="2073"/>
      <c r="D38" s="2073"/>
      <c r="E38" s="2073"/>
      <c r="F38" s="2037"/>
      <c r="G38" s="2037"/>
      <c r="H38" s="2038"/>
      <c r="I38" s="2065"/>
      <c r="J38" s="2066"/>
      <c r="K38" s="2066"/>
      <c r="L38" s="2066"/>
      <c r="M38" s="2066"/>
      <c r="N38" s="2066"/>
      <c r="O38" s="2066"/>
      <c r="P38" s="2067"/>
      <c r="Q38" s="2067"/>
      <c r="R38" s="2067"/>
      <c r="S38" s="2068"/>
      <c r="T38" s="2109" t="s">
        <v>2060</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2077</v>
      </c>
      <c r="B40" s="2051"/>
      <c r="C40" s="2052"/>
      <c r="D40" s="2052"/>
      <c r="E40" s="2052"/>
      <c r="F40" s="2053"/>
      <c r="G40" s="2053"/>
      <c r="H40" s="2054"/>
      <c r="I40" s="2075"/>
      <c r="J40" s="2076"/>
      <c r="K40" s="2076"/>
      <c r="L40" s="2076"/>
      <c r="M40" s="2076"/>
      <c r="N40" s="2076"/>
      <c r="O40" s="2076"/>
      <c r="P40" s="2076"/>
      <c r="Q40" s="2076"/>
      <c r="R40" s="2076"/>
      <c r="S40" s="2077"/>
      <c r="T40" s="2075" t="s">
        <v>2061</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2074</v>
      </c>
      <c r="B42" s="2056"/>
      <c r="C42" s="2057"/>
      <c r="D42" s="2055" t="s">
        <v>2075</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1" sqref="A4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165468</v>
      </c>
      <c r="C4" s="1721"/>
      <c r="D4" s="1722">
        <f>B4-C4</f>
        <v>165468</v>
      </c>
      <c r="E4" s="1721">
        <v>173587</v>
      </c>
      <c r="F4" s="1722">
        <f>E4-C4</f>
        <v>173587</v>
      </c>
    </row>
    <row r="5" spans="1:8" ht="13.7" customHeight="1" x14ac:dyDescent="0.2">
      <c r="A5" s="579" t="s">
        <v>865</v>
      </c>
      <c r="B5" s="1723">
        <f>'Revenues 9-14'!D5</f>
        <v>18688</v>
      </c>
      <c r="C5" s="1663"/>
      <c r="D5" s="1724">
        <f t="shared" ref="D5:D18" si="0">B5-C5</f>
        <v>18688</v>
      </c>
      <c r="E5" s="1663">
        <v>58573</v>
      </c>
      <c r="F5" s="1724">
        <f>E5-C5</f>
        <v>58573</v>
      </c>
    </row>
    <row r="6" spans="1:8" ht="13.7" customHeight="1" x14ac:dyDescent="0.2">
      <c r="A6" s="579" t="s">
        <v>408</v>
      </c>
      <c r="B6" s="1723">
        <f>'Revenues 9-14'!E5</f>
        <v>28236</v>
      </c>
      <c r="C6" s="1663"/>
      <c r="D6" s="1724">
        <f t="shared" si="0"/>
        <v>28236</v>
      </c>
      <c r="E6" s="1663">
        <v>28987</v>
      </c>
      <c r="F6" s="1724">
        <f t="shared" ref="F6:F18" si="1">E6-C6</f>
        <v>28987</v>
      </c>
    </row>
    <row r="7" spans="1:8" ht="13.7" customHeight="1" x14ac:dyDescent="0.2">
      <c r="A7" s="579" t="s">
        <v>154</v>
      </c>
      <c r="B7" s="1723">
        <f>'Revenues 9-14'!F5</f>
        <v>10686</v>
      </c>
      <c r="C7" s="1663"/>
      <c r="D7" s="1724">
        <f t="shared" si="0"/>
        <v>10686</v>
      </c>
      <c r="E7" s="1663">
        <v>10899</v>
      </c>
      <c r="F7" s="1724">
        <f t="shared" si="1"/>
        <v>10899</v>
      </c>
    </row>
    <row r="8" spans="1:8" ht="13.7" customHeight="1" x14ac:dyDescent="0.2">
      <c r="A8" s="579" t="s">
        <v>1169</v>
      </c>
      <c r="B8" s="1723">
        <f>'Revenues 9-14'!G5</f>
        <v>9394</v>
      </c>
      <c r="C8" s="1663"/>
      <c r="D8" s="1724">
        <f t="shared" si="0"/>
        <v>9394</v>
      </c>
      <c r="E8" s="1663">
        <v>9582</v>
      </c>
      <c r="F8" s="1724">
        <f t="shared" si="1"/>
        <v>9582</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2983</v>
      </c>
      <c r="C10" s="1663"/>
      <c r="D10" s="1724">
        <f t="shared" si="0"/>
        <v>2983</v>
      </c>
      <c r="E10" s="1663">
        <v>3042</v>
      </c>
      <c r="F10" s="1724">
        <f t="shared" si="1"/>
        <v>3042</v>
      </c>
    </row>
    <row r="11" spans="1:8" x14ac:dyDescent="0.2">
      <c r="A11" s="579" t="s">
        <v>406</v>
      </c>
      <c r="B11" s="1723">
        <f>'Revenues 9-14'!J5</f>
        <v>62126</v>
      </c>
      <c r="C11" s="1663"/>
      <c r="D11" s="1724">
        <f t="shared" si="0"/>
        <v>62126</v>
      </c>
      <c r="E11" s="1663">
        <v>20144</v>
      </c>
      <c r="F11" s="1724">
        <f t="shared" si="1"/>
        <v>20144</v>
      </c>
    </row>
    <row r="12" spans="1:8" ht="13.7" customHeight="1" x14ac:dyDescent="0.2">
      <c r="A12" s="579" t="s">
        <v>156</v>
      </c>
      <c r="B12" s="1723">
        <f>'Revenues 9-14'!K5</f>
        <v>4722</v>
      </c>
      <c r="C12" s="1663"/>
      <c r="D12" s="1724">
        <f t="shared" si="0"/>
        <v>4722</v>
      </c>
      <c r="E12" s="1663">
        <v>4816</v>
      </c>
      <c r="F12" s="1724">
        <f t="shared" si="1"/>
        <v>4816</v>
      </c>
    </row>
    <row r="13" spans="1:8" ht="13.7" customHeight="1" x14ac:dyDescent="0.2">
      <c r="A13" s="579" t="s">
        <v>930</v>
      </c>
      <c r="B13" s="1723">
        <f>SUM('Revenues 9-14'!C6:D6)</f>
        <v>3728</v>
      </c>
      <c r="C13" s="1663"/>
      <c r="D13" s="1724">
        <f t="shared" si="0"/>
        <v>3728</v>
      </c>
      <c r="E13" s="1663">
        <v>3802</v>
      </c>
      <c r="F13" s="1724">
        <f t="shared" si="1"/>
        <v>3802</v>
      </c>
    </row>
    <row r="14" spans="1:8" ht="13.7" customHeight="1" x14ac:dyDescent="0.2">
      <c r="A14" s="579" t="s">
        <v>407</v>
      </c>
      <c r="B14" s="1723">
        <f>SUM('Revenues 9-14'!C7:D7,'Revenues 9-14'!F7:H7)</f>
        <v>1442</v>
      </c>
      <c r="C14" s="1663"/>
      <c r="D14" s="1724">
        <f t="shared" si="0"/>
        <v>1442</v>
      </c>
      <c r="E14" s="1663">
        <v>1471</v>
      </c>
      <c r="F14" s="1724">
        <f t="shared" si="1"/>
        <v>1471</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13495</v>
      </c>
      <c r="C16" s="1663"/>
      <c r="D16" s="1724">
        <f t="shared" si="0"/>
        <v>13495</v>
      </c>
      <c r="E16" s="1663">
        <v>13764</v>
      </c>
      <c r="F16" s="1724">
        <f t="shared" si="1"/>
        <v>13764</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320968</v>
      </c>
      <c r="C19" s="1725">
        <f>SUM(C4:C18)</f>
        <v>0</v>
      </c>
      <c r="D19" s="1725">
        <f>SUM(D4:D18)</f>
        <v>320968</v>
      </c>
      <c r="E19" s="1725">
        <f>SUM(E4:E18)</f>
        <v>328667</v>
      </c>
      <c r="F19" s="1725">
        <f>SUM(F4:F18)</f>
        <v>328667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A41" sqref="A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2078</v>
      </c>
      <c r="B32" s="595">
        <v>43530</v>
      </c>
      <c r="C32" s="1733">
        <v>250000</v>
      </c>
      <c r="D32" s="1734">
        <v>4</v>
      </c>
      <c r="E32" s="1733">
        <v>250000</v>
      </c>
      <c r="F32" s="1733"/>
      <c r="G32" s="1733"/>
      <c r="H32" s="1733">
        <v>19000</v>
      </c>
      <c r="I32" s="1735">
        <f>((E32+F32)-H32)+G32</f>
        <v>231000</v>
      </c>
      <c r="J32" s="1733">
        <v>223444</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250000</v>
      </c>
      <c r="D49" s="1741"/>
      <c r="E49" s="1735">
        <f t="shared" ref="E49:J49" si="2">SUM(E31:E48)</f>
        <v>250000</v>
      </c>
      <c r="F49" s="1735">
        <f t="shared" si="2"/>
        <v>0</v>
      </c>
      <c r="G49" s="1735">
        <f t="shared" si="2"/>
        <v>0</v>
      </c>
      <c r="H49" s="1735">
        <f t="shared" si="2"/>
        <v>19000</v>
      </c>
      <c r="I49" s="1735">
        <f t="shared" si="2"/>
        <v>231000</v>
      </c>
      <c r="J49" s="1735">
        <f t="shared" si="2"/>
        <v>223444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1" sqref="A4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0</v>
      </c>
      <c r="K3" s="1744">
        <v>0</v>
      </c>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1442</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1790</v>
      </c>
      <c r="B10" s="2322"/>
      <c r="C10" s="2322"/>
      <c r="D10" s="2322"/>
      <c r="E10" s="2324"/>
      <c r="F10" s="633" t="s">
        <v>857</v>
      </c>
      <c r="G10" s="1752"/>
      <c r="H10" s="1753">
        <v>14</v>
      </c>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1456</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1456</v>
      </c>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1786</v>
      </c>
      <c r="B19" s="2330"/>
      <c r="C19" s="2330"/>
      <c r="D19" s="2330"/>
      <c r="E19" s="2331"/>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1792</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1456</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1" sqref="A4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9832</v>
      </c>
      <c r="D5" s="1769">
        <v>13482</v>
      </c>
      <c r="E5" s="1769"/>
      <c r="F5" s="1764">
        <f>(C5+D5)-E5</f>
        <v>23314</v>
      </c>
      <c r="G5" s="676"/>
      <c r="H5" s="680"/>
      <c r="I5" s="680"/>
      <c r="J5" s="680"/>
      <c r="K5" s="637"/>
      <c r="L5" s="1441">
        <f>F5-K5</f>
        <v>23314</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1112928</v>
      </c>
      <c r="D8" s="1770">
        <v>131982</v>
      </c>
      <c r="E8" s="1770"/>
      <c r="F8" s="1764">
        <f>(C8+D8)-E8</f>
        <v>1244910</v>
      </c>
      <c r="G8" s="681">
        <v>50</v>
      </c>
      <c r="H8" s="619">
        <v>683493</v>
      </c>
      <c r="I8" s="619">
        <v>24610</v>
      </c>
      <c r="J8" s="619"/>
      <c r="K8" s="1441">
        <f>(H8+I8)-J8</f>
        <v>708103</v>
      </c>
      <c r="L8" s="1441">
        <f>F8-K8</f>
        <v>536807</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20470</v>
      </c>
      <c r="D10" s="1771"/>
      <c r="E10" s="1771"/>
      <c r="F10" s="1772">
        <f>(C10+D10)-E10</f>
        <v>20470</v>
      </c>
      <c r="G10" s="681">
        <v>20</v>
      </c>
      <c r="H10" s="683">
        <v>18815</v>
      </c>
      <c r="I10" s="683">
        <v>525</v>
      </c>
      <c r="J10" s="683"/>
      <c r="K10" s="1441">
        <f>(H10+I10)-J10</f>
        <v>19340</v>
      </c>
      <c r="L10" s="1441">
        <f>F10-K10</f>
        <v>1130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589731</v>
      </c>
      <c r="D12" s="1770">
        <v>9101</v>
      </c>
      <c r="E12" s="1770">
        <v>11500</v>
      </c>
      <c r="F12" s="1764">
        <f>(C12+D12)-E12</f>
        <v>587332</v>
      </c>
      <c r="G12" s="681">
        <v>10</v>
      </c>
      <c r="H12" s="619">
        <v>395047</v>
      </c>
      <c r="I12" s="619">
        <v>28380</v>
      </c>
      <c r="J12" s="619">
        <v>11500</v>
      </c>
      <c r="K12" s="1441">
        <f>(H12+I12)-J12</f>
        <v>411927</v>
      </c>
      <c r="L12" s="1441">
        <f>F12-K12</f>
        <v>175405</v>
      </c>
    </row>
    <row r="13" spans="1:14" ht="14.25" thickTop="1" thickBot="1" x14ac:dyDescent="0.25">
      <c r="A13" s="684" t="s">
        <v>1112</v>
      </c>
      <c r="B13" s="679">
        <v>252</v>
      </c>
      <c r="C13" s="1770">
        <v>24646</v>
      </c>
      <c r="D13" s="1770"/>
      <c r="E13" s="1770"/>
      <c r="F13" s="1764">
        <f>(C13+D13)-E13</f>
        <v>24646</v>
      </c>
      <c r="G13" s="681">
        <v>5</v>
      </c>
      <c r="H13" s="619">
        <v>9185</v>
      </c>
      <c r="I13" s="619">
        <v>3769</v>
      </c>
      <c r="J13" s="619"/>
      <c r="K13" s="1441">
        <f>(H13+I13)-J13</f>
        <v>12954</v>
      </c>
      <c r="L13" s="1441">
        <f>F13-K13</f>
        <v>11692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v>9291</v>
      </c>
      <c r="E15" s="1770"/>
      <c r="F15" s="1764">
        <f>(C15+D15)-E15</f>
        <v>9291</v>
      </c>
      <c r="G15" s="685" t="s">
        <v>857</v>
      </c>
      <c r="H15" s="632"/>
      <c r="I15" s="632"/>
      <c r="J15" s="632"/>
      <c r="K15" s="632"/>
      <c r="L15" s="1441">
        <f>F15-K15</f>
        <v>9291</v>
      </c>
    </row>
    <row r="16" spans="1:14" ht="15" customHeight="1" thickTop="1" thickBot="1" x14ac:dyDescent="0.25">
      <c r="A16" s="1437" t="s">
        <v>638</v>
      </c>
      <c r="B16" s="1438">
        <v>200</v>
      </c>
      <c r="C16" s="1764">
        <f>SUM(C3,C5:C6,C8:C10,C12:C15)</f>
        <v>1757607</v>
      </c>
      <c r="D16" s="1764">
        <f>SUM(D3,D5:D6,D8:D10,D12:D15)</f>
        <v>163856</v>
      </c>
      <c r="E16" s="1764">
        <f>SUM(E3,E5:E6,E8:E10,E12:E15)</f>
        <v>11500</v>
      </c>
      <c r="F16" s="1764">
        <f>SUM(F3,F5:F6,F8:F10,F12:F15)</f>
        <v>1909963</v>
      </c>
      <c r="G16" s="681"/>
      <c r="H16" s="1434">
        <f>SUM(H3,H6,H8:H10,H12:H14,)</f>
        <v>1106540</v>
      </c>
      <c r="I16" s="1434">
        <f>SUM(I3,I6,I8:I10,I12:I14,)</f>
        <v>57284</v>
      </c>
      <c r="J16" s="1434">
        <f>SUM(J3,J6,J8:J10,J12:J14,)</f>
        <v>11500</v>
      </c>
      <c r="K16" s="1434">
        <f>(H16+I16)-J16</f>
        <v>1152324</v>
      </c>
      <c r="L16" s="1434">
        <f>F16-K16</f>
        <v>757639</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57284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A41" sqref="A4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733113</v>
      </c>
      <c r="G8" s="701"/>
    </row>
    <row r="9" spans="1:9" x14ac:dyDescent="0.2">
      <c r="A9" s="705" t="s">
        <v>457</v>
      </c>
      <c r="B9" s="706" t="s">
        <v>1848</v>
      </c>
      <c r="C9" s="707"/>
      <c r="D9" s="705" t="s">
        <v>498</v>
      </c>
      <c r="E9" s="704"/>
      <c r="F9" s="1774">
        <f>'Expenditures 15-22'!K151</f>
        <v>60321</v>
      </c>
      <c r="G9" s="708"/>
    </row>
    <row r="10" spans="1:9" x14ac:dyDescent="0.2">
      <c r="A10" s="705" t="s">
        <v>496</v>
      </c>
      <c r="B10" s="706" t="s">
        <v>1849</v>
      </c>
      <c r="C10" s="707"/>
      <c r="D10" s="705" t="s">
        <v>498</v>
      </c>
      <c r="E10" s="704"/>
      <c r="F10" s="1774">
        <f>'Expenditures 15-22'!K174</f>
        <v>28479</v>
      </c>
      <c r="G10" s="708"/>
    </row>
    <row r="11" spans="1:9" x14ac:dyDescent="0.2">
      <c r="A11" s="705" t="s">
        <v>458</v>
      </c>
      <c r="B11" s="706" t="s">
        <v>1850</v>
      </c>
      <c r="C11" s="707"/>
      <c r="D11" s="705" t="s">
        <v>498</v>
      </c>
      <c r="E11" s="704"/>
      <c r="F11" s="1774">
        <f>'Expenditures 15-22'!K210</f>
        <v>73624</v>
      </c>
      <c r="G11" s="708"/>
    </row>
    <row r="12" spans="1:9" x14ac:dyDescent="0.2">
      <c r="A12" s="705" t="s">
        <v>459</v>
      </c>
      <c r="B12" s="706" t="s">
        <v>1851</v>
      </c>
      <c r="C12" s="707"/>
      <c r="D12" s="705" t="s">
        <v>498</v>
      </c>
      <c r="E12" s="704"/>
      <c r="F12" s="1774">
        <f>'Expenditures 15-22'!K295</f>
        <v>43412</v>
      </c>
      <c r="G12" s="708"/>
    </row>
    <row r="13" spans="1:9" x14ac:dyDescent="0.2">
      <c r="A13" s="705" t="s">
        <v>106</v>
      </c>
      <c r="B13" s="706" t="s">
        <v>1852</v>
      </c>
      <c r="C13" s="707"/>
      <c r="D13" s="705" t="s">
        <v>498</v>
      </c>
      <c r="E13" s="704"/>
      <c r="F13" s="1774">
        <f>'Expenditures 15-22'!K342</f>
        <v>47029</v>
      </c>
      <c r="G13" s="709"/>
    </row>
    <row r="14" spans="1:9" ht="12" customHeight="1" thickBot="1" x14ac:dyDescent="0.25">
      <c r="A14" s="1442"/>
      <c r="B14" s="1443"/>
      <c r="C14" s="1444"/>
      <c r="D14" s="1445" t="s">
        <v>498</v>
      </c>
      <c r="E14" s="1446" t="s">
        <v>952</v>
      </c>
      <c r="F14" s="1775">
        <f>SUM(F8:F13)</f>
        <v>985978</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24464</v>
      </c>
      <c r="G53" s="701"/>
    </row>
    <row r="54" spans="1:7" x14ac:dyDescent="0.2">
      <c r="A54" s="705" t="s">
        <v>456</v>
      </c>
      <c r="B54" s="705" t="s">
        <v>1459</v>
      </c>
      <c r="C54" s="724" t="s">
        <v>975</v>
      </c>
      <c r="D54" s="720" t="s">
        <v>1086</v>
      </c>
      <c r="E54" s="704"/>
      <c r="F54" s="1781">
        <f>'Expenditures 15-22'!G114</f>
        <v>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31873</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19000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75337</v>
      </c>
      <c r="G77" s="701"/>
    </row>
    <row r="78" spans="1:9" s="728" customFormat="1" ht="12" customHeight="1" thickTop="1" thickBot="1" x14ac:dyDescent="0.25">
      <c r="A78" s="1449"/>
      <c r="B78" s="1447"/>
      <c r="C78" s="1444"/>
      <c r="D78" s="1448" t="s">
        <v>2012</v>
      </c>
      <c r="E78" s="1446"/>
      <c r="F78" s="1787">
        <f>(F14-F77)</f>
        <v>910641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100.3</v>
      </c>
      <c r="G79" s="733"/>
      <c r="H79" s="705"/>
      <c r="I79" s="705"/>
    </row>
    <row r="80" spans="1:9" s="728" customFormat="1" ht="12" customHeight="1" thickBot="1" x14ac:dyDescent="0.25">
      <c r="A80" s="1451"/>
      <c r="B80" s="1447"/>
      <c r="C80" s="1444"/>
      <c r="D80" s="1448" t="s">
        <v>2013</v>
      </c>
      <c r="E80" s="1446" t="s">
        <v>952</v>
      </c>
      <c r="F80" s="1789">
        <f>IF(F79&gt;0,F78/F79," Complete Line 79")</f>
        <v>9079.1724825523434</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441</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1619</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622</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63574</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3888</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52619</v>
      </c>
      <c r="G126" s="763"/>
    </row>
    <row r="127" spans="1:7" x14ac:dyDescent="0.2">
      <c r="A127" s="760" t="s">
        <v>663</v>
      </c>
      <c r="B127" s="760" t="s">
        <v>1931</v>
      </c>
      <c r="C127" s="765">
        <v>4300</v>
      </c>
      <c r="D127" s="766" t="str">
        <f>'Revenues 9-14'!A204</f>
        <v>Total Title I</v>
      </c>
      <c r="E127" s="739"/>
      <c r="F127" s="1792">
        <f>SUM('Revenues 9-14'!C204,'Revenues 9-14'!D204,'Revenues 9-14'!F204,'Revenues 9-14'!G204)</f>
        <v>32839</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1692</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1567</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1166</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3578</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34282</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249387</v>
      </c>
    </row>
    <row r="176" spans="1:7" ht="12" customHeight="1" x14ac:dyDescent="0.2">
      <c r="A176" s="1442"/>
      <c r="B176" s="1452"/>
      <c r="C176" s="1453"/>
      <c r="D176" s="1454" t="s">
        <v>2014</v>
      </c>
      <c r="E176" s="1455"/>
      <c r="F176" s="1792">
        <f>'PCTC-OEPP 27-28'!F78-F175</f>
        <v>661254</v>
      </c>
    </row>
    <row r="177" spans="1:9" ht="12" customHeight="1" x14ac:dyDescent="0.2">
      <c r="A177" s="1442"/>
      <c r="B177" s="1452"/>
      <c r="C177" s="1453"/>
      <c r="D177" s="1454" t="s">
        <v>1794</v>
      </c>
      <c r="E177" s="1455"/>
      <c r="F177" s="1792">
        <f>'Cap Outlay Deprec 26'!I18</f>
        <v>57284</v>
      </c>
    </row>
    <row r="178" spans="1:9" ht="12" customHeight="1" x14ac:dyDescent="0.2">
      <c r="A178" s="1442"/>
      <c r="B178" s="1452"/>
      <c r="C178" s="1453"/>
      <c r="D178" s="1454" t="s">
        <v>2015</v>
      </c>
      <c r="E178" s="1455"/>
      <c r="F178" s="1792">
        <f>F176+F177</f>
        <v>718538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100.3</v>
      </c>
      <c r="G179" s="763"/>
      <c r="I179" s="701"/>
    </row>
    <row r="180" spans="1:9" ht="12" customHeight="1" thickBot="1" x14ac:dyDescent="0.25">
      <c r="A180" s="1442"/>
      <c r="B180" s="1456"/>
      <c r="C180" s="1453"/>
      <c r="D180" s="1454" t="s">
        <v>2017</v>
      </c>
      <c r="E180" s="1455" t="s">
        <v>1528</v>
      </c>
      <c r="F180" s="1797">
        <f>F178/F179</f>
        <v>7163.8883349950156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2079</v>
      </c>
      <c r="B18" s="1906">
        <v>102570300</v>
      </c>
      <c r="C18" s="2035" t="s">
        <v>2081</v>
      </c>
      <c r="D18" s="1884">
        <v>3930</v>
      </c>
      <c r="E18" s="1904">
        <f t="shared" ref="E18:E33" si="0">IF(D18&lt;25000,D18,"25,000")</f>
        <v>3930</v>
      </c>
      <c r="F18" s="1904" t="str">
        <f t="shared" ref="F18:F33" si="1">IF(D18&gt;=25000,(D18-E18),"0")</f>
        <v>0</v>
      </c>
      <c r="G18" s="1885"/>
    </row>
    <row r="19" spans="1:7" x14ac:dyDescent="0.25">
      <c r="A19" s="2034" t="s">
        <v>2080</v>
      </c>
      <c r="B19" s="1906">
        <v>402550300</v>
      </c>
      <c r="C19" s="2035" t="s">
        <v>2082</v>
      </c>
      <c r="D19" s="1884">
        <v>21434</v>
      </c>
      <c r="E19" s="1904">
        <f t="shared" si="0"/>
        <v>21434</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25364</v>
      </c>
      <c r="E36" s="1891">
        <f>SUM(E18:E35)</f>
        <v>25364</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1" sqref="A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25946</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5002</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524835</v>
      </c>
      <c r="F19" s="1801"/>
      <c r="G19" s="1803">
        <f>'Expenditures 15-22'!K33-SUM('Expenditures 15-22'!G33,'Expenditures 15-22'!I33)+'Expenditures 15-22'!D229</f>
        <v>524835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616</v>
      </c>
      <c r="F21" s="1804"/>
      <c r="G21" s="1807">
        <f>'Expenditures 15-22'!K42-SUM('Expenditures 15-22'!G42,'Expenditures 15-22'!I42)+'Expenditures 15-22'!K120-SUM('Expenditures 15-22'!G120,'Expenditures 15-22'!I120)+'Expenditures 15-22'!K180-SUM('Expenditures 15-22'!G180,'Expenditures 15-22'!I180)+'Expenditures 15-22'!D238</f>
        <v>616</v>
      </c>
      <c r="H21" s="817"/>
      <c r="I21" s="157"/>
    </row>
    <row r="22" spans="1:9" s="542" customFormat="1" ht="12" customHeight="1" x14ac:dyDescent="0.2">
      <c r="A22" s="824" t="s">
        <v>560</v>
      </c>
      <c r="B22" s="825"/>
      <c r="C22" s="823">
        <v>2200</v>
      </c>
      <c r="D22" s="1804"/>
      <c r="E22" s="1806">
        <f>'Expenditures 15-22'!K47-SUM('Expenditures 15-22'!G47,'Expenditures 15-22'!I47)+'Expenditures 15-22'!D243</f>
        <v>23906</v>
      </c>
      <c r="F22" s="1804"/>
      <c r="G22" s="1807">
        <f>'Expenditures 15-22'!K47-SUM('Expenditures 15-22'!G47,'Expenditures 15-22'!I47)+'Expenditures 15-22'!D243</f>
        <v>23906</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72938</v>
      </c>
      <c r="F23" s="1804"/>
      <c r="G23" s="1806">
        <f>'Expenditures 15-22'!K53-SUM('Expenditures 15-22'!G53,'Expenditures 15-22'!I53)+'Expenditures 15-22'!D257+'Expenditures 15-22'!K330-SUM('Expenditures 15-22'!G330,'Expenditures 15-22'!I330)</f>
        <v>72938</v>
      </c>
      <c r="H23" s="817"/>
      <c r="I23" s="157"/>
    </row>
    <row r="24" spans="1:9" s="542" customFormat="1" ht="12" customHeight="1" x14ac:dyDescent="0.2">
      <c r="A24" s="824" t="s">
        <v>562</v>
      </c>
      <c r="B24" s="825"/>
      <c r="C24" s="823">
        <v>2400</v>
      </c>
      <c r="D24" s="1804"/>
      <c r="E24" s="1806">
        <f>'Expenditures 15-22'!K57-SUM('Expenditures 15-22'!G57,'Expenditures 15-22'!I57)+'Expenditures 15-22'!D261</f>
        <v>38190</v>
      </c>
      <c r="F24" s="1804"/>
      <c r="G24" s="1807">
        <f>'Expenditures 15-22'!K57-SUM('Expenditures 15-22'!G57,'Expenditures 15-22'!I57)+'Expenditures 15-22'!D261</f>
        <v>38190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30298</v>
      </c>
      <c r="E27" s="1806">
        <f>E8</f>
        <v>0</v>
      </c>
      <c r="F27" s="1806">
        <f>'Expenditures 15-22'!K60-SUM('Expenditures 15-22'!G60,'Expenditures 15-22'!I60)+'Expenditures 15-22'!D264-E8</f>
        <v>30298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61164</v>
      </c>
      <c r="F28" s="1808">
        <f>'Expenditures 15-22'!K61-SUM('Expenditures 15-22'!G61,'Expenditures 15-22'!I61)+'Expenditures 15-22'!K124-SUM('Expenditures 15-22'!G124,'Expenditures 15-22'!I124)+'Expenditures 15-22'!D266-E9</f>
        <v>61164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77173</v>
      </c>
      <c r="F29" s="1804"/>
      <c r="G29" s="1807">
        <f>'Expenditures 15-22'!K62-SUM('Expenditures 15-22'!G62,'Expenditures 15-22'!I62)+'Expenditures 15-22'!K125-SUM('Expenditures 15-22'!G125,'Expenditures 15-22'!I125)+'Expenditures 15-22'!K182-SUM('Expenditures 15-22'!G182,'Expenditures 15-22'!I182)+'Expenditures 15-22'!D267</f>
        <v>77173</v>
      </c>
      <c r="H29" s="815"/>
    </row>
    <row r="30" spans="1:9" ht="12" customHeight="1" x14ac:dyDescent="0.2">
      <c r="A30" s="824" t="s">
        <v>100</v>
      </c>
      <c r="B30" s="827"/>
      <c r="C30" s="823">
        <v>2560</v>
      </c>
      <c r="D30" s="1804"/>
      <c r="E30" s="1806">
        <f>'Expenditures 15-22'!K63-SUM('Expenditures 15-22'!G63,'Expenditures 15-22'!I63)+'Expenditures 15-22'!D268-E10</f>
        <v>39875</v>
      </c>
      <c r="F30" s="1804"/>
      <c r="G30" s="1806">
        <f>'Expenditures 15-22'!K63-SUM('Expenditures 15-22'!G63,'Expenditures 15-22'!I63)+'Expenditures 15-22'!D268-E10</f>
        <v>39875</v>
      </c>
    </row>
    <row r="31" spans="1:9" ht="12" customHeight="1" x14ac:dyDescent="0.2">
      <c r="A31" s="824" t="s">
        <v>101</v>
      </c>
      <c r="B31" s="827"/>
      <c r="C31" s="823">
        <v>2570</v>
      </c>
      <c r="D31" s="1806">
        <f>'Expenditures 15-22'!K64-SUM('Expenditures 15-22'!G64,'Expenditures 15-22'!I64)+'Expenditures 15-22'!D269-E12</f>
        <v>6221</v>
      </c>
      <c r="E31" s="1806">
        <f>E12</f>
        <v>0</v>
      </c>
      <c r="F31" s="1806">
        <f>'Expenditures 15-22'!K64-SUM('Expenditures 15-22'!G64,'Expenditures 15-22'!I64)+'Expenditures 15-22'!D269-E12</f>
        <v>6221</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36519</v>
      </c>
      <c r="E41" s="1808">
        <f>SUM(E19:E40)</f>
        <v>838697</v>
      </c>
      <c r="F41" s="1808">
        <f>SUM(F19:F39)</f>
        <v>97683</v>
      </c>
      <c r="G41" s="1808">
        <f>SUM(G19:G40)</f>
        <v>777533</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36519</v>
      </c>
      <c r="F43" s="1457" t="s">
        <v>470</v>
      </c>
      <c r="G43" s="1809">
        <f>F41</f>
        <v>97683</v>
      </c>
    </row>
    <row r="44" spans="1:7" ht="12" customHeight="1" x14ac:dyDescent="0.2">
      <c r="A44" s="817"/>
      <c r="B44" s="157"/>
      <c r="C44" s="831"/>
      <c r="D44" s="1457" t="s">
        <v>471</v>
      </c>
      <c r="E44" s="1809">
        <f>E41</f>
        <v>838697</v>
      </c>
      <c r="F44" s="1457" t="s">
        <v>471</v>
      </c>
      <c r="G44" s="1809">
        <f>G41</f>
        <v>777533</v>
      </c>
    </row>
    <row r="45" spans="1:7" ht="12" customHeight="1" x14ac:dyDescent="0.2">
      <c r="A45" s="817"/>
      <c r="B45" s="157"/>
      <c r="C45" s="157"/>
      <c r="D45" s="1458" t="s">
        <v>999</v>
      </c>
      <c r="E45" s="1810">
        <f>(E43/E44)</f>
        <v>4.3542542777665831E-2</v>
      </c>
      <c r="F45" s="1458" t="s">
        <v>999</v>
      </c>
      <c r="G45" s="1810">
        <f>(G43/G44)</f>
        <v>0.12563196674610597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1" sqref="A41:F4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 xml:space="preserve">  Kell Cons SD 2</v>
      </c>
      <c r="D6" s="2414"/>
      <c r="E6" s="2414"/>
      <c r="F6" s="1481"/>
      <c r="G6" s="1506"/>
      <c r="L6" s="1506"/>
      <c r="M6" s="1854"/>
      <c r="N6" s="1854"/>
      <c r="O6" s="1854"/>
    </row>
    <row r="7" spans="1:15" ht="11.25" customHeight="1" thickBot="1" x14ac:dyDescent="0.3">
      <c r="A7" s="1479"/>
      <c r="B7" s="1480"/>
      <c r="C7" s="2415">
        <f>COVER!A13</f>
        <v>13058002003</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2076</v>
      </c>
      <c r="D16" s="1494" t="s">
        <v>2076</v>
      </c>
      <c r="E16" s="1497" t="s">
        <v>2076</v>
      </c>
      <c r="F16" s="1496" t="s">
        <v>2083</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t="s">
        <v>2076</v>
      </c>
      <c r="D23" s="1494" t="s">
        <v>2076</v>
      </c>
      <c r="E23" s="1497" t="s">
        <v>2076</v>
      </c>
      <c r="F23" s="1496" t="s">
        <v>2087</v>
      </c>
      <c r="G23" s="1506"/>
      <c r="H23" s="1506">
        <f t="shared" si="0"/>
        <v>5</v>
      </c>
      <c r="I23" s="1506">
        <f t="shared" si="1"/>
        <v>5</v>
      </c>
      <c r="J23" s="1506">
        <f t="shared" si="2"/>
        <v>5</v>
      </c>
      <c r="L23" s="1506"/>
      <c r="M23" s="1854"/>
      <c r="N23" s="1854"/>
      <c r="O23" s="1854"/>
    </row>
    <row r="24" spans="1:15" ht="12" customHeight="1" x14ac:dyDescent="0.2">
      <c r="A24" s="1492" t="s">
        <v>1515</v>
      </c>
      <c r="B24" s="1493"/>
      <c r="C24" s="1494" t="s">
        <v>2076</v>
      </c>
      <c r="D24" s="1494" t="s">
        <v>2076</v>
      </c>
      <c r="E24" s="1497" t="s">
        <v>2076</v>
      </c>
      <c r="F24" s="1496" t="s">
        <v>2084</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2076</v>
      </c>
      <c r="D26" s="1494" t="s">
        <v>2076</v>
      </c>
      <c r="E26" s="1497" t="s">
        <v>2076</v>
      </c>
      <c r="F26" s="1496" t="s">
        <v>2085</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t="s">
        <v>2076</v>
      </c>
      <c r="D33" s="1494" t="s">
        <v>2076</v>
      </c>
      <c r="E33" s="1497" t="s">
        <v>2076</v>
      </c>
      <c r="F33" s="1496" t="s">
        <v>2086</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A41" sqref="A41"/>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6" t="str">
        <f>COVER!A17</f>
        <v xml:space="preserve">  Kell Cons SD 2</v>
      </c>
      <c r="K6" s="2436"/>
      <c r="L6" s="2450"/>
      <c r="M6" s="838"/>
      <c r="N6" s="1996"/>
    </row>
    <row r="7" spans="1:14" x14ac:dyDescent="0.2">
      <c r="A7" s="2451" t="s">
        <v>864</v>
      </c>
      <c r="B7" s="2452"/>
      <c r="C7" s="2452"/>
      <c r="D7" s="2452"/>
      <c r="E7" s="2453"/>
      <c r="F7" s="839"/>
      <c r="G7" s="838"/>
      <c r="H7" s="838"/>
      <c r="I7" s="1922" t="s">
        <v>369</v>
      </c>
      <c r="J7" s="2438">
        <f>COVER!A13</f>
        <v>13058002003</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15715</v>
      </c>
      <c r="F12" s="1940"/>
      <c r="G12" s="1966">
        <f>G68</f>
        <v>0</v>
      </c>
      <c r="H12" s="1942">
        <f t="shared" ref="H12:H18" si="0">SUM(E12:G12)</f>
        <v>15715</v>
      </c>
      <c r="I12" s="1941">
        <v>15715</v>
      </c>
      <c r="J12" s="1940"/>
      <c r="K12" s="1941"/>
      <c r="L12" s="1942">
        <f t="shared" ref="L12:L18" si="1">SUM(I12:K12)</f>
        <v>15715</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6221</v>
      </c>
      <c r="F16" s="1940"/>
      <c r="G16" s="1966">
        <f>K68</f>
        <v>0</v>
      </c>
      <c r="H16" s="1942">
        <f t="shared" si="0"/>
        <v>6221</v>
      </c>
      <c r="I16" s="1941">
        <v>6221</v>
      </c>
      <c r="J16" s="1940"/>
      <c r="K16" s="1941"/>
      <c r="L16" s="1942">
        <f t="shared" si="1"/>
        <v>6221</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21936</v>
      </c>
      <c r="F19" s="1948">
        <f t="shared" si="2"/>
        <v>0</v>
      </c>
      <c r="G19" s="1948">
        <f t="shared" ref="G19" si="3">SUM(G12:G17)-G18</f>
        <v>0</v>
      </c>
      <c r="H19" s="1948">
        <f t="shared" si="2"/>
        <v>21936</v>
      </c>
      <c r="I19" s="1948">
        <f t="shared" si="2"/>
        <v>21936</v>
      </c>
      <c r="J19" s="1948">
        <f t="shared" si="2"/>
        <v>0</v>
      </c>
      <c r="K19" s="1948">
        <f t="shared" si="2"/>
        <v>0</v>
      </c>
      <c r="L19" s="1948">
        <f t="shared" si="2"/>
        <v>21936</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0</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Kell Cons SD 2</v>
      </c>
      <c r="M52" s="2436"/>
      <c r="N52" s="2437"/>
    </row>
    <row r="53" spans="1:14" x14ac:dyDescent="0.2">
      <c r="A53" s="1980"/>
      <c r="B53" s="1981"/>
      <c r="C53" s="1981"/>
      <c r="D53" s="1981"/>
      <c r="E53" s="1981"/>
      <c r="F53" s="1981"/>
      <c r="G53" s="1981"/>
      <c r="H53" s="1981"/>
      <c r="I53" s="1981"/>
      <c r="J53" s="1981"/>
      <c r="K53" s="1922" t="s">
        <v>369</v>
      </c>
      <c r="L53" s="2438">
        <f>J7</f>
        <v>13058002003</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6655</v>
      </c>
      <c r="F58" s="1970"/>
      <c r="G58" s="2029"/>
      <c r="H58" s="2030"/>
      <c r="I58" s="2030"/>
      <c r="J58" s="2030"/>
      <c r="K58" s="2030"/>
      <c r="L58" s="2030"/>
      <c r="M58" s="2030">
        <v>6655</v>
      </c>
      <c r="N58" s="1973">
        <f>IF((SUM(G58:M58))=E58,SUM(G58:M58),"Column N does not agree with Column E")</f>
        <v>6655</v>
      </c>
    </row>
    <row r="59" spans="1:14" ht="24.75" customHeight="1" x14ac:dyDescent="0.2">
      <c r="A59" s="2418" t="s">
        <v>297</v>
      </c>
      <c r="B59" s="2419"/>
      <c r="C59" s="2419"/>
      <c r="D59" s="1965">
        <v>2363</v>
      </c>
      <c r="E59" s="1975">
        <f>'Expenditures 15-22'!K321</f>
        <v>1464</v>
      </c>
      <c r="F59" s="1970"/>
      <c r="G59" s="2029"/>
      <c r="H59" s="2030"/>
      <c r="I59" s="2030"/>
      <c r="J59" s="2030"/>
      <c r="K59" s="2030"/>
      <c r="L59" s="2030"/>
      <c r="M59" s="2030">
        <v>1464</v>
      </c>
      <c r="N59" s="1973">
        <f>IF((SUM(G59:M59))=E59,SUM(G59:M59),"Column N does not agree with Column E")</f>
        <v>1464</v>
      </c>
    </row>
    <row r="60" spans="1:14" ht="24" customHeight="1" x14ac:dyDescent="0.2">
      <c r="A60" s="2418" t="s">
        <v>236</v>
      </c>
      <c r="B60" s="2419"/>
      <c r="C60" s="2419"/>
      <c r="D60" s="1965">
        <v>2364</v>
      </c>
      <c r="E60" s="1975">
        <f>'Expenditures 15-22'!K322</f>
        <v>13727</v>
      </c>
      <c r="F60" s="1970"/>
      <c r="G60" s="2029"/>
      <c r="H60" s="2030"/>
      <c r="I60" s="2030"/>
      <c r="J60" s="2030"/>
      <c r="K60" s="2030"/>
      <c r="L60" s="2030"/>
      <c r="M60" s="2030">
        <v>13727</v>
      </c>
      <c r="N60" s="1973">
        <f t="shared" ref="N60:N67" si="4">IF((SUM(G60:M60))=E60,SUM(G60:M60),"Column N does not agree with Column E")</f>
        <v>13727</v>
      </c>
    </row>
    <row r="61" spans="1:14" ht="24.75" customHeight="1" x14ac:dyDescent="0.2">
      <c r="A61" s="2418" t="s">
        <v>697</v>
      </c>
      <c r="B61" s="2419"/>
      <c r="C61" s="2419"/>
      <c r="D61" s="1965">
        <v>2365</v>
      </c>
      <c r="E61" s="1975">
        <f>'Expenditures 15-22'!K323</f>
        <v>24933</v>
      </c>
      <c r="F61" s="1970"/>
      <c r="G61" s="2029"/>
      <c r="H61" s="2030"/>
      <c r="I61" s="2030"/>
      <c r="J61" s="2030"/>
      <c r="K61" s="2030"/>
      <c r="L61" s="2030"/>
      <c r="M61" s="2030">
        <v>24933</v>
      </c>
      <c r="N61" s="1973">
        <f t="shared" si="4"/>
        <v>24933</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250</v>
      </c>
      <c r="F65" s="1970"/>
      <c r="G65" s="2029"/>
      <c r="H65" s="2030"/>
      <c r="I65" s="2030"/>
      <c r="J65" s="2030"/>
      <c r="K65" s="2030"/>
      <c r="L65" s="2030"/>
      <c r="M65" s="2030">
        <v>250</v>
      </c>
      <c r="N65" s="1973">
        <f t="shared" si="4"/>
        <v>250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47029</v>
      </c>
      <c r="F68" s="1971"/>
      <c r="G68" s="1972">
        <f t="shared" ref="G68:N68" si="5">SUM(G57:G67)</f>
        <v>0</v>
      </c>
      <c r="H68" s="1972">
        <f t="shared" si="5"/>
        <v>0</v>
      </c>
      <c r="I68" s="1972">
        <f t="shared" si="5"/>
        <v>0</v>
      </c>
      <c r="J68" s="1972">
        <f t="shared" si="5"/>
        <v>0</v>
      </c>
      <c r="K68" s="1972">
        <f t="shared" si="5"/>
        <v>0</v>
      </c>
      <c r="L68" s="1972">
        <f t="shared" si="5"/>
        <v>0</v>
      </c>
      <c r="M68" s="1972">
        <f t="shared" si="5"/>
        <v>47029</v>
      </c>
      <c r="N68" s="1986">
        <f t="shared" si="5"/>
        <v>47029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1" sqref="A4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2088</v>
      </c>
    </row>
    <row r="6" spans="1:2" x14ac:dyDescent="0.2">
      <c r="A6" s="847"/>
      <c r="B6" s="307" t="s">
        <v>2089</v>
      </c>
    </row>
    <row r="7" spans="1:2" x14ac:dyDescent="0.2">
      <c r="A7" s="847"/>
    </row>
    <row r="8" spans="1:2" x14ac:dyDescent="0.2">
      <c r="A8" s="847">
        <v>2</v>
      </c>
      <c r="B8" s="307" t="s">
        <v>2090</v>
      </c>
    </row>
    <row r="9" spans="1:2" x14ac:dyDescent="0.2">
      <c r="A9" s="847"/>
    </row>
    <row r="10" spans="1:2" x14ac:dyDescent="0.2">
      <c r="A10" s="847">
        <v>3</v>
      </c>
      <c r="B10" s="307" t="s">
        <v>2091</v>
      </c>
    </row>
    <row r="11" spans="1:2" x14ac:dyDescent="0.2">
      <c r="A11" s="847"/>
    </row>
    <row r="12" spans="1:2" x14ac:dyDescent="0.2">
      <c r="A12" s="847">
        <v>4</v>
      </c>
      <c r="B12" s="307" t="s">
        <v>2092</v>
      </c>
    </row>
    <row r="13" spans="1:2" x14ac:dyDescent="0.2">
      <c r="A13" s="847"/>
    </row>
    <row r="14" spans="1:2" x14ac:dyDescent="0.2">
      <c r="A14" s="847">
        <v>5</v>
      </c>
      <c r="B14" s="307" t="s">
        <v>2093</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Kell Cons SD 2</v>
      </c>
    </row>
    <row r="65" spans="2:2" x14ac:dyDescent="0.2">
      <c r="B65" s="848">
        <f>COVER!A13</f>
        <v>13058002003</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A41" sqref="A41:E4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1" sqref="A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5057"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45057" r:id="rId4"/>
      </mc:Fallback>
    </mc:AlternateContent>
    <mc:AlternateContent xmlns:mc="http://schemas.openxmlformats.org/markup-compatibility/2006">
      <mc:Choice Requires="x14">
        <oleObject progId="Package2" shapeId="45058" r:id="rId6">
          <objectPr defaultSize="0" r:id="rId7">
            <anchor moveWithCells="1">
              <from>
                <xdr:col>2</xdr:col>
                <xdr:colOff>0</xdr:colOff>
                <xdr:row>6</xdr:row>
                <xdr:rowOff>0</xdr:rowOff>
              </from>
              <to>
                <xdr:col>4</xdr:col>
                <xdr:colOff>571500</xdr:colOff>
                <xdr:row>9</xdr:row>
                <xdr:rowOff>28575</xdr:rowOff>
              </to>
            </anchor>
          </objectPr>
        </oleObject>
      </mc:Choice>
      <mc:Fallback>
        <oleObject progId="Package2"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1" sqref="A4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811656</v>
      </c>
      <c r="C8" s="1812">
        <f>'Acct Summary 7-8'!D8</f>
        <v>112262</v>
      </c>
      <c r="D8" s="1812">
        <f>'Acct Summary 7-8'!F8</f>
        <v>74574</v>
      </c>
      <c r="E8" s="1812">
        <f>'Acct Summary 7-8'!I8</f>
        <v>3024</v>
      </c>
      <c r="F8" s="1812">
        <f>SUM(B8:E8)</f>
        <v>1001516</v>
      </c>
    </row>
    <row r="9" spans="1:8" s="857" customFormat="1" ht="14.25" customHeight="1" thickBot="1" x14ac:dyDescent="0.25">
      <c r="A9" s="856" t="s">
        <v>1353</v>
      </c>
      <c r="B9" s="1813">
        <f>'Acct Summary 7-8'!C17</f>
        <v>733113</v>
      </c>
      <c r="C9" s="1813">
        <f>'Acct Summary 7-8'!D17</f>
        <v>60321</v>
      </c>
      <c r="D9" s="1813">
        <f>'Acct Summary 7-8'!F17</f>
        <v>73624</v>
      </c>
      <c r="E9" s="1812"/>
      <c r="F9" s="1812">
        <f>SUM(B9:E9)</f>
        <v>867058</v>
      </c>
    </row>
    <row r="10" spans="1:8" s="857" customFormat="1" ht="14.25" thickTop="1" thickBot="1" x14ac:dyDescent="0.25">
      <c r="A10" s="858" t="s">
        <v>1354</v>
      </c>
      <c r="B10" s="1814">
        <f>(B8-B9)</f>
        <v>78543</v>
      </c>
      <c r="C10" s="1814">
        <f>(C8-C9)</f>
        <v>51941</v>
      </c>
      <c r="D10" s="1814">
        <f>(D8-D9)</f>
        <v>950</v>
      </c>
      <c r="E10" s="1813">
        <f>(E8-E9)</f>
        <v>3024</v>
      </c>
      <c r="F10" s="1815">
        <f>SUM(F8-F9)</f>
        <v>134458</v>
      </c>
    </row>
    <row r="11" spans="1:8" s="857" customFormat="1" ht="14.25" thickTop="1" thickBot="1" x14ac:dyDescent="0.25">
      <c r="A11" s="859" t="s">
        <v>1903</v>
      </c>
      <c r="B11" s="1816">
        <f>'Acct Summary 7-8'!C81</f>
        <v>203587</v>
      </c>
      <c r="C11" s="1816">
        <f>'Acct Summary 7-8'!D81</f>
        <v>131965</v>
      </c>
      <c r="D11" s="1816">
        <f>'Acct Summary 7-8'!F81</f>
        <v>33102</v>
      </c>
      <c r="E11" s="1816">
        <f>'Acct Summary 7-8'!I81</f>
        <v>0</v>
      </c>
      <c r="F11" s="1817">
        <f>SUM(B11:E11)</f>
        <v>368654</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41" sqref="A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13058002003</v>
      </c>
      <c r="E2" s="1541">
        <v>2020</v>
      </c>
      <c r="F2" s="1541">
        <v>1</v>
      </c>
      <c r="G2" s="1897">
        <v>101000300</v>
      </c>
    </row>
    <row r="3" spans="1:7" ht="15" x14ac:dyDescent="0.25">
      <c r="A3" t="s">
        <v>950</v>
      </c>
      <c r="B3" s="135" t="str">
        <f>COVER!A15</f>
        <v>MARION</v>
      </c>
      <c r="E3" s="1829" t="s">
        <v>1971</v>
      </c>
      <c r="F3" s="1829" t="s">
        <v>1970</v>
      </c>
      <c r="G3" s="1897">
        <v>101000400</v>
      </c>
    </row>
    <row r="4" spans="1:7" ht="15" x14ac:dyDescent="0.25">
      <c r="A4" t="s">
        <v>1000</v>
      </c>
      <c r="B4" s="135" t="str">
        <f>COVER!A17</f>
        <v xml:space="preserve">  Kell Cons SD 2</v>
      </c>
      <c r="E4" s="1827">
        <v>44119</v>
      </c>
      <c r="F4" s="1828">
        <v>44151</v>
      </c>
      <c r="G4" s="1897">
        <v>101000600</v>
      </c>
    </row>
    <row r="5" spans="1:7" ht="15" x14ac:dyDescent="0.25">
      <c r="A5" t="s">
        <v>699</v>
      </c>
      <c r="B5" s="135" t="str">
        <f>COVER!A38</f>
        <v>JOHN CONSOLINO</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203587</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203587</v>
      </c>
      <c r="D92" s="2" t="str">
        <f t="shared" si="0"/>
        <v>Error?</v>
      </c>
      <c r="G92" s="1897">
        <v>102640600</v>
      </c>
    </row>
    <row r="93" spans="1:7" ht="15" x14ac:dyDescent="0.25">
      <c r="A93" s="5">
        <v>32</v>
      </c>
      <c r="B93" s="1831">
        <f>'Assets-Liab 5-6'!C41</f>
        <v>203587</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131965</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86611</v>
      </c>
      <c r="D123" s="2" t="str">
        <f t="shared" si="0"/>
        <v>Error?</v>
      </c>
      <c r="G123" s="1897">
        <v>203000400</v>
      </c>
    </row>
    <row r="124" spans="1:7" ht="15" x14ac:dyDescent="0.25">
      <c r="A124" s="5">
        <v>63</v>
      </c>
      <c r="B124" s="1831">
        <f>'Assets-Liab 5-6'!D41</f>
        <v>131965</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7556</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7556</v>
      </c>
      <c r="D140" s="2" t="str">
        <f t="shared" si="1"/>
        <v>Error?</v>
      </c>
    </row>
    <row r="141" spans="1:7" x14ac:dyDescent="0.2">
      <c r="A141" s="5">
        <v>80</v>
      </c>
      <c r="B141" s="1831">
        <f>'Assets-Liab 5-6'!E41</f>
        <v>7556</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33102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33102</v>
      </c>
      <c r="D170" s="2" t="str">
        <f t="shared" si="1"/>
        <v>Error?</v>
      </c>
    </row>
    <row r="171" spans="1:4" x14ac:dyDescent="0.2">
      <c r="A171" s="5">
        <v>110</v>
      </c>
      <c r="B171" s="1831">
        <f>'Assets-Liab 5-6'!F41</f>
        <v>33102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11811</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5905</v>
      </c>
      <c r="D189" s="2" t="str">
        <f t="shared" si="1"/>
        <v>Error?</v>
      </c>
    </row>
    <row r="190" spans="1:4" x14ac:dyDescent="0.2">
      <c r="A190" s="5">
        <v>129</v>
      </c>
      <c r="B190" s="1831">
        <f>'Assets-Liab 5-6'!G41</f>
        <v>11811</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23314</v>
      </c>
      <c r="D273" s="2" t="str">
        <f t="shared" si="3"/>
        <v>Error?</v>
      </c>
    </row>
    <row r="274" spans="1:4" x14ac:dyDescent="0.2">
      <c r="A274" s="5">
        <v>213</v>
      </c>
      <c r="B274" s="1831">
        <f>'Assets-Liab 5-6'!M17</f>
        <v>1244910</v>
      </c>
      <c r="D274" s="2" t="str">
        <f t="shared" si="3"/>
        <v>Error?</v>
      </c>
    </row>
    <row r="275" spans="1:4" x14ac:dyDescent="0.2">
      <c r="A275" s="5">
        <v>214</v>
      </c>
      <c r="B275" s="1831">
        <f>'Assets-Liab 5-6'!M18</f>
        <v>20470</v>
      </c>
      <c r="D275" s="2" t="str">
        <f t="shared" si="3"/>
        <v>Error?</v>
      </c>
    </row>
    <row r="276" spans="1:4" x14ac:dyDescent="0.2">
      <c r="A276" s="5">
        <v>215</v>
      </c>
      <c r="B276" s="1831">
        <f>'Assets-Liab 5-6'!M19</f>
        <v>611978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1909963</v>
      </c>
      <c r="C279" s="2" t="s">
        <v>569</v>
      </c>
      <c r="D279" s="2" t="str">
        <f t="shared" si="3"/>
        <v>Error?</v>
      </c>
    </row>
    <row r="280" spans="1:4" x14ac:dyDescent="0.2">
      <c r="A280" s="5">
        <v>219</v>
      </c>
      <c r="B280" s="1831">
        <f>'Assets-Liab 5-6'!M40</f>
        <v>1909963</v>
      </c>
      <c r="D280" s="2" t="str">
        <f t="shared" si="3"/>
        <v>Error?</v>
      </c>
    </row>
    <row r="281" spans="1:4" x14ac:dyDescent="0.2">
      <c r="A281" s="5">
        <v>220</v>
      </c>
      <c r="B281" s="1831">
        <f>'Assets-Liab 5-6'!M41</f>
        <v>1909963</v>
      </c>
      <c r="C281" s="2" t="s">
        <v>569</v>
      </c>
      <c r="D281" s="2" t="str">
        <f t="shared" si="3"/>
        <v>Error?</v>
      </c>
    </row>
    <row r="282" spans="1:4" x14ac:dyDescent="0.2">
      <c r="A282" s="5">
        <v>221</v>
      </c>
      <c r="B282" s="1831">
        <f>'Assets-Liab 5-6'!N21</f>
        <v>7556</v>
      </c>
      <c r="D282" s="2" t="str">
        <f t="shared" si="3"/>
        <v>Error?</v>
      </c>
    </row>
    <row r="283" spans="1:4" x14ac:dyDescent="0.2">
      <c r="A283" s="5">
        <v>222</v>
      </c>
      <c r="B283" s="1831">
        <f>'Assets-Liab 5-6'!N22</f>
        <v>223444</v>
      </c>
      <c r="D283" s="2" t="str">
        <f t="shared" si="3"/>
        <v>Error?</v>
      </c>
    </row>
    <row r="284" spans="1:4" x14ac:dyDescent="0.2">
      <c r="A284" s="5">
        <v>223</v>
      </c>
      <c r="B284" s="1831">
        <f>'Assets-Liab 5-6'!N23</f>
        <v>231000</v>
      </c>
      <c r="C284" s="2" t="s">
        <v>569</v>
      </c>
      <c r="D284" s="2" t="str">
        <f t="shared" si="3"/>
        <v>Error?</v>
      </c>
    </row>
    <row r="285" spans="1:4" x14ac:dyDescent="0.2">
      <c r="A285" s="5">
        <v>224</v>
      </c>
      <c r="B285" s="1831">
        <f>'Assets-Liab 5-6'!N36</f>
        <v>231000</v>
      </c>
      <c r="D285" s="2" t="str">
        <f t="shared" si="3"/>
        <v>Error?</v>
      </c>
    </row>
    <row r="286" spans="1:4" x14ac:dyDescent="0.2">
      <c r="A286" s="10">
        <v>225</v>
      </c>
      <c r="B286" s="1831"/>
      <c r="D286" s="2" t="str">
        <f t="shared" si="3"/>
        <v>OK</v>
      </c>
    </row>
    <row r="287" spans="1:4" x14ac:dyDescent="0.2">
      <c r="A287" s="5">
        <v>226</v>
      </c>
      <c r="B287" s="1831">
        <f>'Assets-Liab 5-6'!N37</f>
        <v>231000</v>
      </c>
      <c r="C287" s="2" t="s">
        <v>569</v>
      </c>
      <c r="D287" s="2" t="str">
        <f t="shared" si="3"/>
        <v>Error?</v>
      </c>
    </row>
    <row r="288" spans="1:4" x14ac:dyDescent="0.2">
      <c r="A288" s="5">
        <v>227</v>
      </c>
      <c r="B288" s="1831">
        <f>'Assets-Liab 5-6'!N41</f>
        <v>231000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3024</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350007</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3975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470910</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15000</v>
      </c>
      <c r="D733" s="2" t="str">
        <f t="shared" si="10"/>
        <v>Error?</v>
      </c>
    </row>
    <row r="734" spans="1:4" x14ac:dyDescent="0.2">
      <c r="A734" s="5">
        <v>673</v>
      </c>
      <c r="B734" s="1831">
        <f>'Expenditures 15-22'!C53</f>
        <v>15000</v>
      </c>
      <c r="C734" s="2" t="s">
        <v>569</v>
      </c>
      <c r="D734" s="2" t="str">
        <f t="shared" si="10"/>
        <v>Error?</v>
      </c>
    </row>
    <row r="735" spans="1:4" x14ac:dyDescent="0.2">
      <c r="A735" s="5">
        <v>674</v>
      </c>
      <c r="B735" s="1831">
        <f>'Expenditures 15-22'!C55</f>
        <v>36652</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36652</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21935</v>
      </c>
      <c r="D739" s="2" t="str">
        <f t="shared" si="10"/>
        <v>Error?</v>
      </c>
    </row>
    <row r="740" spans="1:4" x14ac:dyDescent="0.2">
      <c r="A740" s="5">
        <v>679</v>
      </c>
      <c r="B740" s="1831">
        <f>'Expenditures 15-22'!C61</f>
        <v>10234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33260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65429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117081</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587991</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4183</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5751</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225</v>
      </c>
      <c r="D791" s="2" t="str">
        <f t="shared" si="11"/>
        <v>Error?</v>
      </c>
    </row>
    <row r="792" spans="1:4" x14ac:dyDescent="0.2">
      <c r="A792" s="5">
        <v>731</v>
      </c>
      <c r="B792" s="1831">
        <f>'Expenditures 15-22'!D53</f>
        <v>225</v>
      </c>
      <c r="C792" s="2" t="s">
        <v>569</v>
      </c>
      <c r="D792" s="2" t="str">
        <f t="shared" si="11"/>
        <v>Error?</v>
      </c>
    </row>
    <row r="793" spans="1:4" x14ac:dyDescent="0.2">
      <c r="A793" s="5">
        <v>732</v>
      </c>
      <c r="B793" s="1831">
        <f>'Expenditures 15-22'!D55</f>
        <v>784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784</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1009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6760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12722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12722</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16551</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16551</v>
      </c>
      <c r="C847" s="2" t="s">
        <v>569</v>
      </c>
      <c r="D847" s="2" t="str">
        <f t="shared" si="12"/>
        <v>Error?</v>
      </c>
    </row>
    <row r="848" spans="1:4" x14ac:dyDescent="0.2">
      <c r="A848" s="5">
        <v>787</v>
      </c>
      <c r="B848" s="1831">
        <f>'Expenditures 15-22'!E49</f>
        <v>6695</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6695</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311</v>
      </c>
      <c r="D855" s="2" t="str">
        <f t="shared" si="12"/>
        <v>Error?</v>
      </c>
    </row>
    <row r="856" spans="1:4" x14ac:dyDescent="0.2">
      <c r="A856" s="5">
        <v>795</v>
      </c>
      <c r="B856" s="1831">
        <f>'Expenditures 15-22'!E61</f>
        <v>19973</v>
      </c>
      <c r="D856" s="2" t="str">
        <f t="shared" si="12"/>
        <v>Error?</v>
      </c>
    </row>
    <row r="857" spans="1:4" x14ac:dyDescent="0.2">
      <c r="A857" s="5">
        <v>796</v>
      </c>
      <c r="B857" s="1831">
        <f>'Expenditures 15-22'!E62</f>
        <v>230</v>
      </c>
      <c r="D857" s="2" t="str">
        <f t="shared" si="12"/>
        <v>Error?</v>
      </c>
    </row>
    <row r="858" spans="1:4" x14ac:dyDescent="0.2">
      <c r="A858" s="5">
        <v>797</v>
      </c>
      <c r="B858" s="1831">
        <f>'Expenditures 15-22'!E63</f>
        <v>52</v>
      </c>
      <c r="D858" s="2" t="str">
        <f t="shared" si="12"/>
        <v>Error?</v>
      </c>
    </row>
    <row r="859" spans="1:4" x14ac:dyDescent="0.2">
      <c r="A859" s="5">
        <v>798</v>
      </c>
      <c r="B859" s="1831">
        <f>'Expenditures 15-22'!E64</f>
        <v>6221</v>
      </c>
      <c r="D859" s="2" t="str">
        <f t="shared" si="12"/>
        <v>Error?</v>
      </c>
    </row>
    <row r="860" spans="1:4" x14ac:dyDescent="0.2">
      <c r="A860" s="10">
        <v>799</v>
      </c>
      <c r="B860" s="1831"/>
      <c r="D860" s="2" t="str">
        <f t="shared" si="12"/>
        <v>OK</v>
      </c>
    </row>
    <row r="861" spans="1:4" x14ac:dyDescent="0.2">
      <c r="A861" s="5">
        <v>800</v>
      </c>
      <c r="B861" s="1831">
        <f>'Expenditures 15-22'!E65</f>
        <v>26787</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50033</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66098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11150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11150</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616</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616</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7355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7355</v>
      </c>
      <c r="C905" s="2" t="s">
        <v>569</v>
      </c>
      <c r="D905" s="2" t="str">
        <f t="shared" si="13"/>
        <v>Error?</v>
      </c>
    </row>
    <row r="906" spans="1:4" x14ac:dyDescent="0.2">
      <c r="A906" s="5">
        <v>845</v>
      </c>
      <c r="B906" s="1831">
        <f>'Expenditures 15-22'!F49</f>
        <v>3282</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3282</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1727</v>
      </c>
      <c r="D913" s="2" t="str">
        <f t="shared" si="13"/>
        <v>Error?</v>
      </c>
    </row>
    <row r="914" spans="1:4" x14ac:dyDescent="0.2">
      <c r="A914" s="5">
        <v>853</v>
      </c>
      <c r="B914" s="1831">
        <f>'Expenditures 15-22'!F61</f>
        <v>475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25946</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28148</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39401</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50551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490</v>
      </c>
      <c r="D1023" s="2" t="str">
        <f t="shared" ref="D1023:D1086" si="15">IF(ISBLANK(B1023),"OK",IF(A1023-B1023=0,"OK","Error?"))</f>
        <v>Error?</v>
      </c>
    </row>
    <row r="1024" spans="1:4" x14ac:dyDescent="0.2">
      <c r="A1024" s="5">
        <v>963</v>
      </c>
      <c r="B1024" s="1831">
        <f>'Expenditures 15-22'!H53</f>
        <v>490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102</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102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592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21121</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21713</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378062</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3980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500533</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616</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616</v>
      </c>
      <c r="C1115" s="2" t="s">
        <v>569</v>
      </c>
      <c r="D1115" s="2" t="str">
        <f t="shared" si="16"/>
        <v>Error?</v>
      </c>
    </row>
    <row r="1116" spans="1:4" x14ac:dyDescent="0.2">
      <c r="A1116" s="5">
        <v>1055</v>
      </c>
      <c r="B1116" s="1831">
        <f>'Expenditures 15-22'!K44</f>
        <v>0</v>
      </c>
      <c r="C1116" s="2" t="s">
        <v>569</v>
      </c>
      <c r="D1116" s="2" t="str">
        <f t="shared" si="16"/>
        <v>Error?</v>
      </c>
    </row>
    <row r="1117" spans="1:4" x14ac:dyDescent="0.2">
      <c r="A1117" s="5">
        <v>1056</v>
      </c>
      <c r="B1117" s="1831">
        <f>'Expenditures 15-22'!K45</f>
        <v>23906</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23906</v>
      </c>
      <c r="C1119" s="2" t="s">
        <v>569</v>
      </c>
      <c r="D1119" s="2" t="str">
        <f t="shared" si="16"/>
        <v>Error?</v>
      </c>
    </row>
    <row r="1120" spans="1:4" x14ac:dyDescent="0.2">
      <c r="A1120" s="5">
        <v>1059</v>
      </c>
      <c r="B1120" s="1831">
        <f>'Expenditures 15-22'!K49</f>
        <v>9977</v>
      </c>
      <c r="C1120" s="2" t="s">
        <v>569</v>
      </c>
      <c r="D1120" s="2" t="str">
        <f t="shared" si="16"/>
        <v>Error?</v>
      </c>
    </row>
    <row r="1121" spans="1:4" x14ac:dyDescent="0.2">
      <c r="A1121" s="5">
        <v>1060</v>
      </c>
      <c r="B1121" s="1831">
        <f>'Expenditures 15-22'!K50</f>
        <v>15715</v>
      </c>
      <c r="C1121" s="2" t="s">
        <v>569</v>
      </c>
      <c r="D1121" s="2" t="str">
        <f t="shared" si="16"/>
        <v>Error?</v>
      </c>
    </row>
    <row r="1122" spans="1:4" x14ac:dyDescent="0.2">
      <c r="A1122" s="5">
        <v>1061</v>
      </c>
      <c r="B1122" s="1831">
        <f>'Expenditures 15-22'!K53</f>
        <v>25692</v>
      </c>
      <c r="C1122" s="2" t="s">
        <v>569</v>
      </c>
      <c r="D1122" s="2" t="str">
        <f t="shared" si="16"/>
        <v>Error?</v>
      </c>
    </row>
    <row r="1123" spans="1:4" x14ac:dyDescent="0.2">
      <c r="A1123" s="5">
        <v>1062</v>
      </c>
      <c r="B1123" s="1831">
        <f>'Expenditures 15-22'!K55</f>
        <v>37436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37436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24075</v>
      </c>
      <c r="C1127" s="2" t="s">
        <v>569</v>
      </c>
      <c r="D1127" s="2" t="str">
        <f t="shared" si="16"/>
        <v>Error?</v>
      </c>
    </row>
    <row r="1128" spans="1:4" x14ac:dyDescent="0.2">
      <c r="A1128" s="5">
        <v>1067</v>
      </c>
      <c r="B1128" s="1831">
        <f>'Expenditures 15-22'!K61</f>
        <v>30682</v>
      </c>
      <c r="C1128" s="2" t="s">
        <v>569</v>
      </c>
      <c r="D1128" s="2" t="str">
        <f t="shared" si="16"/>
        <v>Error?</v>
      </c>
    </row>
    <row r="1129" spans="1:4" x14ac:dyDescent="0.2">
      <c r="A1129" s="5">
        <v>1068</v>
      </c>
      <c r="B1129" s="1831">
        <f>'Expenditures 15-22'!K62</f>
        <v>230</v>
      </c>
      <c r="C1129" s="2" t="s">
        <v>569</v>
      </c>
      <c r="D1129" s="2" t="str">
        <f t="shared" si="16"/>
        <v>Error?</v>
      </c>
    </row>
    <row r="1130" spans="1:4" x14ac:dyDescent="0.2">
      <c r="A1130" s="5">
        <v>1069</v>
      </c>
      <c r="B1130" s="1831">
        <f>'Expenditures 15-22'!K63</f>
        <v>59258</v>
      </c>
      <c r="C1130" s="2" t="s">
        <v>569</v>
      </c>
      <c r="D1130" s="2" t="str">
        <f t="shared" si="16"/>
        <v>Error?</v>
      </c>
    </row>
    <row r="1131" spans="1:4" x14ac:dyDescent="0.2">
      <c r="A1131" s="5">
        <v>1070</v>
      </c>
      <c r="B1131" s="1831">
        <f>'Expenditures 15-22'!K64</f>
        <v>6221</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120466</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208116</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24464</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733113</v>
      </c>
      <c r="C1152" s="2" t="s">
        <v>569</v>
      </c>
      <c r="D1152" s="2" t="str">
        <f t="shared" si="17"/>
        <v>Error?</v>
      </c>
    </row>
    <row r="1153" spans="1:4" x14ac:dyDescent="0.2">
      <c r="A1153" s="5">
        <v>1092</v>
      </c>
      <c r="B1153" s="1831">
        <f>'Expenditures 15-22'!K115</f>
        <v>78543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2473</v>
      </c>
      <c r="D1237" s="2" t="str">
        <f t="shared" si="18"/>
        <v>Error?</v>
      </c>
    </row>
    <row r="1238" spans="1:4" x14ac:dyDescent="0.2">
      <c r="A1238" s="10">
        <v>1177</v>
      </c>
      <c r="B1238" s="1831"/>
      <c r="D1238" s="2" t="str">
        <f t="shared" si="18"/>
        <v>OK</v>
      </c>
    </row>
    <row r="1239" spans="1:4" x14ac:dyDescent="0.2">
      <c r="A1239" s="5">
        <v>1178</v>
      </c>
      <c r="B1239" s="1831">
        <f>'Expenditures 15-22'!E127</f>
        <v>2473</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2473</v>
      </c>
      <c r="C1241" s="2" t="s">
        <v>569</v>
      </c>
      <c r="D1241" s="2" t="str">
        <f t="shared" si="18"/>
        <v>Error?</v>
      </c>
    </row>
    <row r="1242" spans="1:4" x14ac:dyDescent="0.2">
      <c r="A1242" s="5">
        <v>1181</v>
      </c>
      <c r="B1242" s="1831">
        <f>'Expenditures 15-22'!E151</f>
        <v>2473</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25975</v>
      </c>
      <c r="D1245" s="2" t="str">
        <f t="shared" si="18"/>
        <v>Error?</v>
      </c>
    </row>
    <row r="1246" spans="1:4" x14ac:dyDescent="0.2">
      <c r="A1246" s="10">
        <v>1185</v>
      </c>
      <c r="B1246" s="1831"/>
      <c r="D1246" s="2" t="str">
        <f t="shared" si="18"/>
        <v>OK</v>
      </c>
    </row>
    <row r="1247" spans="1:4" x14ac:dyDescent="0.2">
      <c r="A1247" s="5">
        <v>1186</v>
      </c>
      <c r="B1247" s="1831">
        <f>'Expenditures 15-22'!F127</f>
        <v>25975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25975</v>
      </c>
      <c r="C1249" s="2" t="s">
        <v>569</v>
      </c>
      <c r="D1249" s="2" t="str">
        <f t="shared" si="18"/>
        <v>Error?</v>
      </c>
    </row>
    <row r="1250" spans="1:4" x14ac:dyDescent="0.2">
      <c r="A1250" s="5">
        <v>1189</v>
      </c>
      <c r="B1250" s="1831">
        <f>'Expenditures 15-22'!F151</f>
        <v>25975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13482</v>
      </c>
      <c r="D1252" s="2" t="str">
        <f t="shared" si="18"/>
        <v>Error?</v>
      </c>
    </row>
    <row r="1253" spans="1:4" x14ac:dyDescent="0.2">
      <c r="A1253" s="5">
        <v>1192</v>
      </c>
      <c r="B1253" s="1831">
        <f>'Expenditures 15-22'!G124</f>
        <v>18391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31873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31873</v>
      </c>
      <c r="C1258" s="2" t="s">
        <v>569</v>
      </c>
      <c r="D1258" s="2" t="str">
        <f t="shared" si="18"/>
        <v>Error?</v>
      </c>
    </row>
    <row r="1259" spans="1:4" x14ac:dyDescent="0.2">
      <c r="A1259" s="5">
        <v>1198</v>
      </c>
      <c r="B1259" s="1831">
        <f>'Expenditures 15-22'!G151</f>
        <v>31873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13482</v>
      </c>
      <c r="C1275" s="2" t="s">
        <v>569</v>
      </c>
      <c r="D1275" s="2" t="str">
        <f t="shared" si="18"/>
        <v>Error?</v>
      </c>
    </row>
    <row r="1276" spans="1:4" x14ac:dyDescent="0.2">
      <c r="A1276" s="5">
        <v>1215</v>
      </c>
      <c r="B1276" s="1831">
        <f>'Expenditures 15-22'!K124</f>
        <v>46839</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60321</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60321</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60321</v>
      </c>
      <c r="C1288" s="2" t="s">
        <v>569</v>
      </c>
      <c r="D1288" s="2" t="str">
        <f t="shared" si="19"/>
        <v>Error?</v>
      </c>
    </row>
    <row r="1289" spans="1:4" x14ac:dyDescent="0.2">
      <c r="A1289" s="5">
        <v>1228</v>
      </c>
      <c r="B1289" s="1831">
        <f>'Expenditures 15-22'!K152</f>
        <v>51941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8979</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19000</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28479</v>
      </c>
      <c r="C1317" s="2" t="s">
        <v>569</v>
      </c>
      <c r="D1317" s="2" t="str">
        <f t="shared" si="19"/>
        <v>Error?</v>
      </c>
    </row>
    <row r="1318" spans="1:4" x14ac:dyDescent="0.2">
      <c r="A1318" s="5">
        <v>1257</v>
      </c>
      <c r="B1318" s="1831">
        <f>'Expenditures 15-22'!H174</f>
        <v>28479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8979</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19000</v>
      </c>
      <c r="C1329" s="2" t="s">
        <v>569</v>
      </c>
      <c r="D1329" s="2" t="str">
        <f t="shared" si="19"/>
        <v>Error?</v>
      </c>
    </row>
    <row r="1330" spans="1:4" x14ac:dyDescent="0.2">
      <c r="A1330" s="5">
        <v>1269</v>
      </c>
      <c r="B1330" s="1831">
        <f>'Expenditures 15-22'!K171</f>
        <v>500</v>
      </c>
      <c r="C1330" s="2" t="s">
        <v>569</v>
      </c>
      <c r="D1330" s="2" t="str">
        <f t="shared" si="19"/>
        <v>Error?</v>
      </c>
    </row>
    <row r="1331" spans="1:4" x14ac:dyDescent="0.2">
      <c r="A1331" s="5">
        <v>1270</v>
      </c>
      <c r="B1331" s="1831">
        <f>'Expenditures 15-22'!K172</f>
        <v>28479</v>
      </c>
      <c r="C1331" s="2" t="s">
        <v>569</v>
      </c>
      <c r="D1331" s="2" t="str">
        <f t="shared" si="19"/>
        <v>Error?</v>
      </c>
    </row>
    <row r="1332" spans="1:4" x14ac:dyDescent="0.2">
      <c r="A1332" s="5">
        <v>1271</v>
      </c>
      <c r="B1332" s="1831">
        <f>'Expenditures 15-22'!K174</f>
        <v>28479</v>
      </c>
      <c r="C1332" s="2" t="s">
        <v>569</v>
      </c>
      <c r="D1332" s="2" t="str">
        <f t="shared" si="19"/>
        <v>Error?</v>
      </c>
    </row>
    <row r="1333" spans="1:4" x14ac:dyDescent="0.2">
      <c r="A1333" s="5">
        <v>1272</v>
      </c>
      <c r="B1333" s="1831">
        <f>'Expenditures 15-22'!K175</f>
        <v>129</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42800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42800</v>
      </c>
      <c r="C1339" s="2" t="s">
        <v>569</v>
      </c>
      <c r="D1339" s="2" t="str">
        <f t="shared" si="19"/>
        <v>Error?</v>
      </c>
    </row>
    <row r="1340" spans="1:4" x14ac:dyDescent="0.2">
      <c r="A1340" s="5">
        <v>1279</v>
      </c>
      <c r="B1340" s="1831">
        <f>'Expenditures 15-22'!C210</f>
        <v>42800</v>
      </c>
      <c r="C1340" s="2" t="s">
        <v>569</v>
      </c>
      <c r="D1340" s="2" t="str">
        <f t="shared" si="19"/>
        <v>Error?</v>
      </c>
    </row>
    <row r="1341" spans="1:4" x14ac:dyDescent="0.2">
      <c r="A1341" s="5">
        <v>1280</v>
      </c>
      <c r="B1341" s="1831">
        <f>'Expenditures 15-22'!D182</f>
        <v>67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67</v>
      </c>
      <c r="C1345" s="2" t="s">
        <v>569</v>
      </c>
      <c r="D1345" s="2" t="str">
        <f t="shared" si="20"/>
        <v>Error?</v>
      </c>
    </row>
    <row r="1346" spans="1:4" x14ac:dyDescent="0.2">
      <c r="A1346" s="5">
        <v>1285</v>
      </c>
      <c r="B1346" s="1831">
        <f>'Expenditures 15-22'!D210</f>
        <v>67</v>
      </c>
      <c r="C1346" s="2" t="s">
        <v>569</v>
      </c>
      <c r="D1346" s="2" t="str">
        <f t="shared" si="20"/>
        <v>Error?</v>
      </c>
    </row>
    <row r="1347" spans="1:4" x14ac:dyDescent="0.2">
      <c r="A1347" s="5">
        <v>1286</v>
      </c>
      <c r="B1347" s="1831">
        <f>'Expenditures 15-22'!E182</f>
        <v>23216</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23216</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23216</v>
      </c>
      <c r="C1353" s="2" t="s">
        <v>569</v>
      </c>
      <c r="D1353" s="2" t="str">
        <f t="shared" si="20"/>
        <v>Error?</v>
      </c>
    </row>
    <row r="1354" spans="1:4" x14ac:dyDescent="0.2">
      <c r="A1354" s="5">
        <v>1293</v>
      </c>
      <c r="B1354" s="1831">
        <f>'Expenditures 15-22'!F182</f>
        <v>7541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7541</v>
      </c>
      <c r="C1358" s="2" t="s">
        <v>569</v>
      </c>
      <c r="D1358" s="2" t="str">
        <f t="shared" si="20"/>
        <v>Error?</v>
      </c>
    </row>
    <row r="1359" spans="1:4" x14ac:dyDescent="0.2">
      <c r="A1359" s="5">
        <v>1298</v>
      </c>
      <c r="B1359" s="1831">
        <f>'Expenditures 15-22'!F210</f>
        <v>7541</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73624</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73624</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73624</v>
      </c>
      <c r="C1388" s="2" t="s">
        <v>569</v>
      </c>
      <c r="D1388" s="2" t="str">
        <f t="shared" si="20"/>
        <v>Error?</v>
      </c>
    </row>
    <row r="1389" spans="1:4" x14ac:dyDescent="0.2">
      <c r="A1389" s="5">
        <v>1328</v>
      </c>
      <c r="B1389" s="1831">
        <f>'Expenditures 15-22'!K211</f>
        <v>950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331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24302</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217</v>
      </c>
      <c r="D1423" s="2" t="str">
        <f t="shared" si="21"/>
        <v>Error?</v>
      </c>
    </row>
    <row r="1424" spans="1:4" x14ac:dyDescent="0.2">
      <c r="A1424" s="5">
        <v>1363</v>
      </c>
      <c r="B1424" s="1831">
        <f>'Expenditures 15-22'!D257</f>
        <v>217</v>
      </c>
      <c r="C1424" s="2" t="s">
        <v>569</v>
      </c>
      <c r="D1424" s="2" t="str">
        <f t="shared" si="21"/>
        <v>Error?</v>
      </c>
    </row>
    <row r="1425" spans="1:4" x14ac:dyDescent="0.2">
      <c r="A1425" s="5">
        <v>1364</v>
      </c>
      <c r="B1425" s="1831">
        <f>'Expenditures 15-22'!D259</f>
        <v>754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754</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6223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2034</v>
      </c>
      <c r="D1431" s="2" t="str">
        <f t="shared" si="21"/>
        <v>Error?</v>
      </c>
    </row>
    <row r="1432" spans="1:4" x14ac:dyDescent="0.2">
      <c r="A1432" s="5">
        <v>1371</v>
      </c>
      <c r="B1432" s="1831">
        <f>'Expenditures 15-22'!D267</f>
        <v>3319</v>
      </c>
      <c r="D1432" s="2" t="str">
        <f t="shared" si="21"/>
        <v>Error?</v>
      </c>
    </row>
    <row r="1433" spans="1:4" x14ac:dyDescent="0.2">
      <c r="A1433" s="5">
        <v>1372</v>
      </c>
      <c r="B1433" s="1831">
        <f>'Expenditures 15-22'!D268</f>
        <v>6563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18139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19110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43412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331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24302</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217</v>
      </c>
      <c r="C1487" s="2" t="s">
        <v>569</v>
      </c>
      <c r="D1487" s="2" t="str">
        <f t="shared" si="22"/>
        <v>Error?</v>
      </c>
    </row>
    <row r="1488" spans="1:4" x14ac:dyDescent="0.2">
      <c r="A1488" s="5">
        <v>1427</v>
      </c>
      <c r="B1488" s="1831">
        <f>'Expenditures 15-22'!K257</f>
        <v>217</v>
      </c>
      <c r="C1488" s="2" t="s">
        <v>569</v>
      </c>
      <c r="D1488" s="2" t="str">
        <f t="shared" si="22"/>
        <v>Error?</v>
      </c>
    </row>
    <row r="1489" spans="1:4" x14ac:dyDescent="0.2">
      <c r="A1489" s="5">
        <v>1428</v>
      </c>
      <c r="B1489" s="1831">
        <f>'Expenditures 15-22'!K259</f>
        <v>754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754</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6223</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2034</v>
      </c>
      <c r="C1495" s="2" t="s">
        <v>569</v>
      </c>
      <c r="D1495" s="2" t="str">
        <f t="shared" si="22"/>
        <v>Error?</v>
      </c>
    </row>
    <row r="1496" spans="1:4" x14ac:dyDescent="0.2">
      <c r="A1496" s="5">
        <v>1435</v>
      </c>
      <c r="B1496" s="1831">
        <f>'Expenditures 15-22'!K267</f>
        <v>3319</v>
      </c>
      <c r="C1496" s="2" t="s">
        <v>569</v>
      </c>
      <c r="D1496" s="2" t="str">
        <f t="shared" si="22"/>
        <v>Error?</v>
      </c>
    </row>
    <row r="1497" spans="1:4" x14ac:dyDescent="0.2">
      <c r="A1497" s="5">
        <v>1436</v>
      </c>
      <c r="B1497" s="1831">
        <f>'Expenditures 15-22'!K268</f>
        <v>6563</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18139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19110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43412</v>
      </c>
      <c r="C1517" s="2" t="s">
        <v>569</v>
      </c>
      <c r="D1517" s="2" t="str">
        <f t="shared" si="22"/>
        <v>Error?</v>
      </c>
    </row>
    <row r="1518" spans="1:4" x14ac:dyDescent="0.2">
      <c r="A1518" s="5">
        <v>1457</v>
      </c>
      <c r="B1518" s="1831">
        <f>'Expenditures 15-22'!K296</f>
        <v>2828</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122020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203587</v>
      </c>
      <c r="C1630" s="2" t="s">
        <v>569</v>
      </c>
      <c r="D1630" s="2" t="str">
        <f t="shared" si="24"/>
        <v>Error?</v>
      </c>
    </row>
    <row r="1631" spans="1:4" x14ac:dyDescent="0.2">
      <c r="A1631" s="5">
        <v>1570</v>
      </c>
      <c r="B1631" s="1831">
        <f>'Acct Summary 7-8'!D79</f>
        <v>5024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131965</v>
      </c>
      <c r="C1644" s="2" t="s">
        <v>569</v>
      </c>
      <c r="D1644" s="2" t="str">
        <f t="shared" si="24"/>
        <v>Error?</v>
      </c>
    </row>
    <row r="1645" spans="1:4" x14ac:dyDescent="0.2">
      <c r="A1645" s="5">
        <v>1584</v>
      </c>
      <c r="B1645" s="1831">
        <f>'Acct Summary 7-8'!E79</f>
        <v>7427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7556</v>
      </c>
      <c r="C1658" s="2" t="s">
        <v>569</v>
      </c>
      <c r="D1658" s="2" t="str">
        <f t="shared" si="24"/>
        <v>Error?</v>
      </c>
    </row>
    <row r="1659" spans="1:4" x14ac:dyDescent="0.2">
      <c r="A1659" s="5">
        <v>1598</v>
      </c>
      <c r="B1659" s="1831">
        <f>'Acct Summary 7-8'!F79</f>
        <v>32152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33102</v>
      </c>
      <c r="C1672" s="2" t="s">
        <v>569</v>
      </c>
      <c r="D1672" s="2" t="str">
        <f t="shared" si="25"/>
        <v>Error?</v>
      </c>
    </row>
    <row r="1673" spans="1:4" x14ac:dyDescent="0.2">
      <c r="A1673" s="5">
        <v>1612</v>
      </c>
      <c r="B1673" s="1831">
        <f>'Acct Summary 7-8'!G79</f>
        <v>8983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11811</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165468</v>
      </c>
      <c r="C1744" s="2" t="s">
        <v>569</v>
      </c>
      <c r="D1744" s="2" t="str">
        <f t="shared" si="26"/>
        <v>Error?</v>
      </c>
    </row>
    <row r="1745" spans="1:5" x14ac:dyDescent="0.2">
      <c r="A1745" s="5">
        <v>1684</v>
      </c>
      <c r="B1745" s="1831">
        <f>'Tax Sched 23'!B5</f>
        <v>18688</v>
      </c>
      <c r="C1745" s="2" t="s">
        <v>569</v>
      </c>
      <c r="D1745" s="2" t="str">
        <f t="shared" si="26"/>
        <v>Error?</v>
      </c>
    </row>
    <row r="1746" spans="1:5" x14ac:dyDescent="0.2">
      <c r="A1746" s="5">
        <v>1685</v>
      </c>
      <c r="B1746" s="1831">
        <f>'Tax Sched 23'!B6</f>
        <v>28236</v>
      </c>
      <c r="C1746" s="2" t="s">
        <v>569</v>
      </c>
      <c r="D1746" s="2" t="str">
        <f t="shared" si="26"/>
        <v>Error?</v>
      </c>
    </row>
    <row r="1747" spans="1:5" x14ac:dyDescent="0.2">
      <c r="A1747" s="5">
        <v>1686</v>
      </c>
      <c r="B1747" s="1831">
        <f>'Tax Sched 23'!B7</f>
        <v>10686</v>
      </c>
      <c r="C1747" s="2" t="s">
        <v>569</v>
      </c>
      <c r="D1747" s="2" t="str">
        <f t="shared" si="26"/>
        <v>Error?</v>
      </c>
    </row>
    <row r="1748" spans="1:5" x14ac:dyDescent="0.2">
      <c r="A1748" s="5">
        <v>1687</v>
      </c>
      <c r="B1748" s="1831">
        <f>'Tax Sched 23'!B8</f>
        <v>9394</v>
      </c>
      <c r="C1748" s="2" t="s">
        <v>569</v>
      </c>
      <c r="D1748" s="2" t="str">
        <f t="shared" si="26"/>
        <v>Error?</v>
      </c>
    </row>
    <row r="1749" spans="1:5" x14ac:dyDescent="0.2">
      <c r="A1749" s="5">
        <v>1688</v>
      </c>
      <c r="B1749" s="1831">
        <f>'Tax Sched 23'!B10</f>
        <v>2983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62126</v>
      </c>
      <c r="C1752" s="2" t="s">
        <v>569</v>
      </c>
      <c r="D1752" s="2" t="str">
        <f t="shared" si="26"/>
        <v>Error?</v>
      </c>
    </row>
    <row r="1753" spans="1:5" x14ac:dyDescent="0.2">
      <c r="A1753" s="5">
        <v>1692</v>
      </c>
      <c r="B1753" s="1831">
        <f>'Tax Sched 23'!B12</f>
        <v>4722</v>
      </c>
      <c r="C1753" s="2" t="s">
        <v>569</v>
      </c>
      <c r="D1753" s="2" t="str">
        <f t="shared" si="26"/>
        <v>Error?</v>
      </c>
    </row>
    <row r="1754" spans="1:5" x14ac:dyDescent="0.2">
      <c r="A1754" s="5">
        <v>1693</v>
      </c>
      <c r="B1754" s="1831">
        <f>'Tax Sched 23'!B14</f>
        <v>1442</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320968</v>
      </c>
      <c r="C1759" s="2" t="s">
        <v>569</v>
      </c>
      <c r="D1759" s="2" t="str">
        <f t="shared" si="26"/>
        <v>Error?</v>
      </c>
    </row>
    <row r="1760" spans="1:5" x14ac:dyDescent="0.2">
      <c r="A1760" s="5">
        <v>1699</v>
      </c>
      <c r="B1760" s="1831">
        <f>'Tax Sched 23'!D4</f>
        <v>165468</v>
      </c>
      <c r="C1760" s="2" t="s">
        <v>569</v>
      </c>
      <c r="D1760" s="2" t="str">
        <f t="shared" si="26"/>
        <v>Error?</v>
      </c>
    </row>
    <row r="1761" spans="1:7" x14ac:dyDescent="0.2">
      <c r="A1761" s="5">
        <v>1700</v>
      </c>
      <c r="B1761" s="1831">
        <f>'Tax Sched 23'!D5</f>
        <v>18688</v>
      </c>
      <c r="C1761" s="2" t="s">
        <v>569</v>
      </c>
      <c r="D1761" s="2" t="str">
        <f t="shared" si="26"/>
        <v>Error?</v>
      </c>
    </row>
    <row r="1762" spans="1:7" s="8" customFormat="1" x14ac:dyDescent="0.2">
      <c r="A1762" s="5">
        <v>1701</v>
      </c>
      <c r="B1762" s="1831">
        <f>'Tax Sched 23'!D6</f>
        <v>28236</v>
      </c>
      <c r="C1762" s="2" t="s">
        <v>569</v>
      </c>
      <c r="D1762" s="2" t="str">
        <f t="shared" si="26"/>
        <v>Error?</v>
      </c>
      <c r="E1762" s="9"/>
      <c r="G1762"/>
    </row>
    <row r="1763" spans="1:7" x14ac:dyDescent="0.2">
      <c r="A1763" s="5">
        <v>1702</v>
      </c>
      <c r="B1763" s="1831">
        <f>'Tax Sched 23'!D7</f>
        <v>10686</v>
      </c>
      <c r="C1763" s="2" t="s">
        <v>569</v>
      </c>
      <c r="D1763" s="2" t="str">
        <f t="shared" si="26"/>
        <v>Error?</v>
      </c>
    </row>
    <row r="1764" spans="1:7" x14ac:dyDescent="0.2">
      <c r="A1764" s="5">
        <v>1703</v>
      </c>
      <c r="B1764" s="1831">
        <f>'Tax Sched 23'!D8</f>
        <v>9394</v>
      </c>
      <c r="C1764" s="2" t="s">
        <v>569</v>
      </c>
      <c r="D1764" s="2" t="str">
        <f t="shared" si="26"/>
        <v>Error?</v>
      </c>
    </row>
    <row r="1765" spans="1:7" x14ac:dyDescent="0.2">
      <c r="A1765" s="5">
        <v>1704</v>
      </c>
      <c r="B1765" s="1831">
        <f>'Tax Sched 23'!D10</f>
        <v>2983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62126</v>
      </c>
      <c r="C1768" s="2" t="s">
        <v>569</v>
      </c>
      <c r="D1768" s="2" t="str">
        <f t="shared" si="26"/>
        <v>Error?</v>
      </c>
    </row>
    <row r="1769" spans="1:7" x14ac:dyDescent="0.2">
      <c r="A1769" s="5">
        <v>1708</v>
      </c>
      <c r="B1769" s="1831">
        <f>'Tax Sched 23'!D12</f>
        <v>4722</v>
      </c>
      <c r="C1769" s="2" t="s">
        <v>569</v>
      </c>
      <c r="D1769" s="2" t="str">
        <f t="shared" si="26"/>
        <v>Error?</v>
      </c>
    </row>
    <row r="1770" spans="1:7" x14ac:dyDescent="0.2">
      <c r="A1770" s="5">
        <v>1709</v>
      </c>
      <c r="B1770" s="1831">
        <f>'Tax Sched 23'!D14</f>
        <v>1442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320968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173587</v>
      </c>
      <c r="C1792" s="2" t="s">
        <v>569</v>
      </c>
      <c r="D1792" s="2" t="str">
        <f t="shared" si="27"/>
        <v>Error?</v>
      </c>
    </row>
    <row r="1793" spans="1:4" x14ac:dyDescent="0.2">
      <c r="A1793" s="5">
        <v>1732</v>
      </c>
      <c r="B1793" s="1831">
        <f>'Tax Sched 23'!F5</f>
        <v>58573</v>
      </c>
      <c r="C1793" s="2" t="s">
        <v>569</v>
      </c>
      <c r="D1793" s="2" t="str">
        <f t="shared" si="27"/>
        <v>Error?</v>
      </c>
    </row>
    <row r="1794" spans="1:4" x14ac:dyDescent="0.2">
      <c r="A1794" s="5">
        <v>1733</v>
      </c>
      <c r="B1794" s="1831">
        <f>'Tax Sched 23'!F6</f>
        <v>28987</v>
      </c>
      <c r="C1794" s="2" t="s">
        <v>569</v>
      </c>
      <c r="D1794" s="2" t="str">
        <f t="shared" si="27"/>
        <v>Error?</v>
      </c>
    </row>
    <row r="1795" spans="1:4" x14ac:dyDescent="0.2">
      <c r="A1795" s="5">
        <v>1734</v>
      </c>
      <c r="B1795" s="1831">
        <f>'Tax Sched 23'!F7</f>
        <v>10899</v>
      </c>
      <c r="C1795" s="2" t="s">
        <v>569</v>
      </c>
      <c r="D1795" s="2" t="str">
        <f t="shared" si="27"/>
        <v>Error?</v>
      </c>
    </row>
    <row r="1796" spans="1:4" x14ac:dyDescent="0.2">
      <c r="A1796" s="5">
        <v>1735</v>
      </c>
      <c r="B1796" s="1831">
        <f>'Tax Sched 23'!F8</f>
        <v>9582</v>
      </c>
      <c r="C1796" s="2" t="s">
        <v>569</v>
      </c>
      <c r="D1796" s="2" t="str">
        <f t="shared" si="27"/>
        <v>Error?</v>
      </c>
    </row>
    <row r="1797" spans="1:4" x14ac:dyDescent="0.2">
      <c r="A1797" s="5">
        <v>1736</v>
      </c>
      <c r="B1797" s="1831">
        <f>'Tax Sched 23'!F10</f>
        <v>3042</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20144</v>
      </c>
      <c r="C1800" s="2" t="s">
        <v>569</v>
      </c>
      <c r="D1800" s="2" t="str">
        <f t="shared" si="27"/>
        <v>Error?</v>
      </c>
    </row>
    <row r="1801" spans="1:4" x14ac:dyDescent="0.2">
      <c r="A1801" s="5">
        <v>1740</v>
      </c>
      <c r="B1801" s="1831">
        <f>'Tax Sched 23'!F12</f>
        <v>4816</v>
      </c>
      <c r="C1801" s="2" t="s">
        <v>569</v>
      </c>
      <c r="D1801" s="2" t="str">
        <f t="shared" si="27"/>
        <v>Error?</v>
      </c>
    </row>
    <row r="1802" spans="1:4" x14ac:dyDescent="0.2">
      <c r="A1802" s="5">
        <v>1741</v>
      </c>
      <c r="B1802" s="1831">
        <f>'Tax Sched 23'!F14</f>
        <v>1471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328667</v>
      </c>
      <c r="C1807" s="2" t="s">
        <v>569</v>
      </c>
      <c r="D1807" s="2" t="str">
        <f t="shared" si="27"/>
        <v>Error?</v>
      </c>
    </row>
    <row r="1808" spans="1:4" x14ac:dyDescent="0.2">
      <c r="A1808" s="5">
        <v>1747</v>
      </c>
      <c r="B1808" s="1831">
        <f>'Tax Sched 23'!E4</f>
        <v>173587</v>
      </c>
      <c r="D1808" s="2" t="str">
        <f t="shared" si="27"/>
        <v>Error?</v>
      </c>
    </row>
    <row r="1809" spans="1:4" x14ac:dyDescent="0.2">
      <c r="A1809" s="5">
        <v>1748</v>
      </c>
      <c r="B1809" s="1831">
        <f>'Tax Sched 23'!E5</f>
        <v>58573</v>
      </c>
      <c r="D1809" s="2" t="str">
        <f t="shared" si="27"/>
        <v>Error?</v>
      </c>
    </row>
    <row r="1810" spans="1:4" x14ac:dyDescent="0.2">
      <c r="A1810" s="5">
        <v>1749</v>
      </c>
      <c r="B1810" s="1831">
        <f>'Tax Sched 23'!E6</f>
        <v>28987</v>
      </c>
      <c r="D1810" s="2" t="str">
        <f t="shared" si="27"/>
        <v>Error?</v>
      </c>
    </row>
    <row r="1811" spans="1:4" x14ac:dyDescent="0.2">
      <c r="A1811" s="5">
        <v>1750</v>
      </c>
      <c r="B1811" s="1831">
        <f>'Tax Sched 23'!E7</f>
        <v>10899</v>
      </c>
      <c r="D1811" s="2" t="str">
        <f t="shared" si="27"/>
        <v>Error?</v>
      </c>
    </row>
    <row r="1812" spans="1:4" x14ac:dyDescent="0.2">
      <c r="A1812" s="5">
        <v>1751</v>
      </c>
      <c r="B1812" s="1831">
        <f>'Tax Sched 23'!E8</f>
        <v>9582</v>
      </c>
      <c r="D1812" s="2" t="str">
        <f t="shared" si="27"/>
        <v>Error?</v>
      </c>
    </row>
    <row r="1813" spans="1:4" x14ac:dyDescent="0.2">
      <c r="A1813" s="5">
        <v>1752</v>
      </c>
      <c r="B1813" s="1831">
        <f>'Tax Sched 23'!E10</f>
        <v>3042</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20144</v>
      </c>
      <c r="D1816" s="2" t="str">
        <f t="shared" si="27"/>
        <v>Error?</v>
      </c>
    </row>
    <row r="1817" spans="1:4" x14ac:dyDescent="0.2">
      <c r="A1817" s="5">
        <v>1756</v>
      </c>
      <c r="B1817" s="1831">
        <f>'Tax Sched 23'!E12</f>
        <v>4816</v>
      </c>
      <c r="D1817" s="2" t="str">
        <f t="shared" si="27"/>
        <v>Error?</v>
      </c>
    </row>
    <row r="1818" spans="1:4" x14ac:dyDescent="0.2">
      <c r="A1818" s="5">
        <v>1757</v>
      </c>
      <c r="B1818" s="1831">
        <f>'Tax Sched 23'!E14</f>
        <v>1471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328667</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250000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1442</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14</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1456</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1456</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9832</v>
      </c>
      <c r="D2008" s="2" t="str">
        <f t="shared" si="30"/>
        <v>Error?</v>
      </c>
    </row>
    <row r="2009" spans="1:4" x14ac:dyDescent="0.2">
      <c r="A2009" s="5">
        <v>1948</v>
      </c>
      <c r="B2009" s="1831">
        <f>'Cap Outlay Deprec 26'!C8</f>
        <v>1112928</v>
      </c>
      <c r="D2009" s="2" t="str">
        <f t="shared" si="30"/>
        <v>Error?</v>
      </c>
    </row>
    <row r="2010" spans="1:4" x14ac:dyDescent="0.2">
      <c r="A2010" s="5">
        <v>1949</v>
      </c>
      <c r="B2010" s="1831">
        <f>'Cap Outlay Deprec 26'!C10</f>
        <v>20470</v>
      </c>
      <c r="D2010" s="2" t="str">
        <f t="shared" si="30"/>
        <v>Error?</v>
      </c>
    </row>
    <row r="2011" spans="1:4" x14ac:dyDescent="0.2">
      <c r="A2011" s="5">
        <v>1950</v>
      </c>
      <c r="B2011" s="1831">
        <f>'Cap Outlay Deprec 26'!C12</f>
        <v>589731</v>
      </c>
      <c r="D2011" s="2" t="str">
        <f t="shared" si="30"/>
        <v>Error?</v>
      </c>
    </row>
    <row r="2012" spans="1:4" x14ac:dyDescent="0.2">
      <c r="A2012" s="5">
        <v>1951</v>
      </c>
      <c r="B2012" s="1831">
        <f>'Cap Outlay Deprec 26'!C13</f>
        <v>24646</v>
      </c>
      <c r="D2012" s="2" t="str">
        <f t="shared" si="30"/>
        <v>Error?</v>
      </c>
    </row>
    <row r="2013" spans="1:4" x14ac:dyDescent="0.2">
      <c r="A2013" s="5">
        <v>1952</v>
      </c>
      <c r="B2013" s="1831">
        <f>'Cap Outlay Deprec 26'!C16</f>
        <v>1757607</v>
      </c>
      <c r="C2013" s="2" t="s">
        <v>569</v>
      </c>
      <c r="D2013" s="2" t="str">
        <f t="shared" si="30"/>
        <v>Error?</v>
      </c>
    </row>
    <row r="2014" spans="1:4" x14ac:dyDescent="0.2">
      <c r="A2014" s="5">
        <v>1953</v>
      </c>
      <c r="B2014" s="1831">
        <f>'Cap Outlay Deprec 26'!D5</f>
        <v>13482</v>
      </c>
      <c r="D2014" s="2" t="str">
        <f t="shared" si="30"/>
        <v>Error?</v>
      </c>
    </row>
    <row r="2015" spans="1:4" x14ac:dyDescent="0.2">
      <c r="A2015" s="5">
        <v>1954</v>
      </c>
      <c r="B2015" s="1831">
        <f>'Cap Outlay Deprec 26'!D8</f>
        <v>131982</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9101</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163856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11500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11500</v>
      </c>
      <c r="C2025" s="2" t="s">
        <v>569</v>
      </c>
      <c r="D2025" s="2" t="str">
        <f t="shared" si="30"/>
        <v>Error?</v>
      </c>
    </row>
    <row r="2026" spans="1:4" x14ac:dyDescent="0.2">
      <c r="A2026" s="5">
        <v>1965</v>
      </c>
      <c r="B2026" s="1831">
        <f>'Cap Outlay Deprec 26'!F5</f>
        <v>23314</v>
      </c>
      <c r="C2026" s="2" t="s">
        <v>569</v>
      </c>
      <c r="D2026" s="2" t="str">
        <f t="shared" si="30"/>
        <v>Error?</v>
      </c>
    </row>
    <row r="2027" spans="1:4" x14ac:dyDescent="0.2">
      <c r="A2027" s="5">
        <v>1966</v>
      </c>
      <c r="B2027" s="1831">
        <f>'Cap Outlay Deprec 26'!F8</f>
        <v>1244910</v>
      </c>
      <c r="C2027" s="2" t="s">
        <v>569</v>
      </c>
      <c r="D2027" s="2" t="str">
        <f t="shared" si="30"/>
        <v>Error?</v>
      </c>
    </row>
    <row r="2028" spans="1:4" x14ac:dyDescent="0.2">
      <c r="A2028" s="5">
        <v>1967</v>
      </c>
      <c r="B2028" s="1831">
        <f>'Cap Outlay Deprec 26'!F10</f>
        <v>20470</v>
      </c>
      <c r="C2028" s="2" t="s">
        <v>569</v>
      </c>
      <c r="D2028" s="2" t="str">
        <f t="shared" si="30"/>
        <v>Error?</v>
      </c>
    </row>
    <row r="2029" spans="1:4" x14ac:dyDescent="0.2">
      <c r="A2029" s="5">
        <v>1968</v>
      </c>
      <c r="B2029" s="1831">
        <f>'Cap Outlay Deprec 26'!F12</f>
        <v>587332</v>
      </c>
      <c r="C2029" s="2" t="s">
        <v>569</v>
      </c>
      <c r="D2029" s="2" t="str">
        <f t="shared" si="30"/>
        <v>Error?</v>
      </c>
    </row>
    <row r="2030" spans="1:4" x14ac:dyDescent="0.2">
      <c r="A2030" s="5">
        <v>1969</v>
      </c>
      <c r="B2030" s="1831">
        <f>'Cap Outlay Deprec 26'!F13</f>
        <v>24646</v>
      </c>
      <c r="C2030" s="2" t="s">
        <v>569</v>
      </c>
      <c r="D2030" s="2" t="str">
        <f t="shared" si="30"/>
        <v>Error?</v>
      </c>
    </row>
    <row r="2031" spans="1:4" x14ac:dyDescent="0.2">
      <c r="A2031" s="5">
        <v>1970</v>
      </c>
      <c r="B2031" s="1831">
        <f>'Cap Outlay Deprec 26'!F16</f>
        <v>1909963</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683493</v>
      </c>
      <c r="D2033" s="2" t="str">
        <f t="shared" si="30"/>
        <v>Error?</v>
      </c>
    </row>
    <row r="2034" spans="1:4" x14ac:dyDescent="0.2">
      <c r="A2034" s="5">
        <v>1973</v>
      </c>
      <c r="B2034" s="1831">
        <f>'Cap Outlay Deprec 26'!H10</f>
        <v>18815</v>
      </c>
      <c r="D2034" s="2" t="str">
        <f t="shared" si="30"/>
        <v>Error?</v>
      </c>
    </row>
    <row r="2035" spans="1:4" x14ac:dyDescent="0.2">
      <c r="A2035" s="5">
        <v>1974</v>
      </c>
      <c r="B2035" s="1831">
        <f>'Cap Outlay Deprec 26'!H12</f>
        <v>395047</v>
      </c>
      <c r="D2035" s="2" t="str">
        <f t="shared" si="30"/>
        <v>Error?</v>
      </c>
    </row>
    <row r="2036" spans="1:4" x14ac:dyDescent="0.2">
      <c r="A2036" s="5">
        <v>1975</v>
      </c>
      <c r="B2036" s="1831">
        <f>'Cap Outlay Deprec 26'!H13</f>
        <v>9185</v>
      </c>
      <c r="D2036" s="2" t="str">
        <f t="shared" si="30"/>
        <v>Error?</v>
      </c>
    </row>
    <row r="2037" spans="1:4" x14ac:dyDescent="0.2">
      <c r="A2037" s="5">
        <v>1976</v>
      </c>
      <c r="B2037" s="1831">
        <f>'Cap Outlay Deprec 26'!H16</f>
        <v>1106540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24610</v>
      </c>
      <c r="D2039" s="2" t="str">
        <f t="shared" si="30"/>
        <v>Error?</v>
      </c>
    </row>
    <row r="2040" spans="1:4" x14ac:dyDescent="0.2">
      <c r="A2040" s="5">
        <v>1979</v>
      </c>
      <c r="B2040" s="1831">
        <f>'Cap Outlay Deprec 26'!I10</f>
        <v>525</v>
      </c>
      <c r="D2040" s="2" t="str">
        <f t="shared" si="30"/>
        <v>Error?</v>
      </c>
    </row>
    <row r="2041" spans="1:4" x14ac:dyDescent="0.2">
      <c r="A2041" s="5">
        <v>1980</v>
      </c>
      <c r="B2041" s="1831">
        <f>'Cap Outlay Deprec 26'!I12</f>
        <v>28380</v>
      </c>
      <c r="D2041" s="2" t="str">
        <f t="shared" si="30"/>
        <v>Error?</v>
      </c>
    </row>
    <row r="2042" spans="1:4" x14ac:dyDescent="0.2">
      <c r="A2042" s="5">
        <v>1981</v>
      </c>
      <c r="B2042" s="1831">
        <f>'Cap Outlay Deprec 26'!I13</f>
        <v>3769</v>
      </c>
      <c r="D2042" s="2" t="str">
        <f t="shared" si="30"/>
        <v>Error?</v>
      </c>
    </row>
    <row r="2043" spans="1:4" x14ac:dyDescent="0.2">
      <c r="A2043" s="5">
        <v>1982</v>
      </c>
      <c r="B2043" s="1831">
        <f>'Cap Outlay Deprec 26'!I16</f>
        <v>57284</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11500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11500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708103</v>
      </c>
      <c r="C2051" s="2" t="s">
        <v>569</v>
      </c>
      <c r="D2051" s="2" t="str">
        <f t="shared" si="31"/>
        <v>Error?</v>
      </c>
    </row>
    <row r="2052" spans="1:4" x14ac:dyDescent="0.2">
      <c r="A2052" s="5">
        <v>1991</v>
      </c>
      <c r="B2052" s="1831">
        <f>'Cap Outlay Deprec 26'!K10</f>
        <v>19340</v>
      </c>
      <c r="C2052" s="2" t="s">
        <v>569</v>
      </c>
      <c r="D2052" s="2" t="str">
        <f t="shared" si="31"/>
        <v>Error?</v>
      </c>
    </row>
    <row r="2053" spans="1:4" x14ac:dyDescent="0.2">
      <c r="A2053" s="5">
        <v>1992</v>
      </c>
      <c r="B2053" s="1831">
        <f>'Cap Outlay Deprec 26'!K12</f>
        <v>411927</v>
      </c>
      <c r="C2053" s="2" t="s">
        <v>569</v>
      </c>
      <c r="D2053" s="2" t="str">
        <f t="shared" si="31"/>
        <v>Error?</v>
      </c>
    </row>
    <row r="2054" spans="1:4" x14ac:dyDescent="0.2">
      <c r="A2054" s="5">
        <v>1993</v>
      </c>
      <c r="B2054" s="1831">
        <f>'Cap Outlay Deprec 26'!K13</f>
        <v>12954</v>
      </c>
      <c r="C2054" s="2" t="s">
        <v>569</v>
      </c>
      <c r="D2054" s="2" t="str">
        <f t="shared" si="31"/>
        <v>Error?</v>
      </c>
    </row>
    <row r="2055" spans="1:4" x14ac:dyDescent="0.2">
      <c r="A2055" s="5">
        <v>1994</v>
      </c>
      <c r="B2055" s="1831">
        <f>'Cap Outlay Deprec 26'!K16</f>
        <v>1152324</v>
      </c>
      <c r="C2055" s="2" t="s">
        <v>569</v>
      </c>
      <c r="D2055" s="2" t="str">
        <f t="shared" si="31"/>
        <v>Error?</v>
      </c>
    </row>
    <row r="2056" spans="1:4" x14ac:dyDescent="0.2">
      <c r="A2056" s="5">
        <v>1995</v>
      </c>
      <c r="B2056" s="1831">
        <f>'Cap Outlay Deprec 26'!L5</f>
        <v>23314</v>
      </c>
      <c r="C2056" s="2" t="s">
        <v>569</v>
      </c>
      <c r="D2056" s="2" t="str">
        <f t="shared" si="31"/>
        <v>Error?</v>
      </c>
    </row>
    <row r="2057" spans="1:4" x14ac:dyDescent="0.2">
      <c r="A2057" s="5">
        <v>1996</v>
      </c>
      <c r="B2057" s="1831">
        <f>'Cap Outlay Deprec 26'!L8</f>
        <v>536807</v>
      </c>
      <c r="C2057" s="2" t="s">
        <v>569</v>
      </c>
      <c r="D2057" s="2" t="str">
        <f t="shared" si="31"/>
        <v>Error?</v>
      </c>
    </row>
    <row r="2058" spans="1:4" x14ac:dyDescent="0.2">
      <c r="A2058" s="5">
        <v>1997</v>
      </c>
      <c r="B2058" s="1831">
        <f>'Cap Outlay Deprec 26'!L10</f>
        <v>1130</v>
      </c>
      <c r="C2058" s="2" t="s">
        <v>569</v>
      </c>
      <c r="D2058" s="2" t="str">
        <f t="shared" si="31"/>
        <v>Error?</v>
      </c>
    </row>
    <row r="2059" spans="1:4" x14ac:dyDescent="0.2">
      <c r="A2059" s="5">
        <v>1998</v>
      </c>
      <c r="B2059" s="1831">
        <f>'Cap Outlay Deprec 26'!L12</f>
        <v>175405</v>
      </c>
      <c r="C2059" s="2" t="s">
        <v>569</v>
      </c>
      <c r="D2059" s="2" t="str">
        <f t="shared" si="31"/>
        <v>Error?</v>
      </c>
    </row>
    <row r="2060" spans="1:4" x14ac:dyDescent="0.2">
      <c r="A2060" s="5">
        <v>1999</v>
      </c>
      <c r="B2060" s="1831">
        <f>'Cap Outlay Deprec 26'!L13</f>
        <v>11692</v>
      </c>
      <c r="C2060" s="2" t="s">
        <v>569</v>
      </c>
      <c r="D2060" s="2" t="str">
        <f t="shared" si="31"/>
        <v>Error?</v>
      </c>
    </row>
    <row r="2061" spans="1:4" x14ac:dyDescent="0.2">
      <c r="A2061" s="5">
        <v>2000</v>
      </c>
      <c r="B2061" s="1831">
        <f>'Cap Outlay Deprec 26'!L16</f>
        <v>757639</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3343</v>
      </c>
      <c r="C2088" s="2" t="s">
        <v>569</v>
      </c>
      <c r="D2088" s="2" t="str">
        <f t="shared" si="31"/>
        <v>Error?</v>
      </c>
    </row>
    <row r="2089" spans="1:4" x14ac:dyDescent="0.2">
      <c r="A2089" s="5">
        <v>2028</v>
      </c>
      <c r="B2089" s="1831">
        <f>'Expenditures 15-22'!K92</f>
        <v>21121</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3024</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45354</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5906</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197381</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516235</v>
      </c>
      <c r="C2553" s="2" t="s">
        <v>569</v>
      </c>
      <c r="D2553" s="2" t="str">
        <f t="shared" si="38"/>
        <v>Error?</v>
      </c>
    </row>
    <row r="2554" spans="1:4" x14ac:dyDescent="0.2">
      <c r="A2554" s="5">
        <v>2493</v>
      </c>
      <c r="B2554" s="1831">
        <f>'Acct Summary 7-8'!C7</f>
        <v>98040</v>
      </c>
      <c r="C2554" s="2" t="s">
        <v>569</v>
      </c>
      <c r="D2554" s="2" t="str">
        <f t="shared" si="38"/>
        <v>Error?</v>
      </c>
    </row>
    <row r="2555" spans="1:4" x14ac:dyDescent="0.2">
      <c r="A2555" s="5">
        <v>2494</v>
      </c>
      <c r="B2555" s="1831">
        <f>'Acct Summary 7-8'!C8</f>
        <v>811656</v>
      </c>
      <c r="C2555" s="2" t="s">
        <v>569</v>
      </c>
      <c r="D2555" s="2" t="str">
        <f t="shared" si="38"/>
        <v>Error?</v>
      </c>
    </row>
    <row r="2556" spans="1:4" x14ac:dyDescent="0.2">
      <c r="A2556" s="5">
        <v>2495</v>
      </c>
      <c r="B2556" s="1831">
        <f>'Acct Summary 7-8'!C12</f>
        <v>500533</v>
      </c>
      <c r="C2556" s="2" t="s">
        <v>569</v>
      </c>
      <c r="D2556" s="2" t="str">
        <f t="shared" si="38"/>
        <v>Error?</v>
      </c>
    </row>
    <row r="2557" spans="1:4" x14ac:dyDescent="0.2">
      <c r="A2557" s="5">
        <v>2496</v>
      </c>
      <c r="B2557" s="1831">
        <f>'Acct Summary 7-8'!C13</f>
        <v>208116</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24464</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733113</v>
      </c>
      <c r="C2561" s="2" t="s">
        <v>569</v>
      </c>
      <c r="D2561" s="2" t="str">
        <f t="shared" si="39"/>
        <v>Error?</v>
      </c>
    </row>
    <row r="2562" spans="1:4" x14ac:dyDescent="0.2">
      <c r="A2562" s="5">
        <v>2501</v>
      </c>
      <c r="B2562" s="1831">
        <f>'Acct Summary 7-8'!C20</f>
        <v>78543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18923</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93339</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112262</v>
      </c>
      <c r="C2568" s="2" t="s">
        <v>569</v>
      </c>
      <c r="D2568" s="2" t="str">
        <f t="shared" si="39"/>
        <v>Error?</v>
      </c>
    </row>
    <row r="2569" spans="1:4" x14ac:dyDescent="0.2">
      <c r="A2569" s="5">
        <v>2508</v>
      </c>
      <c r="B2569" s="1831">
        <f>'Acct Summary 7-8'!D13</f>
        <v>60321</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60321</v>
      </c>
      <c r="C2573" s="2" t="s">
        <v>569</v>
      </c>
      <c r="D2573" s="2" t="str">
        <f t="shared" si="39"/>
        <v>Error?</v>
      </c>
    </row>
    <row r="2574" spans="1:4" x14ac:dyDescent="0.2">
      <c r="A2574" s="5">
        <v>2513</v>
      </c>
      <c r="B2574" s="1831">
        <f>'Acct Summary 7-8'!D20</f>
        <v>51941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11000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63574</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74574</v>
      </c>
      <c r="C2595" s="2" t="s">
        <v>569</v>
      </c>
      <c r="D2595" s="2" t="str">
        <f t="shared" si="39"/>
        <v>Error?</v>
      </c>
    </row>
    <row r="2596" spans="1:4" x14ac:dyDescent="0.2">
      <c r="A2596" s="5">
        <v>2535</v>
      </c>
      <c r="B2596" s="1831">
        <f>'Acct Summary 7-8'!F13</f>
        <v>73624</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73624</v>
      </c>
      <c r="C2600" s="2" t="s">
        <v>569</v>
      </c>
      <c r="D2600" s="2" t="str">
        <f t="shared" si="39"/>
        <v>Error?</v>
      </c>
    </row>
    <row r="2601" spans="1:4" x14ac:dyDescent="0.2">
      <c r="A2601" s="5">
        <v>2540</v>
      </c>
      <c r="B2601" s="1831">
        <f>'Acct Summary 7-8'!F20</f>
        <v>950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46240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46240</v>
      </c>
      <c r="C2606" s="2" t="s">
        <v>569</v>
      </c>
      <c r="D2606" s="2" t="str">
        <f t="shared" si="39"/>
        <v>Error?</v>
      </c>
    </row>
    <row r="2607" spans="1:4" x14ac:dyDescent="0.2">
      <c r="A2607" s="5">
        <v>2546</v>
      </c>
      <c r="B2607" s="1831">
        <f>'Acct Summary 7-8'!G12</f>
        <v>24302</v>
      </c>
      <c r="C2607" s="2" t="s">
        <v>569</v>
      </c>
      <c r="D2607" s="2" t="str">
        <f t="shared" si="39"/>
        <v>Error?</v>
      </c>
    </row>
    <row r="2608" spans="1:4" x14ac:dyDescent="0.2">
      <c r="A2608" s="5">
        <v>2547</v>
      </c>
      <c r="B2608" s="1831">
        <f>'Acct Summary 7-8'!G13</f>
        <v>19110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43412</v>
      </c>
      <c r="C2612" s="2" t="s">
        <v>569</v>
      </c>
      <c r="D2612" s="2" t="str">
        <f t="shared" si="39"/>
        <v>Error?</v>
      </c>
    </row>
    <row r="2613" spans="1:4" x14ac:dyDescent="0.2">
      <c r="A2613" s="5">
        <v>2552</v>
      </c>
      <c r="B2613" s="1831">
        <f>'Acct Summary 7-8'!G20</f>
        <v>2828</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28608</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28608</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28479</v>
      </c>
      <c r="C2634" s="2" t="s">
        <v>569</v>
      </c>
      <c r="D2634" s="2" t="str">
        <f t="shared" si="40"/>
        <v>Error?</v>
      </c>
    </row>
    <row r="2635" spans="1:4" x14ac:dyDescent="0.2">
      <c r="A2635" s="5">
        <v>2574</v>
      </c>
      <c r="B2635" s="1831">
        <f>'Acct Summary 7-8'!E17</f>
        <v>28479</v>
      </c>
      <c r="C2635" s="2" t="s">
        <v>569</v>
      </c>
      <c r="D2635" s="2" t="str">
        <f t="shared" si="40"/>
        <v>Error?</v>
      </c>
    </row>
    <row r="2636" spans="1:4" x14ac:dyDescent="0.2">
      <c r="A2636" s="5">
        <v>2575</v>
      </c>
      <c r="B2636" s="1831">
        <f>'Acct Summary 7-8'!E20</f>
        <v>129</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3343</v>
      </c>
      <c r="C2789" s="2" t="s">
        <v>569</v>
      </c>
      <c r="D2789" s="2" t="str">
        <f t="shared" si="42"/>
        <v>Error?</v>
      </c>
    </row>
    <row r="2790" spans="1:4" x14ac:dyDescent="0.2">
      <c r="A2790" s="5">
        <v>2729</v>
      </c>
      <c r="B2790" s="1831">
        <f>'Expenditures 15-22'!E102</f>
        <v>3343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9291</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22243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22243</v>
      </c>
      <c r="D2914" s="2" t="str">
        <f t="shared" si="44"/>
        <v>Error?</v>
      </c>
    </row>
    <row r="2915" spans="1:4" x14ac:dyDescent="0.2">
      <c r="A2915" s="10">
        <v>2854</v>
      </c>
      <c r="B2915" s="1831"/>
      <c r="D2915" s="2" t="str">
        <f t="shared" si="44"/>
        <v>OK</v>
      </c>
    </row>
    <row r="2916" spans="1:4" x14ac:dyDescent="0.2">
      <c r="A2916" s="5">
        <v>2855</v>
      </c>
      <c r="B2916" s="1831">
        <f>'Assets-Liab 5-6'!L34</f>
        <v>22243</v>
      </c>
      <c r="C2916" s="2" t="s">
        <v>569</v>
      </c>
      <c r="D2916" s="2" t="str">
        <f t="shared" si="44"/>
        <v>Error?</v>
      </c>
    </row>
    <row r="2917" spans="1:4" x14ac:dyDescent="0.2">
      <c r="A2917" s="5">
        <v>2856</v>
      </c>
      <c r="B2917" s="1831">
        <f>'Assets-Liab 5-6'!L41</f>
        <v>22243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3343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3343</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27870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27870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5298</v>
      </c>
      <c r="D3064" s="2" t="str">
        <f t="shared" si="46"/>
        <v>Error?</v>
      </c>
    </row>
    <row r="3065" spans="1:4" x14ac:dyDescent="0.2">
      <c r="A3065" s="5">
        <v>3004</v>
      </c>
      <c r="B3065" s="1831">
        <f>'Expenditures 15-22'!K219</f>
        <v>5298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3024</v>
      </c>
      <c r="C3225" s="2" t="s">
        <v>569</v>
      </c>
      <c r="D3225" s="2" t="str">
        <f t="shared" si="49"/>
        <v>Error?</v>
      </c>
    </row>
    <row r="3226" spans="1:4" x14ac:dyDescent="0.2">
      <c r="A3226" s="5">
        <v>3165</v>
      </c>
      <c r="B3226" s="1831">
        <f>'Acct Summary 7-8'!I8</f>
        <v>3024</v>
      </c>
      <c r="C3226" s="2" t="s">
        <v>569</v>
      </c>
      <c r="D3226" s="2" t="str">
        <f t="shared" si="49"/>
        <v>Error?</v>
      </c>
    </row>
    <row r="3227" spans="1:4" x14ac:dyDescent="0.2">
      <c r="A3227" s="5">
        <v>3166</v>
      </c>
      <c r="B3227" s="1831">
        <f>'Acct Summary 7-8'!I20</f>
        <v>3024</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3024</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3024</v>
      </c>
      <c r="C3232" s="2" t="s">
        <v>569</v>
      </c>
      <c r="D3232" s="2" t="str">
        <f t="shared" si="49"/>
        <v>Error?</v>
      </c>
    </row>
    <row r="3233" spans="1:4" x14ac:dyDescent="0.2">
      <c r="A3233" s="5">
        <v>3172</v>
      </c>
      <c r="B3233" s="1831">
        <f>'Acct Summary 7-8'!C78</f>
        <v>81567</v>
      </c>
      <c r="C3233" s="2" t="s">
        <v>569</v>
      </c>
      <c r="D3233" s="2" t="str">
        <f t="shared" si="49"/>
        <v>Error?</v>
      </c>
    </row>
    <row r="3234" spans="1:4" x14ac:dyDescent="0.2">
      <c r="A3234" s="5">
        <v>3173</v>
      </c>
      <c r="B3234" s="1831">
        <f>'Acct Summary 7-8'!D43</f>
        <v>75000</v>
      </c>
      <c r="D3234" s="2" t="str">
        <f t="shared" si="49"/>
        <v>Error?</v>
      </c>
    </row>
    <row r="3235" spans="1:4" x14ac:dyDescent="0.2">
      <c r="A3235" s="5">
        <v>3174</v>
      </c>
      <c r="B3235" s="1831">
        <f>'Acct Summary 7-8'!D44</f>
        <v>75000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75000</v>
      </c>
      <c r="C3238" s="2" t="s">
        <v>569</v>
      </c>
      <c r="D3238" s="2" t="str">
        <f t="shared" si="49"/>
        <v>Error?</v>
      </c>
    </row>
    <row r="3239" spans="1:4" x14ac:dyDescent="0.2">
      <c r="A3239" s="5">
        <v>3178</v>
      </c>
      <c r="B3239" s="1831">
        <f>'Acct Summary 7-8'!D78</f>
        <v>126941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950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2828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129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3024</v>
      </c>
      <c r="C3318" s="2" t="s">
        <v>569</v>
      </c>
      <c r="D3318" s="2" t="str">
        <f t="shared" si="50"/>
        <v>Error?</v>
      </c>
    </row>
    <row r="3319" spans="1:4" x14ac:dyDescent="0.2">
      <c r="A3319" s="5">
        <v>3258</v>
      </c>
      <c r="B3319" s="1831">
        <f>'Acct Summary 7-8'!I77</f>
        <v>-3024</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89058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1563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90621</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17383</v>
      </c>
      <c r="D3387" s="2" t="str">
        <f t="shared" si="51"/>
        <v>Error?</v>
      </c>
    </row>
    <row r="3388" spans="1:4" x14ac:dyDescent="0.2">
      <c r="A3388" s="5">
        <v>3327</v>
      </c>
      <c r="B3388" s="1831">
        <f>'Expenditures 15-22'!D217</f>
        <v>1290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17383</v>
      </c>
      <c r="C3390" s="2" t="s">
        <v>569</v>
      </c>
      <c r="D3390" s="2" t="str">
        <f t="shared" si="51"/>
        <v>Error?</v>
      </c>
    </row>
    <row r="3391" spans="1:4" x14ac:dyDescent="0.2">
      <c r="A3391" s="5">
        <v>3330</v>
      </c>
      <c r="B3391" s="1831">
        <f>'Expenditures 15-22'!K217</f>
        <v>1290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203587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131965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7556</v>
      </c>
      <c r="D3417" s="2" t="str">
        <f t="shared" si="52"/>
        <v>Error?</v>
      </c>
    </row>
    <row r="3418" spans="1:4" x14ac:dyDescent="0.2">
      <c r="A3418" s="10">
        <v>3357</v>
      </c>
      <c r="B3418" s="1831"/>
      <c r="D3418" s="2" t="str">
        <f t="shared" si="52"/>
        <v>OK</v>
      </c>
    </row>
    <row r="3419" spans="1:4" x14ac:dyDescent="0.2">
      <c r="A3419" s="5">
        <v>3358</v>
      </c>
      <c r="B3419" s="1831">
        <f>'Assets-Liab 5-6'!F4</f>
        <v>33102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11811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22243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13495</v>
      </c>
      <c r="C3446" s="2" t="s">
        <v>569</v>
      </c>
      <c r="D3446" s="2" t="str">
        <f t="shared" si="52"/>
        <v>Error?</v>
      </c>
    </row>
    <row r="3447" spans="1:4" x14ac:dyDescent="0.2">
      <c r="A3447" s="5">
        <v>3386</v>
      </c>
      <c r="B3447" s="1831">
        <f>'Tax Sched 23'!D16</f>
        <v>13495</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13764</v>
      </c>
      <c r="C3449" s="2" t="s">
        <v>569</v>
      </c>
      <c r="D3449" s="2" t="str">
        <f t="shared" si="52"/>
        <v>Error?</v>
      </c>
    </row>
    <row r="3450" spans="1:4" x14ac:dyDescent="0.2">
      <c r="A3450" s="5">
        <v>3389</v>
      </c>
      <c r="B3450" s="1831">
        <f>'Tax Sched 23'!E16</f>
        <v>13764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9291</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9291</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9291</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46680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46680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46680</v>
      </c>
      <c r="D3567" s="2" t="str">
        <f t="shared" si="54"/>
        <v>Error?</v>
      </c>
    </row>
    <row r="3568" spans="1:4" x14ac:dyDescent="0.2">
      <c r="A3568" s="5">
        <v>3507</v>
      </c>
      <c r="B3568" s="1831">
        <f>'Assets-Liab 5-6'!K41</f>
        <v>46680</v>
      </c>
      <c r="C3568" s="2" t="s">
        <v>569</v>
      </c>
      <c r="D3568" s="2" t="str">
        <f t="shared" si="54"/>
        <v>Error?</v>
      </c>
    </row>
    <row r="3569" spans="1:4" x14ac:dyDescent="0.2">
      <c r="A3569" s="5">
        <v>3508</v>
      </c>
      <c r="B3569" s="1831">
        <f>'Acct Summary 7-8'!K4</f>
        <v>5367</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5367</v>
      </c>
      <c r="C3571" s="2" t="s">
        <v>569</v>
      </c>
      <c r="D3571" s="2" t="str">
        <f t="shared" si="54"/>
        <v>Error?</v>
      </c>
    </row>
    <row r="3572" spans="1:4" x14ac:dyDescent="0.2">
      <c r="A3572" s="5">
        <v>3511</v>
      </c>
      <c r="B3572" s="1831">
        <f>'Acct Summary 7-8'!K13</f>
        <v>133099</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133099</v>
      </c>
      <c r="C3575" s="2" t="s">
        <v>569</v>
      </c>
      <c r="D3575" s="2" t="str">
        <f t="shared" si="54"/>
        <v>Error?</v>
      </c>
    </row>
    <row r="3576" spans="1:4" x14ac:dyDescent="0.2">
      <c r="A3576" s="5">
        <v>3515</v>
      </c>
      <c r="B3576" s="1831">
        <f>'Acct Summary 7-8'!K20</f>
        <v>-127732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75000</v>
      </c>
      <c r="D3585" s="2" t="str">
        <f t="shared" si="55"/>
        <v>Error?</v>
      </c>
    </row>
    <row r="3586" spans="1:4" x14ac:dyDescent="0.2">
      <c r="A3586" s="5">
        <v>3525</v>
      </c>
      <c r="B3586" s="1831">
        <f>'Acct Summary 7-8'!K76</f>
        <v>75000</v>
      </c>
      <c r="C3586" s="2" t="s">
        <v>569</v>
      </c>
      <c r="D3586" s="2" t="str">
        <f t="shared" si="55"/>
        <v>Error?</v>
      </c>
    </row>
    <row r="3587" spans="1:4" x14ac:dyDescent="0.2">
      <c r="A3587" s="5">
        <v>3526</v>
      </c>
      <c r="B3587" s="1831">
        <f>'Acct Summary 7-8'!K77</f>
        <v>-75000</v>
      </c>
      <c r="C3587" s="2" t="s">
        <v>569</v>
      </c>
      <c r="D3587" s="2" t="str">
        <f t="shared" si="55"/>
        <v>Error?</v>
      </c>
    </row>
    <row r="3588" spans="1:4" x14ac:dyDescent="0.2">
      <c r="A3588" s="5">
        <v>3527</v>
      </c>
      <c r="B3588" s="1831">
        <f>'Acct Summary 7-8'!K78</f>
        <v>-202732</v>
      </c>
      <c r="C3588" s="2" t="s">
        <v>569</v>
      </c>
      <c r="D3588" s="2" t="str">
        <f t="shared" si="55"/>
        <v>Error?</v>
      </c>
    </row>
    <row r="3589" spans="1:4" x14ac:dyDescent="0.2">
      <c r="A3589" s="5">
        <v>3528</v>
      </c>
      <c r="B3589" s="1831">
        <f>'Acct Summary 7-8'!K79</f>
        <v>249412</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46680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1025</v>
      </c>
      <c r="D3632" s="2" t="str">
        <f t="shared" si="55"/>
        <v>Error?</v>
      </c>
    </row>
    <row r="3633" spans="1:4" x14ac:dyDescent="0.2">
      <c r="A3633" s="5">
        <v>3572</v>
      </c>
      <c r="B3633" s="1831">
        <f>'Expenditures 15-22'!E350</f>
        <v>1025</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1025</v>
      </c>
      <c r="C3635" s="2" t="s">
        <v>569</v>
      </c>
      <c r="D3635" s="2" t="str">
        <f t="shared" si="55"/>
        <v>Error?</v>
      </c>
    </row>
    <row r="3636" spans="1:4" x14ac:dyDescent="0.2">
      <c r="A3636" s="5">
        <v>3575</v>
      </c>
      <c r="B3636" s="1831">
        <f>'Expenditures 15-22'!E367</f>
        <v>1025</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92</v>
      </c>
      <c r="D3639" s="2" t="str">
        <f t="shared" si="55"/>
        <v>Error?</v>
      </c>
    </row>
    <row r="3640" spans="1:4" x14ac:dyDescent="0.2">
      <c r="A3640" s="5">
        <v>3579</v>
      </c>
      <c r="B3640" s="1831">
        <f>'Expenditures 15-22'!F350</f>
        <v>92</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92</v>
      </c>
      <c r="C3642" s="2" t="s">
        <v>569</v>
      </c>
      <c r="D3642" s="2" t="str">
        <f t="shared" si="55"/>
        <v>Error?</v>
      </c>
    </row>
    <row r="3643" spans="1:4" x14ac:dyDescent="0.2">
      <c r="A3643" s="5">
        <v>3582</v>
      </c>
      <c r="B3643" s="1831">
        <f>'Expenditures 15-22'!F367</f>
        <v>92</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131982</v>
      </c>
      <c r="D3646" s="2" t="str">
        <f t="shared" si="55"/>
        <v>Error?</v>
      </c>
    </row>
    <row r="3647" spans="1:4" x14ac:dyDescent="0.2">
      <c r="A3647" s="5">
        <v>3586</v>
      </c>
      <c r="B3647" s="1831">
        <f>'Expenditures 15-22'!G350</f>
        <v>131982</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131982</v>
      </c>
      <c r="C3649" s="2" t="s">
        <v>569</v>
      </c>
      <c r="D3649" s="2" t="str">
        <f t="shared" si="56"/>
        <v>Error?</v>
      </c>
    </row>
    <row r="3650" spans="1:4" x14ac:dyDescent="0.2">
      <c r="A3650" s="5">
        <v>3589</v>
      </c>
      <c r="B3650" s="1831">
        <f>'Expenditures 15-22'!G367</f>
        <v>131982</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133099</v>
      </c>
      <c r="C3669" s="2" t="s">
        <v>569</v>
      </c>
      <c r="D3669" s="2" t="str">
        <f t="shared" si="56"/>
        <v>Error?</v>
      </c>
    </row>
    <row r="3670" spans="1:4" x14ac:dyDescent="0.2">
      <c r="A3670" s="5">
        <v>3609</v>
      </c>
      <c r="B3670" s="1831">
        <f>'Expenditures 15-22'!K350</f>
        <v>133099</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133099</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133099</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-127732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3728</v>
      </c>
      <c r="C3725" s="2" t="s">
        <v>569</v>
      </c>
      <c r="D3725" s="2" t="str">
        <f t="shared" si="57"/>
        <v>Error?</v>
      </c>
    </row>
    <row r="3726" spans="1:4" x14ac:dyDescent="0.2">
      <c r="A3726" s="5">
        <v>3665</v>
      </c>
      <c r="B3726" s="1831">
        <f>'Tax Sched 23'!D13</f>
        <v>3728</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3802</v>
      </c>
      <c r="C3728" s="2" t="s">
        <v>569</v>
      </c>
      <c r="D3728" s="2" t="str">
        <f t="shared" si="57"/>
        <v>Error?</v>
      </c>
    </row>
    <row r="3729" spans="1:4" x14ac:dyDescent="0.2">
      <c r="A3729" s="5">
        <v>3668</v>
      </c>
      <c r="B3729" s="1831">
        <f>'Tax Sched 23'!E13</f>
        <v>3802</v>
      </c>
      <c r="D3729" s="2" t="str">
        <f t="shared" si="57"/>
        <v>Error?</v>
      </c>
    </row>
    <row r="3730" spans="1:4" x14ac:dyDescent="0.2">
      <c r="A3730" s="5">
        <v>3669</v>
      </c>
      <c r="B3730" s="1831">
        <f>'ICR Computation 30'!E10</f>
        <v>25946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453794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1265450</v>
      </c>
      <c r="C4122" s="2" t="s">
        <v>569</v>
      </c>
      <c r="D4122" s="2" t="str">
        <f t="shared" si="63"/>
        <v>Error?</v>
      </c>
    </row>
    <row r="4123" spans="1:4" x14ac:dyDescent="0.2">
      <c r="A4123" s="5">
        <v>4062</v>
      </c>
      <c r="B4123" s="1831">
        <f>'Acct Summary 7-8'!D10</f>
        <v>112262</v>
      </c>
      <c r="C4123" s="2" t="s">
        <v>569</v>
      </c>
      <c r="D4123" s="2" t="str">
        <f t="shared" si="63"/>
        <v>Error?</v>
      </c>
    </row>
    <row r="4124" spans="1:4" x14ac:dyDescent="0.2">
      <c r="A4124" s="5">
        <v>4063</v>
      </c>
      <c r="B4124" s="1831">
        <f>'Acct Summary 7-8'!E10</f>
        <v>28608</v>
      </c>
      <c r="C4124" s="2" t="s">
        <v>569</v>
      </c>
      <c r="D4124" s="2" t="str">
        <f t="shared" si="63"/>
        <v>Error?</v>
      </c>
    </row>
    <row r="4125" spans="1:4" x14ac:dyDescent="0.2">
      <c r="A4125" s="5">
        <v>4064</v>
      </c>
      <c r="B4125" s="1831">
        <f>'Acct Summary 7-8'!F10</f>
        <v>74574</v>
      </c>
      <c r="C4125" s="2" t="s">
        <v>569</v>
      </c>
      <c r="D4125" s="2" t="str">
        <f t="shared" si="63"/>
        <v>Error?</v>
      </c>
    </row>
    <row r="4126" spans="1:4" x14ac:dyDescent="0.2">
      <c r="A4126" s="5">
        <v>4065</v>
      </c>
      <c r="B4126" s="1831">
        <f>'Acct Summary 7-8'!G10</f>
        <v>46240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3024</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5367</v>
      </c>
      <c r="C4130" s="2" t="s">
        <v>569</v>
      </c>
      <c r="D4130" s="2" t="str">
        <f t="shared" si="63"/>
        <v>Error?</v>
      </c>
    </row>
    <row r="4131" spans="1:4" x14ac:dyDescent="0.2">
      <c r="A4131" s="5">
        <v>4070</v>
      </c>
      <c r="B4131" s="1831">
        <f>'Acct Summary 7-8'!C18</f>
        <v>453794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1186907</v>
      </c>
      <c r="C4136" s="2" t="s">
        <v>569</v>
      </c>
      <c r="D4136" s="2" t="str">
        <f t="shared" si="63"/>
        <v>Error?</v>
      </c>
    </row>
    <row r="4137" spans="1:4" x14ac:dyDescent="0.2">
      <c r="A4137" s="5">
        <v>4076</v>
      </c>
      <c r="B4137" s="1831">
        <f>'Acct Summary 7-8'!D19</f>
        <v>60321</v>
      </c>
      <c r="C4137" s="2" t="s">
        <v>569</v>
      </c>
      <c r="D4137" s="2" t="str">
        <f t="shared" si="63"/>
        <v>Error?</v>
      </c>
    </row>
    <row r="4138" spans="1:4" x14ac:dyDescent="0.2">
      <c r="A4138" s="5">
        <v>4077</v>
      </c>
      <c r="B4138" s="1831">
        <f>'Acct Summary 7-8'!E19</f>
        <v>28479</v>
      </c>
      <c r="C4138" s="2" t="s">
        <v>569</v>
      </c>
      <c r="D4138" s="2" t="str">
        <f t="shared" si="63"/>
        <v>Error?</v>
      </c>
    </row>
    <row r="4139" spans="1:4" x14ac:dyDescent="0.2">
      <c r="A4139" s="5">
        <v>4078</v>
      </c>
      <c r="B4139" s="1831">
        <f>'Acct Summary 7-8'!F19</f>
        <v>73624</v>
      </c>
      <c r="C4139" s="2" t="s">
        <v>569</v>
      </c>
      <c r="D4139" s="2" t="str">
        <f t="shared" si="63"/>
        <v>Error?</v>
      </c>
    </row>
    <row r="4140" spans="1:4" x14ac:dyDescent="0.2">
      <c r="A4140" s="5">
        <v>4079</v>
      </c>
      <c r="B4140" s="1831">
        <f>'Acct Summary 7-8'!G19</f>
        <v>43412</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133099</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231000</v>
      </c>
      <c r="C4171" s="2" t="s">
        <v>569</v>
      </c>
      <c r="D4171" s="2" t="str">
        <f t="shared" si="64"/>
        <v>Error?</v>
      </c>
    </row>
    <row r="4172" spans="1:4" x14ac:dyDescent="0.2">
      <c r="A4172" s="5">
        <v>4111</v>
      </c>
      <c r="B4172" s="1831">
        <f>'Short-Term Long-Term Debt 24'!J49</f>
        <v>223444</v>
      </c>
      <c r="C4172" s="2" t="s">
        <v>569</v>
      </c>
      <c r="D4172" s="2" t="str">
        <f t="shared" si="64"/>
        <v>Error?</v>
      </c>
    </row>
    <row r="4173" spans="1:4" x14ac:dyDescent="0.2">
      <c r="A4173" s="5">
        <v>4112</v>
      </c>
      <c r="B4173" s="1831">
        <f>'Short-Term Long-Term Debt 24'!H49</f>
        <v>19000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1591.9699999999998</v>
      </c>
      <c r="C4265" s="2" t="s">
        <v>569</v>
      </c>
      <c r="D4265" s="2" t="str">
        <f t="shared" si="65"/>
        <v>Error?</v>
      </c>
      <c r="E4265" s="125"/>
    </row>
    <row r="4266" spans="1:5" x14ac:dyDescent="0.2">
      <c r="A4266" s="12">
        <v>4205</v>
      </c>
      <c r="B4266" s="1831">
        <f>('FP Info 3'!F10)*100000</f>
        <v>538.25</v>
      </c>
      <c r="C4266" s="2" t="s">
        <v>569</v>
      </c>
      <c r="D4266" s="2" t="str">
        <f t="shared" si="65"/>
        <v>Error?</v>
      </c>
      <c r="E4266" s="125"/>
    </row>
    <row r="4267" spans="1:5" x14ac:dyDescent="0.2">
      <c r="A4267" s="12">
        <v>4206</v>
      </c>
      <c r="B4267" s="1831">
        <f>('FP Info 3'!H10)*100000</f>
        <v>99.939999999999984</v>
      </c>
      <c r="C4267" s="2" t="s">
        <v>569</v>
      </c>
      <c r="D4267" s="2" t="str">
        <f t="shared" si="65"/>
        <v>Error?</v>
      </c>
      <c r="E4267" s="125"/>
    </row>
    <row r="4268" spans="1:5" x14ac:dyDescent="0.2">
      <c r="A4268" s="12">
        <v>4207</v>
      </c>
      <c r="B4268" s="1831">
        <f>('FP Info 3'!J10)*100000</f>
        <v>2230</v>
      </c>
      <c r="C4268" s="2" t="s">
        <v>569</v>
      </c>
      <c r="D4268" s="2" t="str">
        <f t="shared" si="65"/>
        <v>Error?</v>
      </c>
    </row>
    <row r="4269" spans="1:5" x14ac:dyDescent="0.2">
      <c r="A4269" s="12">
        <v>4208</v>
      </c>
      <c r="B4269" s="1831">
        <f>'FP Info 3'!J16</f>
        <v>368654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1166</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3578</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1567</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27.89</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1500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3888</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10904183</v>
      </c>
      <c r="D4995" s="2" t="str">
        <f t="shared" si="77"/>
        <v>Error?</v>
      </c>
    </row>
    <row r="4996" spans="1:4" x14ac:dyDescent="0.2">
      <c r="A4996" s="12">
        <v>4935</v>
      </c>
      <c r="B4996" s="1831">
        <f>'FP Info 3'!H31</f>
        <v>752388.62700000009</v>
      </c>
      <c r="D4996" s="2" t="str">
        <f t="shared" si="77"/>
        <v>Error?</v>
      </c>
    </row>
    <row r="4997" spans="1:4" x14ac:dyDescent="0.2">
      <c r="A4997" s="12">
        <v>4936</v>
      </c>
      <c r="B4997" s="1831">
        <f>'FP Info 3'!H37</f>
        <v>231000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3728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165468</v>
      </c>
      <c r="D5061" s="2" t="str">
        <f t="shared" si="78"/>
        <v>Error?</v>
      </c>
    </row>
    <row r="5062" spans="1:4" x14ac:dyDescent="0.2">
      <c r="A5062" s="10">
        <v>5001</v>
      </c>
      <c r="B5062" s="1831"/>
      <c r="D5062" s="2" t="str">
        <f t="shared" si="78"/>
        <v>OK</v>
      </c>
    </row>
    <row r="5063" spans="1:4" x14ac:dyDescent="0.2">
      <c r="A5063" s="5">
        <v>5002</v>
      </c>
      <c r="B5063" s="1831">
        <f>'Revenues 9-14'!C7</f>
        <v>1442</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170638</v>
      </c>
      <c r="C5066" s="2" t="s">
        <v>569</v>
      </c>
      <c r="D5066" s="2" t="str">
        <f t="shared" si="78"/>
        <v>Error?</v>
      </c>
    </row>
    <row r="5067" spans="1:4" x14ac:dyDescent="0.2">
      <c r="A5067" s="5">
        <v>5006</v>
      </c>
      <c r="B5067" s="1831">
        <f>'Revenues 9-14'!C14</f>
        <v>1601</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1827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3428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905</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905</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333</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441</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1619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1619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1250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19100</v>
      </c>
      <c r="D5119" s="2" t="str">
        <f t="shared" ref="D5119:D5182" si="79">IF(ISBLANK(B5119),"OK",IF(A5119-B5119=0,"OK","Error?"))</f>
        <v>Error?</v>
      </c>
    </row>
    <row r="5120" spans="1:4" x14ac:dyDescent="0.2">
      <c r="A5120" s="5">
        <v>5059</v>
      </c>
      <c r="B5120" s="1831">
        <f>'Revenues 9-14'!C108</f>
        <v>20350</v>
      </c>
      <c r="C5120" s="2" t="s">
        <v>569</v>
      </c>
      <c r="D5120" s="2" t="str">
        <f t="shared" si="79"/>
        <v>Error?</v>
      </c>
    </row>
    <row r="5121" spans="1:4" x14ac:dyDescent="0.2">
      <c r="A5121" s="5">
        <v>5060</v>
      </c>
      <c r="B5121" s="1831">
        <f>'Revenues 9-14'!C109</f>
        <v>197381</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514113</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514113</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622</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2122</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516235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3888</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29078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14900</v>
      </c>
      <c r="D5241" s="2" t="str">
        <f t="shared" si="80"/>
        <v>Error?</v>
      </c>
    </row>
    <row r="5242" spans="1:4" x14ac:dyDescent="0.2">
      <c r="A5242" s="5">
        <v>5181</v>
      </c>
      <c r="B5242" s="1831">
        <f>'Revenues 9-14'!C194</f>
        <v>8641</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52619</v>
      </c>
      <c r="C5246" s="2" t="s">
        <v>569</v>
      </c>
      <c r="D5246" s="2" t="str">
        <f t="shared" si="80"/>
        <v>Error?</v>
      </c>
    </row>
    <row r="5247" spans="1:4" x14ac:dyDescent="0.2">
      <c r="A5247" s="5">
        <v>5186</v>
      </c>
      <c r="B5247" s="1831">
        <f>'Revenues 9-14'!C200</f>
        <v>32839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32839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691</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1692</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2383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94152</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98040</v>
      </c>
      <c r="C5326" s="2" t="s">
        <v>569</v>
      </c>
      <c r="D5326" s="2" t="str">
        <f t="shared" si="82"/>
        <v>Error?</v>
      </c>
    </row>
    <row r="5327" spans="1:5" x14ac:dyDescent="0.2">
      <c r="A5327" s="5">
        <v>5266</v>
      </c>
      <c r="B5327" s="1831">
        <f>'Revenues 9-14'!C268</f>
        <v>811656</v>
      </c>
      <c r="C5327" s="2" t="s">
        <v>569</v>
      </c>
      <c r="D5327" s="2" t="str">
        <f t="shared" si="82"/>
        <v>Error?</v>
      </c>
    </row>
    <row r="5328" spans="1:5" x14ac:dyDescent="0.2">
      <c r="A5328" s="5">
        <v>5267</v>
      </c>
      <c r="B5328" s="1831">
        <f>'Revenues 9-14'!D5</f>
        <v>18688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18688</v>
      </c>
      <c r="C5334" s="2" t="s">
        <v>569</v>
      </c>
      <c r="D5334" s="2" t="str">
        <f t="shared" si="82"/>
        <v>Error?</v>
      </c>
    </row>
    <row r="5335" spans="1:4" x14ac:dyDescent="0.2">
      <c r="A5335" s="5">
        <v>5274</v>
      </c>
      <c r="B5335" s="1831">
        <f>'Revenues 9-14'!D14</f>
        <v>175</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175</v>
      </c>
      <c r="C5339" s="2" t="s">
        <v>569</v>
      </c>
      <c r="D5339" s="2" t="str">
        <f t="shared" si="82"/>
        <v>Error?</v>
      </c>
    </row>
    <row r="5340" spans="1:4" x14ac:dyDescent="0.2">
      <c r="A5340" s="5">
        <v>5279</v>
      </c>
      <c r="B5340" s="1831">
        <f>'Revenues 9-14'!D65</f>
        <v>60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18923</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43339</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43339</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93339</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112262</v>
      </c>
      <c r="C5508" s="2" t="s">
        <v>569</v>
      </c>
      <c r="D5508" s="2" t="str">
        <f t="shared" si="85"/>
        <v>Error?</v>
      </c>
    </row>
    <row r="5509" spans="1:4" x14ac:dyDescent="0.2">
      <c r="A5509" s="5">
        <v>5448</v>
      </c>
      <c r="B5509" s="1831">
        <f>'Revenues 9-14'!E5</f>
        <v>28236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28236</v>
      </c>
      <c r="C5513" s="2" t="s">
        <v>569</v>
      </c>
      <c r="D5513" s="2" t="str">
        <f t="shared" si="85"/>
        <v>Error?</v>
      </c>
    </row>
    <row r="5514" spans="1:4" x14ac:dyDescent="0.2">
      <c r="A5514" s="5">
        <v>5453</v>
      </c>
      <c r="B5514" s="1831">
        <f>'Revenues 9-14'!E14</f>
        <v>265</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265</v>
      </c>
      <c r="C5518" s="2" t="s">
        <v>569</v>
      </c>
      <c r="D5518" s="2" t="str">
        <f t="shared" si="85"/>
        <v>Error?</v>
      </c>
    </row>
    <row r="5519" spans="1:4" x14ac:dyDescent="0.2">
      <c r="A5519" s="5">
        <v>5458</v>
      </c>
      <c r="B5519" s="1831">
        <f>'Revenues 9-14'!E65</f>
        <v>107</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107</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28608</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28608</v>
      </c>
      <c r="C5552" s="2" t="s">
        <v>569</v>
      </c>
      <c r="D5552" s="2" t="str">
        <f t="shared" si="85"/>
        <v>Error?</v>
      </c>
    </row>
    <row r="5553" spans="1:4" x14ac:dyDescent="0.2">
      <c r="A5553" s="5">
        <v>5492</v>
      </c>
      <c r="B5553" s="1831">
        <f>'Revenues 9-14'!F5</f>
        <v>10686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10686</v>
      </c>
      <c r="C5557" s="2" t="s">
        <v>569</v>
      </c>
      <c r="D5557" s="2" t="str">
        <f t="shared" si="85"/>
        <v>Error?</v>
      </c>
    </row>
    <row r="5558" spans="1:4" x14ac:dyDescent="0.2">
      <c r="A5558" s="5">
        <v>5497</v>
      </c>
      <c r="B5558" s="1831">
        <f>'Revenues 9-14'!F14</f>
        <v>100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100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89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89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125</v>
      </c>
      <c r="D5586" s="2" t="str">
        <f t="shared" si="86"/>
        <v>Error?</v>
      </c>
    </row>
    <row r="5587" spans="1:4" x14ac:dyDescent="0.2">
      <c r="A5587" s="5">
        <v>5526</v>
      </c>
      <c r="B5587" s="1831">
        <f>'Revenues 9-14'!F108</f>
        <v>125</v>
      </c>
      <c r="C5587" s="2" t="s">
        <v>569</v>
      </c>
      <c r="D5587" s="2" t="str">
        <f t="shared" si="86"/>
        <v>Error?</v>
      </c>
    </row>
    <row r="5588" spans="1:4" x14ac:dyDescent="0.2">
      <c r="A5588" s="5">
        <v>5527</v>
      </c>
      <c r="B5588" s="1831">
        <f>'Revenues 9-14'!F109</f>
        <v>11000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50817</v>
      </c>
      <c r="D5615" s="2" t="str">
        <f t="shared" si="86"/>
        <v>Error?</v>
      </c>
    </row>
    <row r="5616" spans="1:4" x14ac:dyDescent="0.2">
      <c r="A5616" s="10">
        <v>5555</v>
      </c>
      <c r="B5616" s="1831"/>
      <c r="D5616" s="2" t="str">
        <f t="shared" si="86"/>
        <v>OK</v>
      </c>
    </row>
    <row r="5617" spans="1:5" x14ac:dyDescent="0.2">
      <c r="A5617" s="5">
        <v>5556</v>
      </c>
      <c r="B5617" s="1831">
        <f>'Revenues 9-14'!F153</f>
        <v>12757</v>
      </c>
      <c r="D5617" s="2" t="str">
        <f t="shared" si="86"/>
        <v>Error?</v>
      </c>
    </row>
    <row r="5618" spans="1:5" x14ac:dyDescent="0.2">
      <c r="A5618" s="5">
        <v>5557</v>
      </c>
      <c r="B5618" s="1831">
        <f>'Revenues 9-14'!F155</f>
        <v>63574</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63574</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63574</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74574</v>
      </c>
      <c r="C5720" s="2" t="s">
        <v>569</v>
      </c>
      <c r="D5720" s="2" t="str">
        <f t="shared" si="88"/>
        <v>Error?</v>
      </c>
    </row>
    <row r="5721" spans="1:4" x14ac:dyDescent="0.2">
      <c r="A5721" s="5">
        <v>5660</v>
      </c>
      <c r="B5721" s="1831">
        <f>'Revenues 9-14'!G5</f>
        <v>9394</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13495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22889</v>
      </c>
      <c r="C5725" s="2" t="s">
        <v>569</v>
      </c>
      <c r="D5725" s="2" t="str">
        <f t="shared" si="88"/>
        <v>Error?</v>
      </c>
    </row>
    <row r="5726" spans="1:4" x14ac:dyDescent="0.2">
      <c r="A5726" s="5">
        <v>5665</v>
      </c>
      <c r="B5726" s="1831">
        <f>'Revenues 9-14'!G14</f>
        <v>215</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23040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23255</v>
      </c>
      <c r="C5730" s="2" t="s">
        <v>569</v>
      </c>
      <c r="D5730" s="2" t="str">
        <f t="shared" si="88"/>
        <v>Error?</v>
      </c>
    </row>
    <row r="5731" spans="1:4" x14ac:dyDescent="0.2">
      <c r="A5731" s="5">
        <v>5670</v>
      </c>
      <c r="B5731" s="1831">
        <f>'Revenues 9-14'!G65</f>
        <v>96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96</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46240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2983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2983</v>
      </c>
      <c r="C5918" s="2" t="s">
        <v>569</v>
      </c>
      <c r="D5918" s="2" t="str">
        <f t="shared" si="91"/>
        <v>Error?</v>
      </c>
    </row>
    <row r="5919" spans="1:4" x14ac:dyDescent="0.2">
      <c r="A5919" s="5">
        <v>5858</v>
      </c>
      <c r="B5919" s="1831">
        <f>'Revenues 9-14'!I14</f>
        <v>28</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28</v>
      </c>
      <c r="C5923" s="2" t="s">
        <v>569</v>
      </c>
      <c r="D5923" s="2" t="str">
        <f t="shared" si="91"/>
        <v>Error?</v>
      </c>
    </row>
    <row r="5924" spans="1:4" x14ac:dyDescent="0.2">
      <c r="A5924" s="5">
        <v>5863</v>
      </c>
      <c r="B5924" s="1831">
        <f>'Revenues 9-14'!I65</f>
        <v>13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3024</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4722</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4722</v>
      </c>
      <c r="C5987" s="2" t="s">
        <v>569</v>
      </c>
      <c r="D5987" s="2" t="str">
        <f t="shared" si="92"/>
        <v>Error?</v>
      </c>
    </row>
    <row r="5988" spans="1:4" x14ac:dyDescent="0.2">
      <c r="A5988" s="5">
        <v>5927</v>
      </c>
      <c r="B5988" s="1831">
        <f>'Revenues 9-14'!K14</f>
        <v>44</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44</v>
      </c>
      <c r="C5992" s="2" t="s">
        <v>569</v>
      </c>
      <c r="D5992" s="2" t="str">
        <f t="shared" si="92"/>
        <v>Error?</v>
      </c>
    </row>
    <row r="5993" spans="1:4" x14ac:dyDescent="0.2">
      <c r="A5993" s="5">
        <v>5932</v>
      </c>
      <c r="B5993" s="1831">
        <f>'Revenues 9-14'!K65</f>
        <v>601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601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5367</v>
      </c>
      <c r="C6023" s="2" t="s">
        <v>569</v>
      </c>
      <c r="D6023" s="2" t="str">
        <f t="shared" si="93"/>
        <v>Error?</v>
      </c>
    </row>
    <row r="6024" spans="1:5" x14ac:dyDescent="0.2">
      <c r="A6024" s="5">
        <v>5963</v>
      </c>
      <c r="B6024" s="1831">
        <f>'Revenues 9-14'!G109</f>
        <v>46240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3024</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5367</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108</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5002</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100.3</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65158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65158</v>
      </c>
      <c r="D6215" s="2" t="str">
        <f t="shared" si="96"/>
        <v>Error?</v>
      </c>
      <c r="E6215" s="2" t="s">
        <v>189</v>
      </c>
    </row>
    <row r="6216" spans="1:5" x14ac:dyDescent="0.2">
      <c r="A6216">
        <v>6155</v>
      </c>
      <c r="B6216" s="1831">
        <f>'Assets-Liab 5-6'!J41</f>
        <v>65158</v>
      </c>
      <c r="D6216" s="2" t="str">
        <f t="shared" si="96"/>
        <v>Error?</v>
      </c>
      <c r="E6216" s="2" t="s">
        <v>189</v>
      </c>
    </row>
    <row r="6217" spans="1:5" x14ac:dyDescent="0.2">
      <c r="A6217">
        <v>6156</v>
      </c>
      <c r="B6217" s="1831">
        <f>'Assets-Liab 5-6'!J4</f>
        <v>65158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63127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63127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63127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47029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47029</v>
      </c>
      <c r="D6229" s="2" t="str">
        <f t="shared" si="96"/>
        <v>Error?</v>
      </c>
      <c r="E6229" s="2" t="s">
        <v>189</v>
      </c>
    </row>
    <row r="6230" spans="1:5" x14ac:dyDescent="0.2">
      <c r="A6230">
        <v>6169</v>
      </c>
      <c r="B6230" s="1831">
        <f>'Acct Summary 7-8'!J20</f>
        <v>16098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16098</v>
      </c>
      <c r="D6263" s="2" t="str">
        <f t="shared" si="96"/>
        <v>Error?</v>
      </c>
      <c r="E6263" s="2" t="s">
        <v>189</v>
      </c>
    </row>
    <row r="6264" spans="1:5" x14ac:dyDescent="0.2">
      <c r="A6264">
        <v>6203</v>
      </c>
      <c r="B6264" s="1831">
        <f>'Acct Summary 7-8'!J79</f>
        <v>49060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65158</v>
      </c>
      <c r="D6266" s="2" t="str">
        <f t="shared" si="96"/>
        <v>Error?</v>
      </c>
      <c r="E6266" s="2" t="s">
        <v>189</v>
      </c>
    </row>
    <row r="6267" spans="1:5" x14ac:dyDescent="0.2">
      <c r="A6267">
        <v>6206</v>
      </c>
      <c r="B6267" s="1831">
        <f>'Acct Summary 7-8'!C82</f>
        <v>81567</v>
      </c>
      <c r="D6267" s="2" t="str">
        <f t="shared" si="96"/>
        <v>Error?</v>
      </c>
      <c r="E6267" s="2" t="s">
        <v>189</v>
      </c>
    </row>
    <row r="6268" spans="1:5" x14ac:dyDescent="0.2">
      <c r="A6268">
        <v>6207</v>
      </c>
      <c r="B6268" s="1831">
        <f>'Acct Summary 7-8'!D82</f>
        <v>126941</v>
      </c>
      <c r="D6268" s="2" t="str">
        <f t="shared" si="96"/>
        <v>Error?</v>
      </c>
      <c r="E6268" s="2" t="s">
        <v>189</v>
      </c>
    </row>
    <row r="6269" spans="1:5" x14ac:dyDescent="0.2">
      <c r="A6269">
        <v>6208</v>
      </c>
      <c r="B6269" s="1831">
        <f>'Acct Summary 7-8'!E82</f>
        <v>129</v>
      </c>
      <c r="D6269" s="2" t="str">
        <f t="shared" si="96"/>
        <v>Error?</v>
      </c>
      <c r="E6269" s="2" t="s">
        <v>189</v>
      </c>
    </row>
    <row r="6270" spans="1:5" x14ac:dyDescent="0.2">
      <c r="A6270">
        <v>6209</v>
      </c>
      <c r="B6270" s="1831">
        <f>'Acct Summary 7-8'!F82</f>
        <v>950</v>
      </c>
      <c r="D6270" s="2" t="str">
        <f t="shared" si="96"/>
        <v>Error?</v>
      </c>
      <c r="E6270" s="2" t="s">
        <v>189</v>
      </c>
    </row>
    <row r="6271" spans="1:5" x14ac:dyDescent="0.2">
      <c r="A6271">
        <v>6210</v>
      </c>
      <c r="B6271" s="1831">
        <f>'Acct Summary 7-8'!G82</f>
        <v>2828</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16098</v>
      </c>
      <c r="D6274" s="2" t="str">
        <f t="shared" si="97"/>
        <v>Error?</v>
      </c>
      <c r="E6274" s="2" t="s">
        <v>189</v>
      </c>
    </row>
    <row r="6275" spans="1:5" x14ac:dyDescent="0.2">
      <c r="A6275">
        <v>6214</v>
      </c>
      <c r="B6275" s="1831">
        <f>'Acct Summary 7-8'!K82</f>
        <v>-202732</v>
      </c>
      <c r="D6275" s="2" t="str">
        <f t="shared" si="97"/>
        <v>Error?</v>
      </c>
      <c r="E6275" s="2" t="s">
        <v>189</v>
      </c>
    </row>
    <row r="6276" spans="1:5" x14ac:dyDescent="0.2">
      <c r="A6276">
        <v>6215</v>
      </c>
      <c r="B6276" s="1831">
        <f>'Acct Summary 7-8'!C83</f>
        <v>0.40064935383889932</v>
      </c>
      <c r="D6276" s="2" t="str">
        <f t="shared" si="97"/>
        <v>Error?</v>
      </c>
      <c r="E6276" s="2" t="s">
        <v>189</v>
      </c>
    </row>
    <row r="6277" spans="1:5" x14ac:dyDescent="0.2">
      <c r="A6277">
        <v>6216</v>
      </c>
      <c r="B6277" s="1831">
        <f>'Acct Summary 7-8'!D83</f>
        <v>0.96192929943545635</v>
      </c>
      <c r="D6277" s="2" t="str">
        <f t="shared" si="97"/>
        <v>Error?</v>
      </c>
      <c r="E6277" s="2" t="s">
        <v>189</v>
      </c>
    </row>
    <row r="6278" spans="1:5" x14ac:dyDescent="0.2">
      <c r="A6278">
        <v>6217</v>
      </c>
      <c r="B6278" s="1831">
        <f>'Acct Summary 7-8'!E83</f>
        <v>1.7072525145579671E-2</v>
      </c>
      <c r="D6278" s="2" t="str">
        <f t="shared" si="97"/>
        <v>Error?</v>
      </c>
      <c r="E6278" s="2" t="s">
        <v>189</v>
      </c>
    </row>
    <row r="6279" spans="1:5" x14ac:dyDescent="0.2">
      <c r="A6279">
        <v>6218</v>
      </c>
      <c r="B6279" s="1831">
        <f>'Acct Summary 7-8'!F83</f>
        <v>2.8699172255452841E-2</v>
      </c>
      <c r="D6279" s="2" t="str">
        <f t="shared" si="97"/>
        <v>Error?</v>
      </c>
      <c r="E6279" s="2" t="s">
        <v>189</v>
      </c>
    </row>
    <row r="6280" spans="1:5" x14ac:dyDescent="0.2">
      <c r="A6280">
        <v>6219</v>
      </c>
      <c r="B6280" s="1831">
        <f>'Acct Summary 7-8'!G83</f>
        <v>0.23943781220895774</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f>'Acct Summary 7-8'!J83</f>
        <v>0.24706099020841646</v>
      </c>
      <c r="D6283" s="2" t="str">
        <f t="shared" si="97"/>
        <v>Error?</v>
      </c>
      <c r="E6283" s="2" t="s">
        <v>189</v>
      </c>
    </row>
    <row r="6284" spans="1:5" x14ac:dyDescent="0.2">
      <c r="A6284">
        <v>6223</v>
      </c>
      <c r="B6284" s="1831">
        <f>'Acct Summary 7-8'!K83</f>
        <v>-4.3430162810625532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62126</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62126</v>
      </c>
      <c r="D6301" s="2" t="str">
        <f t="shared" si="97"/>
        <v>Error?</v>
      </c>
      <c r="E6301" s="2" t="s">
        <v>189</v>
      </c>
    </row>
    <row r="6302" spans="1:5" x14ac:dyDescent="0.2">
      <c r="A6302">
        <v>6241</v>
      </c>
      <c r="B6302" s="1831">
        <f>'Revenues 9-14'!J14</f>
        <v>583</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583</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418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418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63127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21121</v>
      </c>
      <c r="D6983" s="2" t="str">
        <f t="shared" si="108"/>
        <v>Error?</v>
      </c>
    </row>
    <row r="6984" spans="1:4" x14ac:dyDescent="0.2">
      <c r="A6984">
        <v>6923</v>
      </c>
      <c r="B6984" s="1831">
        <f>'Expenditures 15-22'!K86</f>
        <v>21121</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21121</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47029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63127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6655</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6655</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1464</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1464</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13727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13727</v>
      </c>
      <c r="D7153" s="2" t="str">
        <f t="shared" si="110"/>
        <v>Error?</v>
      </c>
    </row>
    <row r="7154" spans="1:4" x14ac:dyDescent="0.2">
      <c r="A7154">
        <v>7093</v>
      </c>
      <c r="B7154" s="1831">
        <f>'Expenditures 15-22'!C323</f>
        <v>24933</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24933</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250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250</v>
      </c>
      <c r="D7198" s="2" t="str">
        <f t="shared" si="111"/>
        <v>Error?</v>
      </c>
    </row>
    <row r="7199" spans="1:4" x14ac:dyDescent="0.2">
      <c r="A7199">
        <v>7138</v>
      </c>
      <c r="B7199" s="1831">
        <f>'Expenditures 15-22'!C330</f>
        <v>24933</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22096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47029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24933</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22096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47029</v>
      </c>
      <c r="D7224" s="2" t="str">
        <f t="shared" si="111"/>
        <v>Error?</v>
      </c>
    </row>
    <row r="7225" spans="1:4" x14ac:dyDescent="0.2">
      <c r="A7225">
        <v>7164</v>
      </c>
      <c r="B7225" s="1831">
        <f>'Expenditures 15-22'!K343</f>
        <v>16098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57284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1456</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250000</v>
      </c>
      <c r="D7817" s="2" t="str">
        <f t="shared" si="128"/>
        <v>Error?</v>
      </c>
      <c r="E7817" s="4" t="s">
        <v>1966</v>
      </c>
    </row>
    <row r="7818" spans="1:5" x14ac:dyDescent="0.2">
      <c r="A7818">
        <v>7757</v>
      </c>
      <c r="B7818" s="1831">
        <f>'PCTC-OEPP 27-28'!F172</f>
        <v>34282</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985978</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75337</v>
      </c>
      <c r="D7834" s="2" t="str">
        <f t="shared" si="129"/>
        <v>Error?</v>
      </c>
      <c r="E7834" s="4" t="s">
        <v>1998</v>
      </c>
    </row>
    <row r="7835" spans="1:5" x14ac:dyDescent="0.2">
      <c r="A7835">
        <v>7774</v>
      </c>
      <c r="B7835" s="1831">
        <f>'PCTC-OEPP 27-28'!F78</f>
        <v>910641</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9079.1724825523434</v>
      </c>
      <c r="D7837" s="2" t="str">
        <f t="shared" si="129"/>
        <v>Error?</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63574</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1500</v>
      </c>
      <c r="D7855" s="2" t="str">
        <f t="shared" si="129"/>
        <v>Error?</v>
      </c>
      <c r="E7855" s="4" t="s">
        <v>1998</v>
      </c>
    </row>
    <row r="7856" spans="1:5" x14ac:dyDescent="0.2">
      <c r="A7856">
        <v>7795</v>
      </c>
      <c r="B7856" s="1831">
        <f>'PCTC-OEPP 27-28'!F124</f>
        <v>3888</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52619</v>
      </c>
      <c r="D7858" s="2" t="str">
        <f t="shared" si="129"/>
        <v>Error?</v>
      </c>
      <c r="E7858" s="4" t="s">
        <v>1998</v>
      </c>
    </row>
    <row r="7859" spans="1:5" x14ac:dyDescent="0.2">
      <c r="A7859">
        <v>7798</v>
      </c>
      <c r="B7859" s="1831">
        <f>'PCTC-OEPP 27-28'!F127</f>
        <v>32839</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1692</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1567</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1166</v>
      </c>
      <c r="D7874" s="2" t="str">
        <f t="shared" si="129"/>
        <v>Error?</v>
      </c>
      <c r="E7874" s="4" t="s">
        <v>1998</v>
      </c>
    </row>
    <row r="7875" spans="1:5" x14ac:dyDescent="0.2">
      <c r="A7875">
        <v>7814</v>
      </c>
      <c r="B7875" s="1831">
        <f>'PCTC-OEPP 27-28'!F170</f>
        <v>3578</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249387</v>
      </c>
      <c r="D7877" s="2" t="str">
        <f t="shared" si="129"/>
        <v>Error?</v>
      </c>
      <c r="E7877" s="4" t="s">
        <v>1998</v>
      </c>
    </row>
    <row r="7878" spans="1:5" x14ac:dyDescent="0.2">
      <c r="A7878">
        <v>7817</v>
      </c>
      <c r="B7878" s="1831">
        <f>'PCTC-OEPP 27-28'!F176</f>
        <v>661254</v>
      </c>
      <c r="D7878" s="2" t="str">
        <f t="shared" si="129"/>
        <v>Error?</v>
      </c>
      <c r="E7878" s="4" t="s">
        <v>1998</v>
      </c>
    </row>
    <row r="7879" spans="1:5" x14ac:dyDescent="0.2">
      <c r="A7879">
        <v>7818</v>
      </c>
      <c r="B7879" s="1831">
        <f>'PCTC-OEPP 27-28'!F178</f>
        <v>718538</v>
      </c>
      <c r="D7879" s="2" t="str">
        <f t="shared" si="129"/>
        <v>Error?</v>
      </c>
      <c r="E7879" s="4" t="s">
        <v>1998</v>
      </c>
    </row>
    <row r="7880" spans="1:5" x14ac:dyDescent="0.2">
      <c r="A7880">
        <v>7819</v>
      </c>
      <c r="B7880" s="1831">
        <f>'PCTC-OEPP 27-28'!F180</f>
        <v>7163.8883349950156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 xml:space="preserve">  Kell Cons SD 2</v>
      </c>
      <c r="B7" s="2515"/>
      <c r="C7" s="2515"/>
      <c r="D7" s="2553"/>
      <c r="E7" s="2554">
        <f>COVER!A13</f>
        <v>13058002003</v>
      </c>
      <c r="F7" s="2555"/>
      <c r="G7" s="2521" t="str">
        <f>COVER!T23</f>
        <v>066-004957</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JOHN CONSOLINO</v>
      </c>
      <c r="B10" s="2512"/>
      <c r="C10" s="2512"/>
      <c r="D10" s="2512"/>
      <c r="E10" s="2512"/>
      <c r="F10" s="2513"/>
      <c r="G10" s="2527" t="str">
        <f>COVER!T17</f>
        <v>5859 U.S. HIGHWAY 51</v>
      </c>
      <c r="H10" s="2540"/>
      <c r="I10" s="2540"/>
      <c r="J10" s="2540"/>
      <c r="K10" s="2540"/>
      <c r="L10" s="2541"/>
    </row>
    <row r="11" spans="1:29" ht="13.5" customHeight="1" x14ac:dyDescent="0.2">
      <c r="A11" s="962" t="s">
        <v>1502</v>
      </c>
      <c r="B11" s="963"/>
      <c r="C11" s="964"/>
      <c r="D11" s="969"/>
      <c r="E11" s="964"/>
      <c r="F11" s="968"/>
      <c r="G11" s="2527" t="str">
        <f>COVER!T19</f>
        <v>ODIN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slyons1007@gmail.com</v>
      </c>
      <c r="J13" s="2549"/>
      <c r="K13" s="2549"/>
      <c r="L13" s="2550"/>
    </row>
    <row r="14" spans="1:29" ht="13.5" customHeight="1" x14ac:dyDescent="0.2">
      <c r="A14" s="2527" t="str">
        <f>COVER!A19</f>
        <v>207 N. JOHNSON ST.</v>
      </c>
      <c r="B14" s="2540"/>
      <c r="C14" s="2540"/>
      <c r="D14" s="2540"/>
      <c r="E14" s="2540"/>
      <c r="F14" s="2541"/>
      <c r="G14" s="973" t="s">
        <v>1175</v>
      </c>
      <c r="H14" s="971"/>
      <c r="I14" s="971"/>
      <c r="J14" s="971"/>
      <c r="K14" s="971"/>
      <c r="L14" s="972"/>
    </row>
    <row r="15" spans="1:29" ht="13.5" customHeight="1" x14ac:dyDescent="0.2">
      <c r="A15" s="2527" t="str">
        <f>COVER!A21</f>
        <v>KELL</v>
      </c>
      <c r="B15" s="2540"/>
      <c r="C15" s="2540"/>
      <c r="D15" s="2540"/>
      <c r="E15" s="2540"/>
      <c r="F15" s="2541"/>
      <c r="G15" s="2537" t="str">
        <f>COVER!T15</f>
        <v>SUSAN J. LYONS</v>
      </c>
      <c r="H15" s="2538"/>
      <c r="I15" s="2538"/>
      <c r="J15" s="2538"/>
      <c r="K15" s="2538"/>
      <c r="L15" s="2539"/>
    </row>
    <row r="16" spans="1:29" ht="12.2" customHeight="1" x14ac:dyDescent="0.2">
      <c r="A16" s="2517">
        <f>COVER!A25</f>
        <v>0</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Kell Cons SD 2</v>
      </c>
      <c r="B1" s="2557"/>
      <c r="C1" s="2557"/>
      <c r="D1" s="2557"/>
    </row>
    <row r="2" spans="1:11" s="990" customFormat="1" ht="12.75" x14ac:dyDescent="0.2">
      <c r="A2" s="2558">
        <f>'Single Audit Cover'!E7</f>
        <v>13058002003</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Kell Cons SD 2</v>
      </c>
      <c r="B1" s="2561"/>
      <c r="C1" s="2561"/>
      <c r="D1" s="2561"/>
      <c r="E1" s="2561"/>
    </row>
    <row r="2" spans="1:5" x14ac:dyDescent="0.2">
      <c r="A2" s="2562">
        <f>'Single Audit Cover'!E7</f>
        <v>13058002003</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98040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5002</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-3578</v>
      </c>
    </row>
    <row r="19" spans="1:4" ht="13.5" thickBot="1" x14ac:dyDescent="0.25">
      <c r="A19" s="1040" t="s">
        <v>1224</v>
      </c>
      <c r="D19" s="1041">
        <f>SUM(D10:D17)</f>
        <v>99464</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99464</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99464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Kell Cons SD 2</v>
      </c>
      <c r="C1" s="2565"/>
      <c r="D1" s="2565"/>
      <c r="E1" s="2565"/>
      <c r="F1" s="2565"/>
      <c r="G1" s="2565"/>
      <c r="H1" s="2565"/>
      <c r="I1" s="2565"/>
      <c r="J1" s="2565"/>
      <c r="K1" s="2565"/>
      <c r="L1" s="2565"/>
      <c r="M1" s="2565"/>
    </row>
    <row r="2" spans="2:14" ht="15" x14ac:dyDescent="0.2">
      <c r="B2" s="2566">
        <f>'Single Audit Cover'!E7</f>
        <v>13058002003</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Kell Cons SD 2</v>
      </c>
      <c r="B1" s="2570"/>
      <c r="C1" s="2570"/>
      <c r="D1" s="2570"/>
      <c r="E1" s="2570"/>
      <c r="F1" s="2570"/>
    </row>
    <row r="2" spans="1:7" ht="13.5" customHeight="1" x14ac:dyDescent="0.2">
      <c r="A2" s="2566">
        <f>'Single Audit Cover'!E7</f>
        <v>13058002003</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1705</v>
      </c>
      <c r="C6" s="295"/>
      <c r="D6" s="295"/>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8">
        <f>+C33+C34</f>
        <v>0</v>
      </c>
      <c r="F34" s="257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2076</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2094</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Kell Cons SD 2</v>
      </c>
      <c r="C1" s="2586"/>
      <c r="D1" s="2586"/>
      <c r="E1" s="2586"/>
      <c r="F1" s="2586"/>
      <c r="G1" s="2586"/>
      <c r="H1" s="2586"/>
      <c r="I1" s="2586"/>
      <c r="J1" s="1177"/>
    </row>
    <row r="2" spans="2:10" s="295" customFormat="1" ht="12.75" customHeight="1" x14ac:dyDescent="0.2">
      <c r="B2" s="2587">
        <f>'Single Audit Cover'!E7</f>
        <v>13058002003</v>
      </c>
      <c r="C2" s="2588"/>
      <c r="D2" s="2588"/>
      <c r="E2" s="2588"/>
      <c r="F2" s="2588"/>
      <c r="G2" s="2588"/>
      <c r="H2" s="2588"/>
      <c r="I2" s="2588"/>
      <c r="J2" s="1177"/>
    </row>
    <row r="3" spans="2:10" s="295" customFormat="1" ht="12.75" customHeight="1" x14ac:dyDescent="0.2">
      <c r="B3" s="2589" t="s">
        <v>1274</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1273</v>
      </c>
      <c r="C7" s="2590"/>
      <c r="D7" s="2590"/>
      <c r="E7" s="2590"/>
      <c r="F7" s="2590"/>
      <c r="G7" s="2590"/>
      <c r="H7" s="2590"/>
      <c r="I7" s="259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1"/>
      <c r="D11" s="259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2"/>
      <c r="E29" s="2592"/>
      <c r="F29" s="2592"/>
      <c r="G29" s="2592"/>
      <c r="H29" s="2592"/>
      <c r="I29" s="259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A41" sqref="A4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Kell Cons SD 2</v>
      </c>
      <c r="C1" s="2585"/>
      <c r="D1" s="2585"/>
      <c r="E1" s="2585"/>
      <c r="F1" s="2585"/>
      <c r="G1" s="2585"/>
      <c r="H1" s="2585"/>
      <c r="I1" s="2585"/>
      <c r="J1" s="2585"/>
      <c r="K1" s="2585"/>
      <c r="L1" s="1143"/>
      <c r="M1" s="1143"/>
    </row>
    <row r="2" spans="1:13" ht="12" customHeight="1" x14ac:dyDescent="0.2">
      <c r="B2" s="2587">
        <f>'Single Audit Cover'!E7</f>
        <v>13058002003</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Kell Cons SD 2</v>
      </c>
      <c r="C1" s="2585"/>
      <c r="D1" s="2585"/>
      <c r="E1" s="2585"/>
      <c r="F1" s="2585"/>
      <c r="G1" s="2585"/>
      <c r="H1" s="2585"/>
      <c r="I1" s="2585"/>
      <c r="J1" s="2585"/>
      <c r="K1" s="2585"/>
      <c r="L1" s="1143"/>
      <c r="M1" s="1143"/>
    </row>
    <row r="2" spans="1:13" ht="12" customHeight="1" x14ac:dyDescent="0.2">
      <c r="B2" s="2587">
        <f>'Single Audit Cover'!E7</f>
        <v>13058002003</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Kell Cons SD 2</v>
      </c>
      <c r="C1" s="2612"/>
      <c r="D1" s="2612"/>
      <c r="E1" s="2612"/>
      <c r="F1" s="2612"/>
      <c r="G1" s="2612"/>
      <c r="H1" s="2612"/>
      <c r="I1" s="2612"/>
      <c r="J1" s="2612"/>
      <c r="K1" s="2612"/>
      <c r="L1" s="1220"/>
    </row>
    <row r="2" spans="1:12" ht="12.75" customHeight="1" x14ac:dyDescent="0.2">
      <c r="B2" s="2613">
        <f>'Single Audit Cover'!E7</f>
        <v>13058002003</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 xml:space="preserve">  Kell Cons SD 2</v>
      </c>
      <c r="C1" s="2585"/>
      <c r="D1" s="2585"/>
      <c r="E1" s="1239"/>
    </row>
    <row r="2" spans="2:5" s="1057" customFormat="1" ht="12.75" customHeight="1" x14ac:dyDescent="0.2">
      <c r="B2" s="2587">
        <f>'Single Audit Cover'!E7</f>
        <v>13058002003</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1" sqref="A4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10904183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1.5919699999999998E-2</v>
      </c>
      <c r="E10" s="333" t="s">
        <v>998</v>
      </c>
      <c r="F10" s="332">
        <v>5.3825000000000001E-3</v>
      </c>
      <c r="G10" s="333" t="s">
        <v>998</v>
      </c>
      <c r="H10" s="332">
        <v>9.993999999999999E-4</v>
      </c>
      <c r="I10" s="333" t="s">
        <v>999</v>
      </c>
      <c r="J10" s="1423">
        <f>ROUND(D10+F10+H10,5)</f>
        <v>2.23E-2</v>
      </c>
      <c r="K10" s="217"/>
      <c r="L10" s="332">
        <v>2.789E-4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1001516</v>
      </c>
      <c r="E16" s="1546"/>
      <c r="F16" s="1545">
        <f>SUM('Acct Summary 7-8'!C17,'Acct Summary 7-8'!D17,'Acct Summary 7-8'!F17)</f>
        <v>867058</v>
      </c>
      <c r="G16" s="1546"/>
      <c r="H16" s="1545">
        <f>SUM(D16-F16)</f>
        <v>134458</v>
      </c>
      <c r="I16" s="1547"/>
      <c r="J16" s="1545">
        <f>SUM('Acct Summary 7-8'!C81,'Acct Summary 7-8'!D81,'Acct Summary 7-8'!F81,'Acct Summary 7-8'!I81)</f>
        <v>368654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2076</v>
      </c>
      <c r="C31" s="344" t="s">
        <v>582</v>
      </c>
      <c r="D31" s="232" t="s">
        <v>1063</v>
      </c>
      <c r="E31" s="217"/>
      <c r="F31" s="217"/>
      <c r="G31" s="340"/>
      <c r="H31" s="1424">
        <f>IF(B31="X",(J7*0.069),IF(B32="X",(J7*0.138),"Enter x in a.or b."))</f>
        <v>752388.62700000009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231000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1" sqref="A4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Kell Cons SD 2</v>
      </c>
      <c r="E7" s="368"/>
      <c r="G7" s="247"/>
      <c r="H7" s="364"/>
      <c r="I7" s="364"/>
      <c r="J7" s="364"/>
      <c r="K7" s="364"/>
      <c r="L7" s="307"/>
      <c r="M7" s="307"/>
      <c r="N7" s="307"/>
      <c r="O7" s="307"/>
      <c r="P7" s="307"/>
    </row>
    <row r="8" spans="1:18" ht="12.75" x14ac:dyDescent="0.2">
      <c r="A8" s="307"/>
      <c r="B8" s="307"/>
      <c r="C8" s="366" t="s">
        <v>1115</v>
      </c>
      <c r="D8" s="369">
        <f>COVER!A13</f>
        <v>13058002003</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368654</v>
      </c>
      <c r="I12" s="380"/>
      <c r="J12" s="380"/>
      <c r="K12" s="1558">
        <f>TRUNC((H12/H13*100000),5)/100000</f>
        <v>0.36809596649999998</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1001516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867058</v>
      </c>
      <c r="I17" s="380"/>
      <c r="J17" s="389"/>
      <c r="K17" s="1558">
        <f>TRUNC((H17/H18*100000),5)/100000</f>
        <v>0.86574552970000007</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1001516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368654</v>
      </c>
      <c r="I24" s="394"/>
      <c r="J24" s="394"/>
      <c r="K24" s="1554">
        <f>TRUNC(((H24/H25*100000)/100000),2)</f>
        <v>153.06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2408.4944399999999</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206688.78877000001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3</v>
      </c>
      <c r="P31" s="211"/>
    </row>
    <row r="32" spans="1:18" s="382" customFormat="1" ht="11.25" x14ac:dyDescent="0.2">
      <c r="A32" s="213"/>
      <c r="B32" s="377"/>
      <c r="C32" s="213" t="s">
        <v>842</v>
      </c>
      <c r="D32" s="213"/>
      <c r="E32" s="213"/>
      <c r="F32" s="213"/>
      <c r="G32" s="378"/>
      <c r="H32" s="1550">
        <f>'FP Info 3'!H37</f>
        <v>231000</v>
      </c>
      <c r="I32" s="392"/>
      <c r="J32" s="392"/>
      <c r="K32" s="1554">
        <f>TRUNC(100-((((H32/H33*100))*100)/100),2)</f>
        <v>69.290000000000006</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752388.62700000009</v>
      </c>
      <c r="I33" s="392"/>
      <c r="J33" s="392"/>
      <c r="K33" s="379"/>
      <c r="L33" s="213"/>
      <c r="M33" s="401" t="s">
        <v>1135</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A41" sqref="A41"/>
      <selection pane="bottomLeft" activeCell="A41" sqref="A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203587</v>
      </c>
      <c r="D4" s="1572">
        <v>131965</v>
      </c>
      <c r="E4" s="1572">
        <v>7556</v>
      </c>
      <c r="F4" s="1572">
        <v>33102</v>
      </c>
      <c r="G4" s="1572">
        <v>11811</v>
      </c>
      <c r="H4" s="1572"/>
      <c r="I4" s="1572"/>
      <c r="J4" s="1573">
        <v>65158</v>
      </c>
      <c r="K4" s="1572">
        <v>46680</v>
      </c>
      <c r="L4" s="1572">
        <v>22243</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203587</v>
      </c>
      <c r="D13" s="1586">
        <f t="shared" ref="D13:L13" si="0">SUM(D4:D12)</f>
        <v>131965</v>
      </c>
      <c r="E13" s="1586">
        <f t="shared" si="0"/>
        <v>7556</v>
      </c>
      <c r="F13" s="1586">
        <f t="shared" si="0"/>
        <v>33102</v>
      </c>
      <c r="G13" s="1586">
        <f t="shared" si="0"/>
        <v>11811</v>
      </c>
      <c r="H13" s="1586">
        <f t="shared" si="0"/>
        <v>0</v>
      </c>
      <c r="I13" s="1586">
        <f t="shared" si="0"/>
        <v>0</v>
      </c>
      <c r="J13" s="1586">
        <f t="shared" si="0"/>
        <v>65158</v>
      </c>
      <c r="K13" s="1586">
        <f t="shared" si="0"/>
        <v>46680</v>
      </c>
      <c r="L13" s="1586">
        <f t="shared" si="0"/>
        <v>22243</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23314</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1244910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20470</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611978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9291</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7556</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223444</v>
      </c>
    </row>
    <row r="23" spans="1:14" ht="13.5" customHeight="1" thickBot="1" x14ac:dyDescent="0.25">
      <c r="A23" s="1425" t="s">
        <v>638</v>
      </c>
      <c r="B23" s="1428"/>
      <c r="C23" s="1574"/>
      <c r="D23" s="1574"/>
      <c r="E23" s="1574"/>
      <c r="F23" s="1574"/>
      <c r="G23" s="1574"/>
      <c r="H23" s="1574"/>
      <c r="I23" s="1574"/>
      <c r="J23" s="1574"/>
      <c r="K23" s="1574"/>
      <c r="L23" s="1574"/>
      <c r="M23" s="1593">
        <f>SUM(M15:M22)</f>
        <v>1909963</v>
      </c>
      <c r="N23" s="1593">
        <f>SUM(N21:N22)</f>
        <v>231000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22243</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22243</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231000</v>
      </c>
    </row>
    <row r="37" spans="1:14" ht="13.5" thickBot="1" x14ac:dyDescent="0.25">
      <c r="A37" s="1425" t="s">
        <v>648</v>
      </c>
      <c r="B37" s="1428"/>
      <c r="C37" s="1581"/>
      <c r="D37" s="1581"/>
      <c r="E37" s="1581"/>
      <c r="F37" s="1581"/>
      <c r="G37" s="1581"/>
      <c r="H37" s="1581"/>
      <c r="I37" s="1581"/>
      <c r="J37" s="1581"/>
      <c r="K37" s="1581"/>
      <c r="L37" s="1584"/>
      <c r="M37" s="1574"/>
      <c r="N37" s="1593">
        <f>SUM(N36:N36)</f>
        <v>231000</v>
      </c>
    </row>
    <row r="38" spans="1:14" s="307" customFormat="1" ht="13.5" customHeight="1" thickTop="1" x14ac:dyDescent="0.2">
      <c r="A38" s="438" t="s">
        <v>417</v>
      </c>
      <c r="B38" s="432">
        <v>714</v>
      </c>
      <c r="C38" s="1572"/>
      <c r="D38" s="1572">
        <v>45354</v>
      </c>
      <c r="E38" s="1572"/>
      <c r="F38" s="1572"/>
      <c r="G38" s="1572">
        <v>5906</v>
      </c>
      <c r="H38" s="1572"/>
      <c r="I38" s="1572"/>
      <c r="J38" s="1573"/>
      <c r="K38" s="1572"/>
      <c r="L38" s="1585"/>
      <c r="M38" s="1603"/>
      <c r="N38" s="1603"/>
    </row>
    <row r="39" spans="1:14" s="307" customFormat="1" ht="13.5" customHeight="1" x14ac:dyDescent="0.2">
      <c r="A39" s="438" t="s">
        <v>339</v>
      </c>
      <c r="B39" s="432">
        <v>730</v>
      </c>
      <c r="C39" s="1572">
        <v>203587</v>
      </c>
      <c r="D39" s="1572">
        <v>86611</v>
      </c>
      <c r="E39" s="1572">
        <v>7556</v>
      </c>
      <c r="F39" s="1572">
        <v>33102</v>
      </c>
      <c r="G39" s="1572">
        <v>5905</v>
      </c>
      <c r="H39" s="1572"/>
      <c r="I39" s="1572"/>
      <c r="J39" s="1573">
        <v>65158</v>
      </c>
      <c r="K39" s="1572">
        <v>46680</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1909963</v>
      </c>
      <c r="N40" s="1603"/>
    </row>
    <row r="41" spans="1:14" ht="13.5" customHeight="1" thickBot="1" x14ac:dyDescent="0.25">
      <c r="A41" s="1425" t="s">
        <v>650</v>
      </c>
      <c r="B41" s="1404"/>
      <c r="C41" s="1593">
        <f>(SUM(C34,C37,C38,C39))</f>
        <v>203587</v>
      </c>
      <c r="D41" s="1593">
        <f t="shared" ref="D41:L41" si="2">SUM(D34,D37,D38:D39)</f>
        <v>131965</v>
      </c>
      <c r="E41" s="1593">
        <f t="shared" si="2"/>
        <v>7556</v>
      </c>
      <c r="F41" s="1593">
        <f t="shared" si="2"/>
        <v>33102</v>
      </c>
      <c r="G41" s="1593">
        <f t="shared" si="2"/>
        <v>11811</v>
      </c>
      <c r="H41" s="1593">
        <f t="shared" si="2"/>
        <v>0</v>
      </c>
      <c r="I41" s="1593">
        <f t="shared" si="2"/>
        <v>0</v>
      </c>
      <c r="J41" s="1593">
        <f t="shared" si="2"/>
        <v>65158</v>
      </c>
      <c r="K41" s="1593">
        <f t="shared" si="2"/>
        <v>46680</v>
      </c>
      <c r="L41" s="1593">
        <f t="shared" si="2"/>
        <v>22243</v>
      </c>
      <c r="M41" s="1593">
        <f>SUM(M40)</f>
        <v>1909963</v>
      </c>
      <c r="N41" s="1593">
        <f>SUM(N37)</f>
        <v>231000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41" sqref="A41"/>
      <selection pane="bottomLeft" activeCell="A41" sqref="A4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197381</v>
      </c>
      <c r="D4" s="1605">
        <f>'Revenues 9-14'!D109</f>
        <v>18923</v>
      </c>
      <c r="E4" s="1605">
        <f>'Revenues 9-14'!E109</f>
        <v>28608</v>
      </c>
      <c r="F4" s="1605">
        <f>'Revenues 9-14'!F109</f>
        <v>11000</v>
      </c>
      <c r="G4" s="1605">
        <f>'Revenues 9-14'!G109</f>
        <v>46240</v>
      </c>
      <c r="H4" s="1605">
        <f>'Revenues 9-14'!H109</f>
        <v>0</v>
      </c>
      <c r="I4" s="1605">
        <f>'Revenues 9-14'!I109</f>
        <v>3024</v>
      </c>
      <c r="J4" s="1605">
        <f>'Revenues 9-14'!J109</f>
        <v>63127</v>
      </c>
      <c r="K4" s="1605">
        <f>'Revenues 9-14'!K109</f>
        <v>5367</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516235</v>
      </c>
      <c r="D6" s="1606">
        <f>'Revenues 9-14'!D170</f>
        <v>93339</v>
      </c>
      <c r="E6" s="1606">
        <f>'Revenues 9-14'!E170</f>
        <v>0</v>
      </c>
      <c r="F6" s="1606">
        <f>'Revenues 9-14'!F170</f>
        <v>63574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98040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811656</v>
      </c>
      <c r="D8" s="1593">
        <f t="shared" ref="D8:K8" si="0">SUM(D4:D7)</f>
        <v>112262</v>
      </c>
      <c r="E8" s="1593">
        <f t="shared" si="0"/>
        <v>28608</v>
      </c>
      <c r="F8" s="1593">
        <f t="shared" si="0"/>
        <v>74574</v>
      </c>
      <c r="G8" s="1593">
        <f t="shared" si="0"/>
        <v>46240</v>
      </c>
      <c r="H8" s="1593">
        <f t="shared" si="0"/>
        <v>0</v>
      </c>
      <c r="I8" s="1593">
        <f t="shared" si="0"/>
        <v>3024</v>
      </c>
      <c r="J8" s="1593">
        <f t="shared" si="0"/>
        <v>63127</v>
      </c>
      <c r="K8" s="1593">
        <f t="shared" si="0"/>
        <v>5367</v>
      </c>
      <c r="L8" s="325"/>
    </row>
    <row r="9" spans="1:13" ht="15.75" thickTop="1" x14ac:dyDescent="0.2">
      <c r="A9" s="449" t="s">
        <v>1634</v>
      </c>
      <c r="B9" s="450">
        <v>3998</v>
      </c>
      <c r="C9" s="1585">
        <v>453794</v>
      </c>
      <c r="D9" s="1612"/>
      <c r="E9" s="1585"/>
      <c r="F9" s="1585"/>
      <c r="G9" s="1613"/>
      <c r="H9" s="1585"/>
      <c r="I9" s="1608" t="s">
        <v>1159</v>
      </c>
      <c r="J9" s="1582"/>
      <c r="K9" s="1585"/>
      <c r="L9" s="325"/>
    </row>
    <row r="10" spans="1:13" s="452" customFormat="1" ht="13.5" thickBot="1" x14ac:dyDescent="0.25">
      <c r="A10" s="1425" t="s">
        <v>1163</v>
      </c>
      <c r="B10" s="1406"/>
      <c r="C10" s="1593">
        <f>SUM(C8:C9)</f>
        <v>1265450</v>
      </c>
      <c r="D10" s="1593">
        <f t="shared" ref="D10:K10" si="1">SUM(D8:D9)</f>
        <v>112262</v>
      </c>
      <c r="E10" s="1593">
        <f t="shared" si="1"/>
        <v>28608</v>
      </c>
      <c r="F10" s="1593">
        <f t="shared" si="1"/>
        <v>74574</v>
      </c>
      <c r="G10" s="1593">
        <f t="shared" si="1"/>
        <v>46240</v>
      </c>
      <c r="H10" s="1593">
        <f t="shared" si="1"/>
        <v>0</v>
      </c>
      <c r="I10" s="1593">
        <f t="shared" si="1"/>
        <v>3024</v>
      </c>
      <c r="J10" s="1593">
        <f t="shared" si="1"/>
        <v>63127</v>
      </c>
      <c r="K10" s="1593">
        <f t="shared" si="1"/>
        <v>5367</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500533</v>
      </c>
      <c r="D12" s="1615" t="s">
        <v>1159</v>
      </c>
      <c r="E12" s="1574" t="s">
        <v>1159</v>
      </c>
      <c r="F12" s="1574" t="s">
        <v>1159</v>
      </c>
      <c r="G12" s="1605">
        <f>'Expenditures 15-22'!K229</f>
        <v>24302</v>
      </c>
      <c r="H12" s="1616"/>
      <c r="I12" s="1574" t="s">
        <v>1159</v>
      </c>
      <c r="J12" s="1574" t="s">
        <v>1159</v>
      </c>
      <c r="K12" s="1616" t="s">
        <v>1159</v>
      </c>
      <c r="L12" s="325"/>
    </row>
    <row r="13" spans="1:13" ht="15.75" customHeight="1" x14ac:dyDescent="0.2">
      <c r="A13" s="1313" t="s">
        <v>454</v>
      </c>
      <c r="B13" s="1315">
        <v>2000</v>
      </c>
      <c r="C13" s="1606">
        <f>'Expenditures 15-22'!K74</f>
        <v>208116</v>
      </c>
      <c r="D13" s="1606">
        <f>'Expenditures 15-22'!K129</f>
        <v>60321</v>
      </c>
      <c r="E13" s="1575" t="s">
        <v>1159</v>
      </c>
      <c r="F13" s="1606">
        <f>'Expenditures 15-22'!K184</f>
        <v>73624</v>
      </c>
      <c r="G13" s="1606">
        <f>'Expenditures 15-22'!K279</f>
        <v>19110</v>
      </c>
      <c r="H13" s="1606">
        <f>'Expenditures 15-22'!K303</f>
        <v>0</v>
      </c>
      <c r="I13" s="1574" t="s">
        <v>1159</v>
      </c>
      <c r="J13" s="1606">
        <f>'Expenditures 15-22'!K330</f>
        <v>47029</v>
      </c>
      <c r="K13" s="1617">
        <f>'Expenditures 15-22'!K352</f>
        <v>133099</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24464</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28479</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733113</v>
      </c>
      <c r="D17" s="1593">
        <f t="shared" si="2"/>
        <v>60321</v>
      </c>
      <c r="E17" s="1593">
        <f t="shared" si="2"/>
        <v>28479</v>
      </c>
      <c r="F17" s="1593">
        <f t="shared" si="2"/>
        <v>73624</v>
      </c>
      <c r="G17" s="1593">
        <f t="shared" si="2"/>
        <v>43412</v>
      </c>
      <c r="H17" s="1593">
        <f t="shared" si="2"/>
        <v>0</v>
      </c>
      <c r="I17" s="1574"/>
      <c r="J17" s="1593">
        <f>SUM(J12:J16)</f>
        <v>47029</v>
      </c>
      <c r="K17" s="1593">
        <f>SUM(K12:K16)</f>
        <v>133099</v>
      </c>
      <c r="L17" s="325"/>
    </row>
    <row r="18" spans="1:12" ht="15" customHeight="1" thickTop="1" x14ac:dyDescent="0.2">
      <c r="A18" s="1429" t="s">
        <v>1635</v>
      </c>
      <c r="B18" s="1430">
        <v>4180</v>
      </c>
      <c r="C18" s="1605">
        <f t="shared" ref="C18:H18" si="3">C9</f>
        <v>453794</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1186907</v>
      </c>
      <c r="D19" s="1593">
        <f t="shared" si="4"/>
        <v>60321</v>
      </c>
      <c r="E19" s="1593">
        <f t="shared" si="4"/>
        <v>28479</v>
      </c>
      <c r="F19" s="1593">
        <f t="shared" si="4"/>
        <v>73624</v>
      </c>
      <c r="G19" s="1593">
        <f t="shared" si="4"/>
        <v>43412</v>
      </c>
      <c r="H19" s="1593">
        <f t="shared" si="4"/>
        <v>0</v>
      </c>
      <c r="I19" s="1574"/>
      <c r="J19" s="1593">
        <f>SUM(J17:J18)</f>
        <v>47029</v>
      </c>
      <c r="K19" s="1593">
        <f>SUM(K17:K18)</f>
        <v>133099</v>
      </c>
      <c r="L19" s="325"/>
    </row>
    <row r="20" spans="1:12" ht="16.5" thickTop="1" thickBot="1" x14ac:dyDescent="0.25">
      <c r="A20" s="2230" t="s">
        <v>1636</v>
      </c>
      <c r="B20" s="2231"/>
      <c r="C20" s="1621">
        <f>C8-C17</f>
        <v>78543</v>
      </c>
      <c r="D20" s="1621">
        <f t="shared" ref="D20:K20" si="5">D8-D17</f>
        <v>51941</v>
      </c>
      <c r="E20" s="1621">
        <f t="shared" si="5"/>
        <v>129</v>
      </c>
      <c r="F20" s="1621">
        <f t="shared" si="5"/>
        <v>950</v>
      </c>
      <c r="G20" s="1621">
        <f t="shared" si="5"/>
        <v>2828</v>
      </c>
      <c r="H20" s="1621">
        <f t="shared" si="5"/>
        <v>0</v>
      </c>
      <c r="I20" s="1621">
        <f t="shared" si="5"/>
        <v>3024</v>
      </c>
      <c r="J20" s="1621">
        <f t="shared" si="5"/>
        <v>16098</v>
      </c>
      <c r="K20" s="1621">
        <f t="shared" si="5"/>
        <v>-127732</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v>3024</v>
      </c>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v>75000</v>
      </c>
      <c r="E43" s="1573"/>
      <c r="F43" s="1573"/>
      <c r="G43" s="1573"/>
      <c r="H43" s="1573"/>
      <c r="I43" s="1573"/>
      <c r="J43" s="1573"/>
      <c r="K43" s="1573"/>
      <c r="L43" s="453"/>
    </row>
    <row r="44" spans="1:12" s="433" customFormat="1" ht="13.5" customHeight="1" thickBot="1" x14ac:dyDescent="0.25">
      <c r="A44" s="2244" t="s">
        <v>371</v>
      </c>
      <c r="B44" s="2245"/>
      <c r="C44" s="1623">
        <f>SUM(C24:C43)</f>
        <v>3024</v>
      </c>
      <c r="D44" s="1623">
        <f t="shared" ref="D44:K44" si="6">SUM(D24:D43)</f>
        <v>75000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3024</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v>75000</v>
      </c>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3024</v>
      </c>
      <c r="J76" s="1623">
        <f t="shared" si="7"/>
        <v>0</v>
      </c>
      <c r="K76" s="1623">
        <f t="shared" si="7"/>
        <v>75000</v>
      </c>
      <c r="L76" s="453"/>
    </row>
    <row r="77" spans="1:12" ht="14.25" thickTop="1" thickBot="1" x14ac:dyDescent="0.25">
      <c r="A77" s="2222" t="s">
        <v>1167</v>
      </c>
      <c r="B77" s="2223"/>
      <c r="C77" s="1623">
        <f t="shared" ref="C77:K77" si="8">C44-C76</f>
        <v>3024</v>
      </c>
      <c r="D77" s="1623">
        <f t="shared" si="8"/>
        <v>75000</v>
      </c>
      <c r="E77" s="1623">
        <f t="shared" si="8"/>
        <v>0</v>
      </c>
      <c r="F77" s="1623">
        <f t="shared" si="8"/>
        <v>0</v>
      </c>
      <c r="G77" s="1623">
        <f t="shared" si="8"/>
        <v>0</v>
      </c>
      <c r="H77" s="1623">
        <f t="shared" si="8"/>
        <v>0</v>
      </c>
      <c r="I77" s="1623">
        <f t="shared" si="8"/>
        <v>-3024</v>
      </c>
      <c r="J77" s="1623">
        <f t="shared" si="8"/>
        <v>0</v>
      </c>
      <c r="K77" s="1623">
        <f t="shared" si="8"/>
        <v>-75000</v>
      </c>
      <c r="L77" s="325"/>
    </row>
    <row r="78" spans="1:12" ht="21.75" customHeight="1" thickTop="1" thickBot="1" x14ac:dyDescent="0.25">
      <c r="A78" s="2226" t="s">
        <v>593</v>
      </c>
      <c r="B78" s="2227"/>
      <c r="C78" s="1628">
        <f t="shared" ref="C78:K78" si="9">C20+C77</f>
        <v>81567</v>
      </c>
      <c r="D78" s="1628">
        <f t="shared" si="9"/>
        <v>126941</v>
      </c>
      <c r="E78" s="1628">
        <f t="shared" si="9"/>
        <v>129</v>
      </c>
      <c r="F78" s="1628">
        <f t="shared" si="9"/>
        <v>950</v>
      </c>
      <c r="G78" s="1628">
        <f t="shared" si="9"/>
        <v>2828</v>
      </c>
      <c r="H78" s="1628">
        <f t="shared" si="9"/>
        <v>0</v>
      </c>
      <c r="I78" s="1628">
        <f t="shared" si="9"/>
        <v>0</v>
      </c>
      <c r="J78" s="1628">
        <f t="shared" si="9"/>
        <v>16098</v>
      </c>
      <c r="K78" s="1628">
        <f t="shared" si="9"/>
        <v>-202732</v>
      </c>
      <c r="L78" s="457"/>
    </row>
    <row r="79" spans="1:12" ht="13.5" thickTop="1" x14ac:dyDescent="0.2">
      <c r="A79" s="1843" t="str">
        <f>"Fund Balances - July 1, "&amp;'AFR20'!E2-1</f>
        <v>Fund Balances - July 1, 2019</v>
      </c>
      <c r="B79" s="458"/>
      <c r="C79" s="1582">
        <v>122020</v>
      </c>
      <c r="D79" s="1629">
        <v>5024</v>
      </c>
      <c r="E79" s="1629">
        <v>7427</v>
      </c>
      <c r="F79" s="1629">
        <v>32152</v>
      </c>
      <c r="G79" s="1629">
        <v>8983</v>
      </c>
      <c r="H79" s="1629"/>
      <c r="I79" s="1629"/>
      <c r="J79" s="1629">
        <v>49060</v>
      </c>
      <c r="K79" s="1629">
        <v>249412</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203587</v>
      </c>
      <c r="D81" s="1593">
        <f>SUM(D78:D80)</f>
        <v>131965</v>
      </c>
      <c r="E81" s="1593">
        <f t="shared" ref="E81:K81" si="10">SUM(E78:E80)</f>
        <v>7556</v>
      </c>
      <c r="F81" s="1593">
        <f t="shared" si="10"/>
        <v>33102</v>
      </c>
      <c r="G81" s="1593">
        <f t="shared" si="10"/>
        <v>11811</v>
      </c>
      <c r="H81" s="1593">
        <f t="shared" si="10"/>
        <v>0</v>
      </c>
      <c r="I81" s="1593">
        <f t="shared" si="10"/>
        <v>0</v>
      </c>
      <c r="J81" s="1593">
        <f t="shared" si="10"/>
        <v>65158</v>
      </c>
      <c r="K81" s="1593">
        <f t="shared" si="10"/>
        <v>46680</v>
      </c>
      <c r="L81" s="325"/>
    </row>
    <row r="82" spans="1:12" ht="0.75" customHeight="1" thickTop="1" thickBot="1" x14ac:dyDescent="0.25">
      <c r="A82" s="459" t="s">
        <v>340</v>
      </c>
      <c r="B82" s="460"/>
      <c r="C82" s="461">
        <f>(C81-C79)</f>
        <v>81567</v>
      </c>
      <c r="D82" s="461">
        <f t="shared" ref="D82:K82" si="11">(D81-D79)</f>
        <v>126941</v>
      </c>
      <c r="E82" s="461">
        <f t="shared" si="11"/>
        <v>129</v>
      </c>
      <c r="F82" s="461">
        <f t="shared" si="11"/>
        <v>950</v>
      </c>
      <c r="G82" s="461">
        <f t="shared" si="11"/>
        <v>2828</v>
      </c>
      <c r="H82" s="461">
        <f t="shared" si="11"/>
        <v>0</v>
      </c>
      <c r="I82" s="461">
        <f t="shared" si="11"/>
        <v>0</v>
      </c>
      <c r="J82" s="461">
        <f t="shared" si="11"/>
        <v>16098</v>
      </c>
      <c r="K82" s="461">
        <f t="shared" si="11"/>
        <v>-202732</v>
      </c>
    </row>
    <row r="83" spans="1:12" ht="14.25" hidden="1" thickTop="1" thickBot="1" x14ac:dyDescent="0.25">
      <c r="A83" s="462" t="s">
        <v>341</v>
      </c>
      <c r="B83" s="428"/>
      <c r="C83" s="463">
        <f>C82/C81</f>
        <v>0.40064935383889932</v>
      </c>
      <c r="D83" s="463">
        <f t="shared" ref="D83:K83" si="12">D82/D81</f>
        <v>0.96192929943545635</v>
      </c>
      <c r="E83" s="463">
        <f t="shared" si="12"/>
        <v>1.7072525145579671E-2</v>
      </c>
      <c r="F83" s="463">
        <f t="shared" si="12"/>
        <v>2.8699172255452841E-2</v>
      </c>
      <c r="G83" s="463">
        <f t="shared" si="12"/>
        <v>0.23943781220895774</v>
      </c>
      <c r="H83" s="463" t="e">
        <f t="shared" si="12"/>
        <v>#DIV/0!</v>
      </c>
      <c r="I83" s="463" t="e">
        <f t="shared" si="12"/>
        <v>#DIV/0!</v>
      </c>
      <c r="J83" s="463">
        <f t="shared" si="12"/>
        <v>0.24706099020841646</v>
      </c>
      <c r="K83" s="463">
        <f t="shared" si="12"/>
        <v>-4.3430162810625532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activeCell="A41" sqref="A41"/>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165468</v>
      </c>
      <c r="D5" s="1585">
        <v>18688</v>
      </c>
      <c r="E5" s="1572">
        <v>28236</v>
      </c>
      <c r="F5" s="1630">
        <v>10686</v>
      </c>
      <c r="G5" s="1572">
        <v>9394</v>
      </c>
      <c r="H5" s="1572"/>
      <c r="I5" s="1572">
        <v>2983</v>
      </c>
      <c r="J5" s="1573">
        <v>62126</v>
      </c>
      <c r="K5" s="1572">
        <v>4722</v>
      </c>
    </row>
    <row r="6" spans="1:12" ht="15" x14ac:dyDescent="0.2">
      <c r="A6" s="427" t="s">
        <v>1643</v>
      </c>
      <c r="B6" s="429">
        <v>1130</v>
      </c>
      <c r="C6" s="1572">
        <v>3728</v>
      </c>
      <c r="D6" s="1572"/>
      <c r="E6" s="1579"/>
      <c r="F6" s="1579"/>
      <c r="G6" s="1574"/>
      <c r="H6" s="1574"/>
      <c r="I6" s="1574"/>
      <c r="J6" s="1574"/>
      <c r="K6" s="1574"/>
    </row>
    <row r="7" spans="1:12" x14ac:dyDescent="0.2">
      <c r="A7" s="427" t="s">
        <v>110</v>
      </c>
      <c r="B7" s="471">
        <v>1140</v>
      </c>
      <c r="C7" s="1572">
        <v>1442</v>
      </c>
      <c r="D7" s="1572"/>
      <c r="E7" s="1574"/>
      <c r="F7" s="1573"/>
      <c r="G7" s="1573"/>
      <c r="H7" s="1573"/>
      <c r="I7" s="1574"/>
      <c r="J7" s="1574"/>
      <c r="K7" s="1574"/>
    </row>
    <row r="8" spans="1:12" x14ac:dyDescent="0.2">
      <c r="A8" s="427" t="s">
        <v>410</v>
      </c>
      <c r="B8" s="429">
        <v>1150</v>
      </c>
      <c r="C8" s="1579"/>
      <c r="D8" s="1579"/>
      <c r="E8" s="1581"/>
      <c r="F8" s="1581"/>
      <c r="G8" s="1585">
        <v>13495</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170638</v>
      </c>
      <c r="D12" s="1632">
        <f t="shared" si="0"/>
        <v>18688</v>
      </c>
      <c r="E12" s="1632">
        <f t="shared" si="0"/>
        <v>28236</v>
      </c>
      <c r="F12" s="1632">
        <f t="shared" si="0"/>
        <v>10686</v>
      </c>
      <c r="G12" s="1632">
        <f t="shared" si="0"/>
        <v>22889</v>
      </c>
      <c r="H12" s="1632">
        <f t="shared" si="0"/>
        <v>0</v>
      </c>
      <c r="I12" s="1632">
        <f t="shared" si="0"/>
        <v>2983</v>
      </c>
      <c r="J12" s="1632">
        <f t="shared" si="0"/>
        <v>62126</v>
      </c>
      <c r="K12" s="1593">
        <f t="shared" si="0"/>
        <v>4722</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1601</v>
      </c>
      <c r="D14" s="1572">
        <v>175</v>
      </c>
      <c r="E14" s="1572">
        <v>265</v>
      </c>
      <c r="F14" s="1572">
        <v>100</v>
      </c>
      <c r="G14" s="1572">
        <v>215</v>
      </c>
      <c r="H14" s="1572"/>
      <c r="I14" s="1572">
        <v>28</v>
      </c>
      <c r="J14" s="1573">
        <v>583</v>
      </c>
      <c r="K14" s="1572">
        <v>44</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1827</v>
      </c>
      <c r="D16" s="1572"/>
      <c r="E16" s="1572"/>
      <c r="F16" s="1572"/>
      <c r="G16" s="1572">
        <v>23040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3428</v>
      </c>
      <c r="D18" s="1634">
        <f t="shared" ref="D18:K18" si="1">SUM(D14:D17)</f>
        <v>175</v>
      </c>
      <c r="E18" s="1634">
        <f t="shared" si="1"/>
        <v>265</v>
      </c>
      <c r="F18" s="1634">
        <f t="shared" si="1"/>
        <v>100</v>
      </c>
      <c r="G18" s="1634">
        <f t="shared" si="1"/>
        <v>23255</v>
      </c>
      <c r="H18" s="1634">
        <f t="shared" si="1"/>
        <v>0</v>
      </c>
      <c r="I18" s="1634">
        <f t="shared" si="1"/>
        <v>28</v>
      </c>
      <c r="J18" s="1634">
        <f t="shared" si="1"/>
        <v>583</v>
      </c>
      <c r="K18" s="1635">
        <f t="shared" si="1"/>
        <v>44</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905</v>
      </c>
      <c r="D65" s="1572">
        <v>60</v>
      </c>
      <c r="E65" s="1572">
        <v>107</v>
      </c>
      <c r="F65" s="1573">
        <v>89</v>
      </c>
      <c r="G65" s="1572">
        <v>96</v>
      </c>
      <c r="H65" s="1572"/>
      <c r="I65" s="1572">
        <v>13</v>
      </c>
      <c r="J65" s="1573">
        <v>418</v>
      </c>
      <c r="K65" s="1572">
        <v>601</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905</v>
      </c>
      <c r="D67" s="1593">
        <f t="shared" ref="D67:K67" si="2">SUM(D65:D66)</f>
        <v>60</v>
      </c>
      <c r="E67" s="1593">
        <f t="shared" si="2"/>
        <v>107</v>
      </c>
      <c r="F67" s="1593">
        <f t="shared" si="2"/>
        <v>89</v>
      </c>
      <c r="G67" s="1593">
        <f t="shared" si="2"/>
        <v>96</v>
      </c>
      <c r="H67" s="1593">
        <f t="shared" si="2"/>
        <v>0</v>
      </c>
      <c r="I67" s="1593">
        <f t="shared" si="2"/>
        <v>13</v>
      </c>
      <c r="J67" s="1593">
        <f t="shared" si="2"/>
        <v>418</v>
      </c>
      <c r="K67" s="1593">
        <f t="shared" si="2"/>
        <v>601</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108</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333</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441</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1619</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1619</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1250</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19100</v>
      </c>
      <c r="D107" s="1572"/>
      <c r="E107" s="1572"/>
      <c r="F107" s="1572">
        <v>125</v>
      </c>
      <c r="G107" s="1572"/>
      <c r="H107" s="1572"/>
      <c r="I107" s="1572"/>
      <c r="J107" s="1573"/>
      <c r="K107" s="1572"/>
    </row>
    <row r="108" spans="1:12" ht="12.75" customHeight="1" thickBot="1" x14ac:dyDescent="0.25">
      <c r="A108" s="1405" t="s">
        <v>484</v>
      </c>
      <c r="B108" s="1407"/>
      <c r="C108" s="1632">
        <f>SUM(C95:C107)</f>
        <v>20350</v>
      </c>
      <c r="D108" s="1632">
        <f t="shared" ref="D108:K108" si="3">SUM(D95:D107)</f>
        <v>0</v>
      </c>
      <c r="E108" s="1632">
        <f t="shared" si="3"/>
        <v>0</v>
      </c>
      <c r="F108" s="1632">
        <f t="shared" si="3"/>
        <v>125</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197381</v>
      </c>
      <c r="D109" s="1640">
        <f t="shared" si="4"/>
        <v>18923</v>
      </c>
      <c r="E109" s="1640">
        <f t="shared" si="4"/>
        <v>28608</v>
      </c>
      <c r="F109" s="1640">
        <f t="shared" si="4"/>
        <v>11000</v>
      </c>
      <c r="G109" s="1640">
        <f t="shared" si="4"/>
        <v>46240</v>
      </c>
      <c r="H109" s="1640">
        <f t="shared" si="4"/>
        <v>0</v>
      </c>
      <c r="I109" s="1640">
        <f t="shared" si="4"/>
        <v>3024</v>
      </c>
      <c r="J109" s="1640">
        <f t="shared" si="4"/>
        <v>63127</v>
      </c>
      <c r="K109" s="1628">
        <f t="shared" si="4"/>
        <v>5367</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514113</v>
      </c>
      <c r="D117" s="1585">
        <v>43339</v>
      </c>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514113</v>
      </c>
      <c r="D122" s="1632">
        <f t="shared" si="5"/>
        <v>43339</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622</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50817</v>
      </c>
      <c r="G152" s="1573"/>
      <c r="H152" s="1574"/>
      <c r="I152" s="1574"/>
      <c r="J152" s="1574"/>
      <c r="K152" s="1574"/>
    </row>
    <row r="153" spans="1:11" ht="12.75" customHeight="1" x14ac:dyDescent="0.2">
      <c r="A153" s="427" t="s">
        <v>1048</v>
      </c>
      <c r="B153" s="478">
        <v>3510</v>
      </c>
      <c r="C153" s="1631"/>
      <c r="D153" s="1572"/>
      <c r="E153" s="1639"/>
      <c r="F153" s="1572">
        <v>12757</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63574</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1500</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2122</v>
      </c>
      <c r="D169" s="1657">
        <f t="shared" si="6"/>
        <v>50000</v>
      </c>
      <c r="E169" s="1657">
        <f t="shared" si="6"/>
        <v>0</v>
      </c>
      <c r="F169" s="1657">
        <f t="shared" si="6"/>
        <v>63574</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516235</v>
      </c>
      <c r="D170" s="1640">
        <f t="shared" si="7"/>
        <v>93339</v>
      </c>
      <c r="E170" s="1640">
        <f t="shared" si="7"/>
        <v>0</v>
      </c>
      <c r="F170" s="1640">
        <f t="shared" si="7"/>
        <v>63574</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3888</v>
      </c>
      <c r="D180" s="1572"/>
      <c r="E180" s="1574"/>
      <c r="F180" s="1572"/>
      <c r="G180" s="1572"/>
      <c r="H180" s="1572"/>
      <c r="I180" s="1574"/>
      <c r="J180" s="1574"/>
      <c r="K180" s="1572"/>
    </row>
    <row r="181" spans="1:11" ht="13.5" thickBot="1" x14ac:dyDescent="0.25">
      <c r="A181" s="2256" t="s">
        <v>780</v>
      </c>
      <c r="B181" s="2257"/>
      <c r="C181" s="1632">
        <f>SUM(C177:C180)</f>
        <v>3888</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29078</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14900</v>
      </c>
      <c r="D193" s="1574"/>
      <c r="E193" s="1639"/>
      <c r="F193" s="1574"/>
      <c r="G193" s="1663"/>
      <c r="H193" s="1574"/>
      <c r="I193" s="1574"/>
      <c r="J193" s="1574"/>
      <c r="K193" s="1574"/>
    </row>
    <row r="194" spans="1:11" ht="12.75" customHeight="1" x14ac:dyDescent="0.2">
      <c r="A194" s="427" t="s">
        <v>1434</v>
      </c>
      <c r="B194" s="429">
        <v>4225</v>
      </c>
      <c r="C194" s="1631">
        <v>8641</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52619</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32839</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32839</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691</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1692</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2383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1567</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1166</v>
      </c>
      <c r="D263" s="1650"/>
      <c r="E263" s="1574"/>
      <c r="F263" s="1650"/>
      <c r="G263" s="1650"/>
      <c r="H263" s="1574"/>
      <c r="I263" s="1574"/>
      <c r="J263" s="1574"/>
      <c r="K263" s="1574"/>
    </row>
    <row r="264" spans="1:11" ht="12.75" customHeight="1" thickTop="1" thickBot="1" x14ac:dyDescent="0.25">
      <c r="A264" s="427" t="s">
        <v>374</v>
      </c>
      <c r="B264" s="429">
        <v>4992</v>
      </c>
      <c r="C264" s="1649">
        <v>3578</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94152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98040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811656</v>
      </c>
      <c r="D268" s="1640">
        <f t="shared" si="12"/>
        <v>112262</v>
      </c>
      <c r="E268" s="1640">
        <f t="shared" si="12"/>
        <v>28608</v>
      </c>
      <c r="F268" s="1640">
        <f t="shared" si="12"/>
        <v>74574</v>
      </c>
      <c r="G268" s="1640">
        <f t="shared" si="12"/>
        <v>46240</v>
      </c>
      <c r="H268" s="1640">
        <f t="shared" si="12"/>
        <v>0</v>
      </c>
      <c r="I268" s="1640">
        <f t="shared" si="12"/>
        <v>3024</v>
      </c>
      <c r="J268" s="1640">
        <f t="shared" si="12"/>
        <v>63127</v>
      </c>
      <c r="K268" s="1628">
        <f t="shared" si="12"/>
        <v>5367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1" sqref="A41"/>
      <selection pane="bottomLeft" activeCell="A41" sqref="A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350007</v>
      </c>
      <c r="D5" s="1572">
        <v>4183</v>
      </c>
      <c r="E5" s="1572">
        <v>12722</v>
      </c>
      <c r="F5" s="1572">
        <v>11150</v>
      </c>
      <c r="G5" s="1572"/>
      <c r="H5" s="1572"/>
      <c r="I5" s="1573"/>
      <c r="J5" s="1573"/>
      <c r="K5" s="1671">
        <f>SUM(C5:J5)</f>
        <v>378062</v>
      </c>
      <c r="L5" s="1572">
        <v>378533</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89058</v>
      </c>
      <c r="D8" s="1572">
        <v>1563</v>
      </c>
      <c r="E8" s="1572"/>
      <c r="F8" s="1572"/>
      <c r="G8" s="1572"/>
      <c r="H8" s="1572"/>
      <c r="I8" s="1573"/>
      <c r="J8" s="1573"/>
      <c r="K8" s="1671">
        <f t="shared" si="0"/>
        <v>90621</v>
      </c>
      <c r="L8" s="1572">
        <v>90621</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27870</v>
      </c>
      <c r="D10" s="1572"/>
      <c r="E10" s="1572"/>
      <c r="F10" s="1572"/>
      <c r="G10" s="1572"/>
      <c r="H10" s="1572"/>
      <c r="I10" s="1573"/>
      <c r="J10" s="1573"/>
      <c r="K10" s="1671">
        <f t="shared" si="0"/>
        <v>27870</v>
      </c>
      <c r="L10" s="1572">
        <v>27870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3975</v>
      </c>
      <c r="D14" s="1572">
        <v>5</v>
      </c>
      <c r="E14" s="1572"/>
      <c r="F14" s="1572"/>
      <c r="G14" s="1572"/>
      <c r="H14" s="1572"/>
      <c r="I14" s="1573"/>
      <c r="J14" s="1573"/>
      <c r="K14" s="1671">
        <f t="shared" si="0"/>
        <v>3980</v>
      </c>
      <c r="L14" s="1572">
        <v>3980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470910</v>
      </c>
      <c r="D33" s="1673">
        <f t="shared" ref="D33:L33" si="1">SUM(D5:D32)</f>
        <v>5751</v>
      </c>
      <c r="E33" s="1673">
        <f t="shared" si="1"/>
        <v>12722</v>
      </c>
      <c r="F33" s="1673">
        <f t="shared" si="1"/>
        <v>11150</v>
      </c>
      <c r="G33" s="1673">
        <f t="shared" si="1"/>
        <v>0</v>
      </c>
      <c r="H33" s="1673">
        <f t="shared" si="1"/>
        <v>0</v>
      </c>
      <c r="I33" s="1673">
        <f t="shared" si="1"/>
        <v>0</v>
      </c>
      <c r="J33" s="1673">
        <f t="shared" si="1"/>
        <v>0</v>
      </c>
      <c r="K33" s="1673">
        <f t="shared" si="1"/>
        <v>500533</v>
      </c>
      <c r="L33" s="1673">
        <f t="shared" si="1"/>
        <v>501004</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c r="D38" s="1572"/>
      <c r="E38" s="1572"/>
      <c r="F38" s="1572">
        <v>616</v>
      </c>
      <c r="G38" s="1572"/>
      <c r="H38" s="1572"/>
      <c r="I38" s="1573"/>
      <c r="J38" s="1573"/>
      <c r="K38" s="1671">
        <f t="shared" si="2"/>
        <v>616</v>
      </c>
      <c r="L38" s="1572">
        <v>616</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0</v>
      </c>
      <c r="F42" s="1673">
        <f t="shared" si="3"/>
        <v>616</v>
      </c>
      <c r="G42" s="1673">
        <f t="shared" si="3"/>
        <v>0</v>
      </c>
      <c r="H42" s="1673">
        <f t="shared" si="3"/>
        <v>0</v>
      </c>
      <c r="I42" s="1673">
        <f t="shared" si="3"/>
        <v>0</v>
      </c>
      <c r="J42" s="1673">
        <f t="shared" si="3"/>
        <v>0</v>
      </c>
      <c r="K42" s="1673">
        <f t="shared" si="3"/>
        <v>616</v>
      </c>
      <c r="L42" s="1673">
        <f t="shared" si="3"/>
        <v>616</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c r="F44" s="1585"/>
      <c r="G44" s="1585"/>
      <c r="H44" s="1585"/>
      <c r="I44" s="1573"/>
      <c r="J44" s="1573"/>
      <c r="K44" s="1677">
        <f>SUM(C44:J44)</f>
        <v>0</v>
      </c>
      <c r="L44" s="1585"/>
    </row>
    <row r="45" spans="1:14" x14ac:dyDescent="0.2">
      <c r="A45" s="1273" t="s">
        <v>810</v>
      </c>
      <c r="B45" s="503">
        <v>2220</v>
      </c>
      <c r="C45" s="1572"/>
      <c r="D45" s="1572"/>
      <c r="E45" s="1572">
        <v>16551</v>
      </c>
      <c r="F45" s="1572">
        <v>7355</v>
      </c>
      <c r="G45" s="1572"/>
      <c r="H45" s="1572"/>
      <c r="I45" s="1573"/>
      <c r="J45" s="1573"/>
      <c r="K45" s="1677">
        <f>SUM(C45:J45)</f>
        <v>23906</v>
      </c>
      <c r="L45" s="1572">
        <v>32066</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0</v>
      </c>
      <c r="D47" s="1673">
        <f t="shared" ref="D47:K47" si="4">SUM(D44:D46)</f>
        <v>0</v>
      </c>
      <c r="E47" s="1673">
        <f t="shared" si="4"/>
        <v>16551</v>
      </c>
      <c r="F47" s="1673">
        <f t="shared" si="4"/>
        <v>7355</v>
      </c>
      <c r="G47" s="1673">
        <f t="shared" si="4"/>
        <v>0</v>
      </c>
      <c r="H47" s="1673">
        <f t="shared" si="4"/>
        <v>0</v>
      </c>
      <c r="I47" s="1673">
        <f t="shared" si="4"/>
        <v>0</v>
      </c>
      <c r="J47" s="1673">
        <f t="shared" si="4"/>
        <v>0</v>
      </c>
      <c r="K47" s="1673">
        <f t="shared" si="4"/>
        <v>23906</v>
      </c>
      <c r="L47" s="1673">
        <f>SUM(L44:L46)</f>
        <v>32066</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6695</v>
      </c>
      <c r="F49" s="1585">
        <v>3282</v>
      </c>
      <c r="G49" s="1585"/>
      <c r="H49" s="1585"/>
      <c r="I49" s="1573"/>
      <c r="J49" s="1573"/>
      <c r="K49" s="1677">
        <f>SUM(C49:J49)</f>
        <v>9977</v>
      </c>
      <c r="L49" s="1585">
        <v>9823</v>
      </c>
    </row>
    <row r="50" spans="1:14" x14ac:dyDescent="0.2">
      <c r="A50" s="1273" t="s">
        <v>813</v>
      </c>
      <c r="B50" s="503">
        <v>2320</v>
      </c>
      <c r="C50" s="1572">
        <v>15000</v>
      </c>
      <c r="D50" s="1572">
        <v>225</v>
      </c>
      <c r="E50" s="1572"/>
      <c r="F50" s="1572"/>
      <c r="G50" s="1572"/>
      <c r="H50" s="1572">
        <v>490</v>
      </c>
      <c r="I50" s="1573"/>
      <c r="J50" s="1573"/>
      <c r="K50" s="1677">
        <f>SUM(C50:J50)</f>
        <v>15715</v>
      </c>
      <c r="L50" s="1572">
        <v>15715</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15000</v>
      </c>
      <c r="D53" s="1673">
        <f t="shared" ref="D53:L53" si="5">SUM(D49:D52)</f>
        <v>225</v>
      </c>
      <c r="E53" s="1673">
        <f t="shared" si="5"/>
        <v>6695</v>
      </c>
      <c r="F53" s="1673">
        <f t="shared" si="5"/>
        <v>3282</v>
      </c>
      <c r="G53" s="1673">
        <f t="shared" si="5"/>
        <v>0</v>
      </c>
      <c r="H53" s="1673">
        <f t="shared" si="5"/>
        <v>490</v>
      </c>
      <c r="I53" s="1673">
        <f t="shared" si="5"/>
        <v>0</v>
      </c>
      <c r="J53" s="1673">
        <f t="shared" si="5"/>
        <v>0</v>
      </c>
      <c r="K53" s="1673">
        <f t="shared" si="5"/>
        <v>25692</v>
      </c>
      <c r="L53" s="1673">
        <f t="shared" si="5"/>
        <v>25538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36652</v>
      </c>
      <c r="D55" s="1585">
        <v>784</v>
      </c>
      <c r="E55" s="1585"/>
      <c r="F55" s="1585"/>
      <c r="G55" s="1585"/>
      <c r="H55" s="1585"/>
      <c r="I55" s="1573"/>
      <c r="J55" s="1573"/>
      <c r="K55" s="1677">
        <f>SUM(C55:J55)</f>
        <v>37436</v>
      </c>
      <c r="L55" s="1585">
        <v>53036</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36652</v>
      </c>
      <c r="D57" s="1678">
        <f t="shared" ref="D57:K57" si="6">SUM(D55:D56)</f>
        <v>784</v>
      </c>
      <c r="E57" s="1678">
        <f t="shared" si="6"/>
        <v>0</v>
      </c>
      <c r="F57" s="1678">
        <f t="shared" si="6"/>
        <v>0</v>
      </c>
      <c r="G57" s="1678">
        <f t="shared" si="6"/>
        <v>0</v>
      </c>
      <c r="H57" s="1678">
        <f t="shared" si="6"/>
        <v>0</v>
      </c>
      <c r="I57" s="1678">
        <f t="shared" si="6"/>
        <v>0</v>
      </c>
      <c r="J57" s="1678">
        <f t="shared" si="6"/>
        <v>0</v>
      </c>
      <c r="K57" s="1678">
        <f t="shared" si="6"/>
        <v>37436</v>
      </c>
      <c r="L57" s="1673">
        <f>SUM(L55:L56)</f>
        <v>53036</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21935</v>
      </c>
      <c r="D60" s="1572"/>
      <c r="E60" s="1572">
        <v>311</v>
      </c>
      <c r="F60" s="1572">
        <v>1727</v>
      </c>
      <c r="G60" s="1572"/>
      <c r="H60" s="1572">
        <v>102</v>
      </c>
      <c r="I60" s="1573"/>
      <c r="J60" s="1573"/>
      <c r="K60" s="1677">
        <f t="shared" si="7"/>
        <v>24075</v>
      </c>
      <c r="L60" s="1572">
        <v>31202</v>
      </c>
      <c r="M60" s="501"/>
      <c r="N60" s="501"/>
    </row>
    <row r="61" spans="1:14" s="321" customFormat="1" x14ac:dyDescent="0.2">
      <c r="A61" s="1273" t="s">
        <v>195</v>
      </c>
      <c r="B61" s="503">
        <v>2540</v>
      </c>
      <c r="C61" s="1572">
        <v>10234</v>
      </c>
      <c r="D61" s="1572"/>
      <c r="E61" s="1572">
        <v>19973</v>
      </c>
      <c r="F61" s="1572">
        <v>475</v>
      </c>
      <c r="G61" s="1572"/>
      <c r="H61" s="1572"/>
      <c r="I61" s="1573"/>
      <c r="J61" s="1573"/>
      <c r="K61" s="1677">
        <f t="shared" si="7"/>
        <v>30682</v>
      </c>
      <c r="L61" s="1572">
        <v>33346</v>
      </c>
      <c r="M61" s="501"/>
      <c r="N61" s="501"/>
    </row>
    <row r="62" spans="1:14" s="321" customFormat="1" x14ac:dyDescent="0.2">
      <c r="A62" s="1273" t="s">
        <v>947</v>
      </c>
      <c r="B62" s="503">
        <v>2550</v>
      </c>
      <c r="C62" s="1572"/>
      <c r="D62" s="1572"/>
      <c r="E62" s="1572">
        <v>230</v>
      </c>
      <c r="F62" s="1572"/>
      <c r="G62" s="1572"/>
      <c r="H62" s="1572"/>
      <c r="I62" s="1573"/>
      <c r="J62" s="1573"/>
      <c r="K62" s="1677">
        <f t="shared" si="7"/>
        <v>230</v>
      </c>
      <c r="L62" s="1572">
        <v>230</v>
      </c>
      <c r="M62" s="501"/>
      <c r="N62" s="501"/>
    </row>
    <row r="63" spans="1:14" s="501" customFormat="1" x14ac:dyDescent="0.2">
      <c r="A63" s="1273" t="s">
        <v>100</v>
      </c>
      <c r="B63" s="503">
        <v>2560</v>
      </c>
      <c r="C63" s="1572">
        <v>33260</v>
      </c>
      <c r="D63" s="1572"/>
      <c r="E63" s="1572">
        <v>52</v>
      </c>
      <c r="F63" s="1572">
        <v>25946</v>
      </c>
      <c r="G63" s="1572"/>
      <c r="H63" s="1572"/>
      <c r="I63" s="1573"/>
      <c r="J63" s="1573"/>
      <c r="K63" s="1677">
        <f t="shared" si="7"/>
        <v>59258</v>
      </c>
      <c r="L63" s="1572">
        <v>59258</v>
      </c>
    </row>
    <row r="64" spans="1:14" s="501" customFormat="1" x14ac:dyDescent="0.2">
      <c r="A64" s="1278" t="s">
        <v>101</v>
      </c>
      <c r="B64" s="513">
        <v>2570</v>
      </c>
      <c r="C64" s="1585"/>
      <c r="D64" s="1585"/>
      <c r="E64" s="1585">
        <v>6221</v>
      </c>
      <c r="F64" s="1585"/>
      <c r="G64" s="1585"/>
      <c r="H64" s="1585"/>
      <c r="I64" s="1573"/>
      <c r="J64" s="1573"/>
      <c r="K64" s="1677">
        <f t="shared" si="7"/>
        <v>6221</v>
      </c>
      <c r="L64" s="1585">
        <v>6221</v>
      </c>
    </row>
    <row r="65" spans="1:14" s="321" customFormat="1" ht="12.75" customHeight="1" thickBot="1" x14ac:dyDescent="0.25">
      <c r="A65" s="1379" t="s">
        <v>714</v>
      </c>
      <c r="B65" s="1380" t="s">
        <v>35</v>
      </c>
      <c r="C65" s="1673">
        <f>SUM(C59:C64)</f>
        <v>65429</v>
      </c>
      <c r="D65" s="1673">
        <f t="shared" ref="D65:L65" si="8">SUM(D59:D64)</f>
        <v>0</v>
      </c>
      <c r="E65" s="1673">
        <f t="shared" si="8"/>
        <v>26787</v>
      </c>
      <c r="F65" s="1673">
        <f t="shared" si="8"/>
        <v>28148</v>
      </c>
      <c r="G65" s="1673">
        <f t="shared" si="8"/>
        <v>0</v>
      </c>
      <c r="H65" s="1673">
        <f t="shared" si="8"/>
        <v>102</v>
      </c>
      <c r="I65" s="1673">
        <f t="shared" si="8"/>
        <v>0</v>
      </c>
      <c r="J65" s="1673">
        <f t="shared" si="8"/>
        <v>0</v>
      </c>
      <c r="K65" s="1673">
        <f t="shared" si="8"/>
        <v>120466</v>
      </c>
      <c r="L65" s="1673">
        <f t="shared" si="8"/>
        <v>130257</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117081</v>
      </c>
      <c r="D74" s="1680">
        <f t="shared" ref="D74:K74" si="10">SUM(D42,D47,D53,D57,D65,D72,D73)</f>
        <v>1009</v>
      </c>
      <c r="E74" s="1680">
        <f t="shared" si="10"/>
        <v>50033</v>
      </c>
      <c r="F74" s="1680">
        <f t="shared" si="10"/>
        <v>39401</v>
      </c>
      <c r="G74" s="1680">
        <f t="shared" si="10"/>
        <v>0</v>
      </c>
      <c r="H74" s="1680">
        <f t="shared" si="10"/>
        <v>592</v>
      </c>
      <c r="I74" s="1680">
        <f t="shared" si="10"/>
        <v>0</v>
      </c>
      <c r="J74" s="1680">
        <f t="shared" si="10"/>
        <v>0</v>
      </c>
      <c r="K74" s="1680">
        <f t="shared" si="10"/>
        <v>208116</v>
      </c>
      <c r="L74" s="1680">
        <f>SUM(L42,L47,L53,L57,L65,L72,L73)</f>
        <v>241513</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3343</v>
      </c>
      <c r="F79" s="1672"/>
      <c r="G79" s="1672"/>
      <c r="H79" s="1572"/>
      <c r="I79" s="1581"/>
      <c r="J79" s="1581"/>
      <c r="K79" s="1671">
        <f t="shared" si="11"/>
        <v>3343</v>
      </c>
      <c r="L79" s="1572">
        <v>931</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3343</v>
      </c>
      <c r="F84" s="1672"/>
      <c r="G84" s="1672"/>
      <c r="H84" s="1673">
        <f>SUM(H78:H83)</f>
        <v>0</v>
      </c>
      <c r="I84" s="1581"/>
      <c r="J84" s="1581"/>
      <c r="K84" s="1673">
        <f>SUM(K78:K83)</f>
        <v>3343</v>
      </c>
      <c r="L84" s="1673">
        <f>SUM(L78:L83)</f>
        <v>931</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21121</v>
      </c>
      <c r="I86" s="1581"/>
      <c r="J86" s="1581"/>
      <c r="K86" s="1680">
        <f t="shared" ref="K86:K98" si="12">H86</f>
        <v>21121</v>
      </c>
      <c r="L86" s="1625">
        <v>23534</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21121</v>
      </c>
      <c r="I92" s="1581"/>
      <c r="J92" s="1581"/>
      <c r="K92" s="1680">
        <f t="shared" si="12"/>
        <v>21121</v>
      </c>
      <c r="L92" s="1673">
        <f>SUM(L85:L91)</f>
        <v>23534</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3343</v>
      </c>
      <c r="F102" s="1672"/>
      <c r="G102" s="1672"/>
      <c r="H102" s="1680">
        <f>SUM(H84,H92,H100,H101)</f>
        <v>21121</v>
      </c>
      <c r="I102" s="1581"/>
      <c r="J102" s="1581"/>
      <c r="K102" s="1680">
        <f>SUM(K84,K92,K100,K101)</f>
        <v>24464</v>
      </c>
      <c r="L102" s="1680">
        <f>SUM(L84,L92,L100,L101)</f>
        <v>24465</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587991</v>
      </c>
      <c r="D114" s="1673">
        <f t="shared" ref="D114:K114" si="13">SUM(D33,D74,D75,D102,D112,D113)</f>
        <v>6760</v>
      </c>
      <c r="E114" s="1673">
        <f t="shared" si="13"/>
        <v>66098</v>
      </c>
      <c r="F114" s="1673">
        <f t="shared" si="13"/>
        <v>50551</v>
      </c>
      <c r="G114" s="1673">
        <f t="shared" si="13"/>
        <v>0</v>
      </c>
      <c r="H114" s="1673">
        <f>SUM(H33,H74,H75,H102,H112,H113)</f>
        <v>21713</v>
      </c>
      <c r="I114" s="1673">
        <f t="shared" si="13"/>
        <v>0</v>
      </c>
      <c r="J114" s="1673">
        <f t="shared" si="13"/>
        <v>0</v>
      </c>
      <c r="K114" s="1673">
        <f t="shared" si="13"/>
        <v>733113</v>
      </c>
      <c r="L114" s="1673">
        <f>SUM(L33,L74,L75,L102,L112,L113)</f>
        <v>766982</v>
      </c>
    </row>
    <row r="115" spans="1:14" ht="13.5" thickTop="1" x14ac:dyDescent="0.2">
      <c r="A115" s="2260" t="s">
        <v>989</v>
      </c>
      <c r="B115" s="2261"/>
      <c r="C115" s="1674"/>
      <c r="D115" s="1674"/>
      <c r="E115" s="1674"/>
      <c r="F115" s="1674"/>
      <c r="G115" s="1674"/>
      <c r="H115" s="1674"/>
      <c r="I115" s="1674"/>
      <c r="J115" s="1674"/>
      <c r="K115" s="1688">
        <f>'Revenues 9-14'!C268-'Expenditures 15-22'!K114</f>
        <v>78543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v>13482</v>
      </c>
      <c r="H123" s="1572"/>
      <c r="I123" s="1573"/>
      <c r="J123" s="1573"/>
      <c r="K123" s="1673">
        <f>SUM(C123:J123)</f>
        <v>13482</v>
      </c>
      <c r="L123" s="1572">
        <v>13483</v>
      </c>
    </row>
    <row r="124" spans="1:14" ht="14.25" thickTop="1" thickBot="1" x14ac:dyDescent="0.25">
      <c r="A124" s="1273" t="s">
        <v>195</v>
      </c>
      <c r="B124" s="503">
        <v>2540</v>
      </c>
      <c r="C124" s="1572"/>
      <c r="D124" s="1572"/>
      <c r="E124" s="1572">
        <v>2473</v>
      </c>
      <c r="F124" s="1572">
        <v>25975</v>
      </c>
      <c r="G124" s="1572">
        <v>18391</v>
      </c>
      <c r="H124" s="1572"/>
      <c r="I124" s="1573"/>
      <c r="J124" s="1573"/>
      <c r="K124" s="1673">
        <f>SUM(C124:J124)</f>
        <v>46839</v>
      </c>
      <c r="L124" s="1572">
        <v>45839</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2473</v>
      </c>
      <c r="F127" s="1673">
        <f t="shared" si="14"/>
        <v>25975</v>
      </c>
      <c r="G127" s="1673">
        <f t="shared" si="14"/>
        <v>31873</v>
      </c>
      <c r="H127" s="1673">
        <f t="shared" si="14"/>
        <v>0</v>
      </c>
      <c r="I127" s="1673">
        <f t="shared" si="14"/>
        <v>0</v>
      </c>
      <c r="J127" s="1673">
        <f t="shared" si="14"/>
        <v>0</v>
      </c>
      <c r="K127" s="1673">
        <f t="shared" si="14"/>
        <v>60321</v>
      </c>
      <c r="L127" s="1673">
        <f t="shared" si="14"/>
        <v>59322</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2473</v>
      </c>
      <c r="F129" s="1680">
        <f t="shared" si="15"/>
        <v>25975</v>
      </c>
      <c r="G129" s="1680">
        <f t="shared" si="15"/>
        <v>31873</v>
      </c>
      <c r="H129" s="1680">
        <f t="shared" si="15"/>
        <v>0</v>
      </c>
      <c r="I129" s="1680">
        <f t="shared" si="15"/>
        <v>0</v>
      </c>
      <c r="J129" s="1680">
        <f t="shared" si="15"/>
        <v>0</v>
      </c>
      <c r="K129" s="1680">
        <f t="shared" si="15"/>
        <v>60321</v>
      </c>
      <c r="L129" s="1680">
        <f t="shared" si="15"/>
        <v>59322</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0</v>
      </c>
      <c r="D151" s="1673">
        <f t="shared" ref="D151:K151" si="16">SUM(D129,D130,D139,D149,D150)</f>
        <v>0</v>
      </c>
      <c r="E151" s="1673">
        <f t="shared" si="16"/>
        <v>2473</v>
      </c>
      <c r="F151" s="1673">
        <f t="shared" si="16"/>
        <v>25975</v>
      </c>
      <c r="G151" s="1673">
        <f t="shared" si="16"/>
        <v>31873</v>
      </c>
      <c r="H151" s="1673">
        <f t="shared" si="16"/>
        <v>0</v>
      </c>
      <c r="I151" s="1673">
        <f t="shared" si="16"/>
        <v>0</v>
      </c>
      <c r="J151" s="1673">
        <f t="shared" si="16"/>
        <v>0</v>
      </c>
      <c r="K151" s="1673">
        <f t="shared" si="16"/>
        <v>60321</v>
      </c>
      <c r="L151" s="1673">
        <f>SUM(L129,L130,L139,L149,L150)</f>
        <v>59322</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51941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8979</v>
      </c>
      <c r="I169" s="1672"/>
      <c r="J169" s="1672"/>
      <c r="K169" s="1671">
        <f>SUM(C169:H169)</f>
        <v>8979</v>
      </c>
      <c r="L169" s="1694">
        <v>8979</v>
      </c>
    </row>
    <row r="170" spans="1:14" ht="33.75" customHeight="1" x14ac:dyDescent="0.2">
      <c r="A170" s="543" t="s">
        <v>1651</v>
      </c>
      <c r="B170" s="545" t="s">
        <v>31</v>
      </c>
      <c r="C170" s="1672"/>
      <c r="D170" s="1672"/>
      <c r="E170" s="1672"/>
      <c r="F170" s="1672"/>
      <c r="G170" s="1672"/>
      <c r="H170" s="1645">
        <v>19000</v>
      </c>
      <c r="I170" s="1672"/>
      <c r="J170" s="1672"/>
      <c r="K170" s="1671">
        <f>SUM(C170:J170)</f>
        <v>19000</v>
      </c>
      <c r="L170" s="1645">
        <v>19000</v>
      </c>
    </row>
    <row r="171" spans="1:14" ht="15.75" customHeight="1" x14ac:dyDescent="0.2">
      <c r="A171" s="507" t="s">
        <v>761</v>
      </c>
      <c r="B171" s="546" t="s">
        <v>84</v>
      </c>
      <c r="C171" s="1672"/>
      <c r="D171" s="1672"/>
      <c r="E171" s="1572"/>
      <c r="F171" s="1672"/>
      <c r="G171" s="1672"/>
      <c r="H171" s="1645">
        <v>500</v>
      </c>
      <c r="I171" s="1581"/>
      <c r="J171" s="1672"/>
      <c r="K171" s="1671">
        <f>SUM(C171:J171)</f>
        <v>500</v>
      </c>
      <c r="L171" s="1645">
        <v>500</v>
      </c>
    </row>
    <row r="172" spans="1:14" ht="12.75" customHeight="1" thickBot="1" x14ac:dyDescent="0.25">
      <c r="A172" s="1379" t="s">
        <v>633</v>
      </c>
      <c r="B172" s="1380" t="s">
        <v>489</v>
      </c>
      <c r="C172" s="1672"/>
      <c r="D172" s="1672"/>
      <c r="E172" s="1680">
        <f>SUM(E168,E169,E170,E171)</f>
        <v>0</v>
      </c>
      <c r="F172" s="1672"/>
      <c r="G172" s="1672"/>
      <c r="H172" s="1680">
        <f>SUM(H168,H169,H170,H171)</f>
        <v>28479</v>
      </c>
      <c r="I172" s="1683"/>
      <c r="J172" s="1672"/>
      <c r="K172" s="1680">
        <f>SUM(K168,K169,K170,K171)</f>
        <v>28479</v>
      </c>
      <c r="L172" s="1680">
        <f>SUM(L168,L169,L170,L171)</f>
        <v>28479</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28479</v>
      </c>
      <c r="I174" s="1683"/>
      <c r="J174" s="1672"/>
      <c r="K174" s="1680">
        <f>SUM(K160,K172,K173)</f>
        <v>28479</v>
      </c>
      <c r="L174" s="1680">
        <f>SUM(L160,L172,L173)</f>
        <v>28479</v>
      </c>
    </row>
    <row r="175" spans="1:14" ht="13.5" thickTop="1" x14ac:dyDescent="0.2">
      <c r="A175" s="2260" t="s">
        <v>989</v>
      </c>
      <c r="B175" s="2261"/>
      <c r="C175" s="1672"/>
      <c r="D175" s="1672"/>
      <c r="E175" s="1672"/>
      <c r="F175" s="1672"/>
      <c r="G175" s="1672"/>
      <c r="H175" s="1674"/>
      <c r="I175" s="1672"/>
      <c r="J175" s="1672"/>
      <c r="K175" s="1688">
        <f>'Revenues 9-14'!E268-'Expenditures 15-22'!K174</f>
        <v>129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42800</v>
      </c>
      <c r="D182" s="1572">
        <v>67</v>
      </c>
      <c r="E182" s="1572">
        <v>23216</v>
      </c>
      <c r="F182" s="1572">
        <v>7541</v>
      </c>
      <c r="G182" s="1572"/>
      <c r="H182" s="1572"/>
      <c r="I182" s="1573"/>
      <c r="J182" s="1573"/>
      <c r="K182" s="1671">
        <f>SUM(C182:J182)</f>
        <v>73624</v>
      </c>
      <c r="L182" s="1572">
        <v>74085</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42800</v>
      </c>
      <c r="D184" s="1680">
        <f t="shared" ref="D184:J184" si="17">SUM(D180,D182,D183)</f>
        <v>67</v>
      </c>
      <c r="E184" s="1680">
        <f t="shared" si="17"/>
        <v>23216</v>
      </c>
      <c r="F184" s="1680">
        <f t="shared" si="17"/>
        <v>7541</v>
      </c>
      <c r="G184" s="1680">
        <f t="shared" si="17"/>
        <v>0</v>
      </c>
      <c r="H184" s="1680">
        <f t="shared" si="17"/>
        <v>0</v>
      </c>
      <c r="I184" s="1680">
        <f t="shared" si="17"/>
        <v>0</v>
      </c>
      <c r="J184" s="1680">
        <f t="shared" si="17"/>
        <v>0</v>
      </c>
      <c r="K184" s="1680">
        <f>SUM(K180,K182,K183)</f>
        <v>73624</v>
      </c>
      <c r="L184" s="1680">
        <f>SUM(L180, L182:L183)</f>
        <v>74085</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42800</v>
      </c>
      <c r="D210" s="1673">
        <f>SUM(D184,D185)</f>
        <v>67</v>
      </c>
      <c r="E210" s="1673">
        <f>SUM(E184,E185,E196)</f>
        <v>23216</v>
      </c>
      <c r="F210" s="1673">
        <f>SUM(F184,F185)</f>
        <v>7541</v>
      </c>
      <c r="G210" s="1673">
        <f>SUM(G184,G185)</f>
        <v>0</v>
      </c>
      <c r="H210" s="1673">
        <f>SUM(H184,H185,H196,H208,H209)</f>
        <v>0</v>
      </c>
      <c r="I210" s="1673">
        <f>SUM(I184,I185)</f>
        <v>0</v>
      </c>
      <c r="J210" s="1673">
        <f>SUM(J184,J185)</f>
        <v>0</v>
      </c>
      <c r="K210" s="1671">
        <f>SUM(K184,K185,K196,K208,K209)</f>
        <v>73624</v>
      </c>
      <c r="L210" s="1673">
        <f>SUM(L184,L185,L196,L208,L209)</f>
        <v>74085</v>
      </c>
    </row>
    <row r="211" spans="1:14" ht="13.5" thickTop="1" x14ac:dyDescent="0.2">
      <c r="A211" s="2260" t="s">
        <v>989</v>
      </c>
      <c r="B211" s="2261"/>
      <c r="C211" s="1674"/>
      <c r="D211" s="1674"/>
      <c r="E211" s="1674"/>
      <c r="F211" s="1674"/>
      <c r="G211" s="1674"/>
      <c r="H211" s="1674"/>
      <c r="I211" s="1672"/>
      <c r="J211" s="1672"/>
      <c r="K211" s="1688">
        <f>'Revenues 9-14'!F268-'Expenditures 15-22'!K210</f>
        <v>950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17383</v>
      </c>
      <c r="E215" s="1672"/>
      <c r="F215" s="1672"/>
      <c r="G215" s="1672"/>
      <c r="H215" s="1672"/>
      <c r="I215" s="1672"/>
      <c r="J215" s="1672"/>
      <c r="K215" s="1671">
        <f>D215</f>
        <v>17383</v>
      </c>
      <c r="L215" s="1572">
        <v>17384</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1290</v>
      </c>
      <c r="E217" s="1672"/>
      <c r="F217" s="1672"/>
      <c r="G217" s="1672"/>
      <c r="H217" s="1672"/>
      <c r="I217" s="1672"/>
      <c r="J217" s="1672"/>
      <c r="K217" s="1671">
        <f t="shared" si="19"/>
        <v>1290</v>
      </c>
      <c r="L217" s="1572">
        <v>1291</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5298</v>
      </c>
      <c r="E219" s="1672"/>
      <c r="F219" s="1672"/>
      <c r="G219" s="1672"/>
      <c r="H219" s="1672"/>
      <c r="I219" s="1672"/>
      <c r="J219" s="1672"/>
      <c r="K219" s="1671">
        <f t="shared" si="19"/>
        <v>5298</v>
      </c>
      <c r="L219" s="1572">
        <v>5299</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331</v>
      </c>
      <c r="E223" s="1672"/>
      <c r="F223" s="1672"/>
      <c r="G223" s="1672"/>
      <c r="H223" s="1672"/>
      <c r="I223" s="1672"/>
      <c r="J223" s="1672"/>
      <c r="K223" s="1671">
        <f t="shared" si="19"/>
        <v>331</v>
      </c>
      <c r="L223" s="1572">
        <v>331</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24302</v>
      </c>
      <c r="E229" s="1672"/>
      <c r="F229" s="1672"/>
      <c r="G229" s="1672"/>
      <c r="H229" s="1672"/>
      <c r="I229" s="1672"/>
      <c r="J229" s="1672"/>
      <c r="K229" s="1673">
        <f>SUM(K215:K228)</f>
        <v>24302</v>
      </c>
      <c r="L229" s="1673">
        <f>SUM(L215:L228)</f>
        <v>24305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217</v>
      </c>
      <c r="E246" s="1672"/>
      <c r="F246" s="1672"/>
      <c r="G246" s="1672"/>
      <c r="H246" s="1672"/>
      <c r="I246" s="1672"/>
      <c r="J246" s="1672"/>
      <c r="K246" s="1677">
        <f t="shared" ref="K246:K256" si="21">D246</f>
        <v>217</v>
      </c>
      <c r="L246" s="1572">
        <v>218</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217</v>
      </c>
      <c r="E257" s="1672"/>
      <c r="F257" s="1672"/>
      <c r="G257" s="1672"/>
      <c r="H257" s="1672"/>
      <c r="I257" s="1672"/>
      <c r="J257" s="1672"/>
      <c r="K257" s="1673">
        <f>SUM(K245:K256)</f>
        <v>217</v>
      </c>
      <c r="L257" s="1673">
        <f>SUM(L245:L256)</f>
        <v>218</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754</v>
      </c>
      <c r="E259" s="1672"/>
      <c r="F259" s="1672"/>
      <c r="G259" s="1672"/>
      <c r="H259" s="1672"/>
      <c r="I259" s="1672"/>
      <c r="J259" s="1672"/>
      <c r="K259" s="1677">
        <f>D259</f>
        <v>754</v>
      </c>
      <c r="L259" s="1585">
        <v>755</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754</v>
      </c>
      <c r="E261" s="1672"/>
      <c r="F261" s="1672"/>
      <c r="G261" s="1672"/>
      <c r="H261" s="1672"/>
      <c r="I261" s="1672"/>
      <c r="J261" s="1672"/>
      <c r="K261" s="1673">
        <f>SUM(K259:K260)</f>
        <v>754</v>
      </c>
      <c r="L261" s="1673">
        <f>SUM(L259:L260)</f>
        <v>755</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6223</v>
      </c>
      <c r="E264" s="1672"/>
      <c r="F264" s="1672"/>
      <c r="G264" s="1672"/>
      <c r="H264" s="1672"/>
      <c r="I264" s="1672"/>
      <c r="J264" s="1672"/>
      <c r="K264" s="1677">
        <f t="shared" ref="K264:K269" si="22">D264</f>
        <v>6223</v>
      </c>
      <c r="L264" s="1572">
        <v>6223</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2034</v>
      </c>
      <c r="E266" s="1672"/>
      <c r="F266" s="1672"/>
      <c r="G266" s="1672"/>
      <c r="H266" s="1672"/>
      <c r="I266" s="1672"/>
      <c r="J266" s="1672"/>
      <c r="K266" s="1677">
        <f t="shared" si="22"/>
        <v>2034</v>
      </c>
      <c r="L266" s="1572">
        <v>2034</v>
      </c>
    </row>
    <row r="267" spans="1:14" x14ac:dyDescent="0.2">
      <c r="A267" s="1273" t="s">
        <v>947</v>
      </c>
      <c r="B267" s="503">
        <v>2550</v>
      </c>
      <c r="C267" s="1672"/>
      <c r="D267" s="1572">
        <v>3319</v>
      </c>
      <c r="E267" s="1672"/>
      <c r="F267" s="1672"/>
      <c r="G267" s="1672"/>
      <c r="H267" s="1672"/>
      <c r="I267" s="1672"/>
      <c r="J267" s="1672"/>
      <c r="K267" s="1677">
        <f t="shared" si="22"/>
        <v>3319</v>
      </c>
      <c r="L267" s="1572">
        <v>3319</v>
      </c>
    </row>
    <row r="268" spans="1:14" x14ac:dyDescent="0.2">
      <c r="A268" s="1273" t="s">
        <v>100</v>
      </c>
      <c r="B268" s="503">
        <v>2560</v>
      </c>
      <c r="C268" s="1672"/>
      <c r="D268" s="1572">
        <v>6563</v>
      </c>
      <c r="E268" s="1672"/>
      <c r="F268" s="1672"/>
      <c r="G268" s="1672"/>
      <c r="H268" s="1672"/>
      <c r="I268" s="1672"/>
      <c r="J268" s="1672"/>
      <c r="K268" s="1677">
        <f t="shared" si="22"/>
        <v>6563</v>
      </c>
      <c r="L268" s="1572">
        <v>6563</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18139</v>
      </c>
      <c r="E270" s="1672"/>
      <c r="F270" s="1672"/>
      <c r="G270" s="1672"/>
      <c r="H270" s="1672"/>
      <c r="I270" s="1672"/>
      <c r="J270" s="1672"/>
      <c r="K270" s="1673">
        <f>SUM(K263:K269)</f>
        <v>18139</v>
      </c>
      <c r="L270" s="1673">
        <f>SUM(L263:L269)</f>
        <v>18139</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19110</v>
      </c>
      <c r="E279" s="1672"/>
      <c r="F279" s="1672"/>
      <c r="G279" s="1672"/>
      <c r="H279" s="1672"/>
      <c r="I279" s="1672"/>
      <c r="J279" s="1672"/>
      <c r="K279" s="1680">
        <f>SUM(K238,K243,K257,K261,K270,K277,K278)</f>
        <v>19110</v>
      </c>
      <c r="L279" s="1680">
        <f>SUM(L238,L243,L257,L261,L270,L277,L278)</f>
        <v>19112</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43412</v>
      </c>
      <c r="E295" s="1672"/>
      <c r="F295" s="1672"/>
      <c r="G295" s="1672"/>
      <c r="H295" s="1673">
        <f>H293</f>
        <v>0</v>
      </c>
      <c r="I295" s="1672"/>
      <c r="J295" s="1672"/>
      <c r="K295" s="1673">
        <f>SUM(K229,K279,K280,K285,K293,K294)</f>
        <v>43412</v>
      </c>
      <c r="L295" s="1673">
        <f>SUM(L229,L279,L280,L285,L293,L294)</f>
        <v>43417</v>
      </c>
    </row>
    <row r="296" spans="1:14" ht="13.5" thickTop="1" x14ac:dyDescent="0.2">
      <c r="A296" s="2260" t="s">
        <v>989</v>
      </c>
      <c r="B296" s="2261"/>
      <c r="C296" s="1672"/>
      <c r="D296" s="1674"/>
      <c r="E296" s="1672"/>
      <c r="F296" s="1672"/>
      <c r="G296" s="1672"/>
      <c r="H296" s="1706"/>
      <c r="I296" s="1672"/>
      <c r="J296" s="1672"/>
      <c r="K296" s="1688">
        <f>'Revenues 9-14'!G268-'Expenditures 15-22'!K295</f>
        <v>2828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6655</v>
      </c>
      <c r="F320" s="1573"/>
      <c r="G320" s="1573"/>
      <c r="H320" s="1573"/>
      <c r="I320" s="1573"/>
      <c r="J320" s="1573"/>
      <c r="K320" s="1671">
        <f t="shared" ref="K320:K327" si="24">SUM(C320:J320)</f>
        <v>6655</v>
      </c>
      <c r="L320" s="1573"/>
      <c r="M320" s="539"/>
      <c r="N320" s="539"/>
    </row>
    <row r="321" spans="1:14" s="548" customFormat="1" x14ac:dyDescent="0.2">
      <c r="A321" s="1288" t="s">
        <v>297</v>
      </c>
      <c r="B321" s="567" t="s">
        <v>281</v>
      </c>
      <c r="C321" s="1573"/>
      <c r="D321" s="1573"/>
      <c r="E321" s="1573">
        <v>1464</v>
      </c>
      <c r="F321" s="1573"/>
      <c r="G321" s="1573"/>
      <c r="H321" s="1573"/>
      <c r="I321" s="1573"/>
      <c r="J321" s="1573"/>
      <c r="K321" s="1671">
        <f t="shared" si="24"/>
        <v>1464</v>
      </c>
      <c r="L321" s="1573">
        <v>1465</v>
      </c>
      <c r="M321" s="539"/>
      <c r="N321" s="539"/>
    </row>
    <row r="322" spans="1:14" s="548" customFormat="1" x14ac:dyDescent="0.2">
      <c r="A322" s="1288" t="s">
        <v>236</v>
      </c>
      <c r="B322" s="567" t="s">
        <v>282</v>
      </c>
      <c r="C322" s="1573"/>
      <c r="D322" s="1573"/>
      <c r="E322" s="1573">
        <v>13727</v>
      </c>
      <c r="F322" s="1573"/>
      <c r="G322" s="1573"/>
      <c r="H322" s="1573"/>
      <c r="I322" s="1573"/>
      <c r="J322" s="1573"/>
      <c r="K322" s="1671">
        <f t="shared" si="24"/>
        <v>13727</v>
      </c>
      <c r="L322" s="1573">
        <v>20382</v>
      </c>
      <c r="M322" s="539"/>
      <c r="N322" s="539"/>
    </row>
    <row r="323" spans="1:14" s="548" customFormat="1" x14ac:dyDescent="0.2">
      <c r="A323" s="1288" t="s">
        <v>697</v>
      </c>
      <c r="B323" s="567" t="s">
        <v>283</v>
      </c>
      <c r="C323" s="1573">
        <v>24933</v>
      </c>
      <c r="D323" s="1573"/>
      <c r="E323" s="1573"/>
      <c r="F323" s="1573"/>
      <c r="G323" s="1573"/>
      <c r="H323" s="1573"/>
      <c r="I323" s="1573"/>
      <c r="J323" s="1573"/>
      <c r="K323" s="1671">
        <f t="shared" si="24"/>
        <v>24933</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250</v>
      </c>
      <c r="F327" s="1573"/>
      <c r="G327" s="1573"/>
      <c r="H327" s="1573"/>
      <c r="I327" s="1573"/>
      <c r="J327" s="1573"/>
      <c r="K327" s="1671">
        <f t="shared" si="24"/>
        <v>250</v>
      </c>
      <c r="L327" s="1573">
        <v>250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24933</v>
      </c>
      <c r="D330" s="1673">
        <f t="shared" ref="D330:J330" si="25">SUM(D319:D329)</f>
        <v>0</v>
      </c>
      <c r="E330" s="1673">
        <f t="shared" si="25"/>
        <v>22096</v>
      </c>
      <c r="F330" s="1673">
        <f t="shared" si="25"/>
        <v>0</v>
      </c>
      <c r="G330" s="1673">
        <f t="shared" si="25"/>
        <v>0</v>
      </c>
      <c r="H330" s="1673">
        <f t="shared" si="25"/>
        <v>0</v>
      </c>
      <c r="I330" s="1673">
        <f t="shared" si="25"/>
        <v>0</v>
      </c>
      <c r="J330" s="1673">
        <f t="shared" si="25"/>
        <v>0</v>
      </c>
      <c r="K330" s="1673">
        <f>SUM(K319:K329)</f>
        <v>47029</v>
      </c>
      <c r="L330" s="1673">
        <f>SUM(L319:L329)</f>
        <v>22097</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24933</v>
      </c>
      <c r="D342" s="1673">
        <f>SUM(D330)</f>
        <v>0</v>
      </c>
      <c r="E342" s="1673">
        <f>SUM(E330)</f>
        <v>22096</v>
      </c>
      <c r="F342" s="1673">
        <f>SUM(F330)</f>
        <v>0</v>
      </c>
      <c r="G342" s="1673">
        <f>SUM(G330)</f>
        <v>0</v>
      </c>
      <c r="H342" s="1673">
        <f>SUM(H330,H334,H340)</f>
        <v>0</v>
      </c>
      <c r="I342" s="1673">
        <f>SUM(I330)</f>
        <v>0</v>
      </c>
      <c r="J342" s="1673">
        <f>SUM(J330)</f>
        <v>0</v>
      </c>
      <c r="K342" s="1673">
        <f>SUM(K330,K334,K340)</f>
        <v>47029</v>
      </c>
      <c r="L342" s="1680">
        <f>SUM(L330,L334,L340,L341)</f>
        <v>22097</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16098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v>1025</v>
      </c>
      <c r="F349" s="1572">
        <v>92</v>
      </c>
      <c r="G349" s="1572">
        <v>131982</v>
      </c>
      <c r="H349" s="1572"/>
      <c r="I349" s="1573"/>
      <c r="J349" s="1573"/>
      <c r="K349" s="1671">
        <f>SUM(C349:J349)</f>
        <v>133099</v>
      </c>
      <c r="L349" s="1572">
        <v>134100</v>
      </c>
    </row>
    <row r="350" spans="1:14" ht="12.75" customHeight="1" thickBot="1" x14ac:dyDescent="0.25">
      <c r="A350" s="1379" t="s">
        <v>714</v>
      </c>
      <c r="B350" s="1380" t="s">
        <v>35</v>
      </c>
      <c r="C350" s="1673">
        <f>SUM(C348:C349)</f>
        <v>0</v>
      </c>
      <c r="D350" s="1673">
        <f t="shared" ref="D350:L350" si="26">SUM(D348:D349)</f>
        <v>0</v>
      </c>
      <c r="E350" s="1673">
        <f t="shared" si="26"/>
        <v>1025</v>
      </c>
      <c r="F350" s="1673">
        <f t="shared" si="26"/>
        <v>92</v>
      </c>
      <c r="G350" s="1673">
        <f t="shared" si="26"/>
        <v>131982</v>
      </c>
      <c r="H350" s="1673">
        <f t="shared" si="26"/>
        <v>0</v>
      </c>
      <c r="I350" s="1673">
        <f t="shared" si="26"/>
        <v>0</v>
      </c>
      <c r="J350" s="1673">
        <f t="shared" si="26"/>
        <v>0</v>
      </c>
      <c r="K350" s="1673">
        <f t="shared" si="26"/>
        <v>133099</v>
      </c>
      <c r="L350" s="1673">
        <f t="shared" si="26"/>
        <v>134100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1025</v>
      </c>
      <c r="F352" s="1673">
        <f t="shared" si="27"/>
        <v>92</v>
      </c>
      <c r="G352" s="1673">
        <f t="shared" si="27"/>
        <v>131982</v>
      </c>
      <c r="H352" s="1673">
        <f t="shared" si="27"/>
        <v>0</v>
      </c>
      <c r="I352" s="1673">
        <f t="shared" si="27"/>
        <v>0</v>
      </c>
      <c r="J352" s="1673">
        <f t="shared" si="27"/>
        <v>0</v>
      </c>
      <c r="K352" s="1673">
        <f t="shared" si="27"/>
        <v>133099</v>
      </c>
      <c r="L352" s="1673">
        <f t="shared" si="27"/>
        <v>134100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1025</v>
      </c>
      <c r="F367" s="1673">
        <f t="shared" si="28"/>
        <v>92</v>
      </c>
      <c r="G367" s="1673">
        <f t="shared" si="28"/>
        <v>131982</v>
      </c>
      <c r="H367" s="1673">
        <f t="shared" si="28"/>
        <v>0</v>
      </c>
      <c r="I367" s="1673">
        <f t="shared" si="28"/>
        <v>0</v>
      </c>
      <c r="J367" s="1673">
        <f t="shared" si="28"/>
        <v>0</v>
      </c>
      <c r="K367" s="1673">
        <f t="shared" si="28"/>
        <v>133099</v>
      </c>
      <c r="L367" s="1673">
        <f t="shared" si="28"/>
        <v>134100</v>
      </c>
    </row>
    <row r="368" spans="1:14" ht="13.5" thickTop="1" x14ac:dyDescent="0.2">
      <c r="A368" s="2260" t="s">
        <v>989</v>
      </c>
      <c r="B368" s="2261"/>
      <c r="C368" s="1693"/>
      <c r="D368" s="1693"/>
      <c r="E368" s="1676"/>
      <c r="F368" s="1676"/>
      <c r="G368" s="1676"/>
      <c r="H368" s="1676"/>
      <c r="I368" s="1676"/>
      <c r="J368" s="1675"/>
      <c r="K368" s="1671">
        <f>'Revenues 9-14'!K268-'Expenditures 15-22'!K367</f>
        <v>-127732</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schemas.openxmlformats.org/package/2006/metadata/core-properties"/>
    <ds:schemaRef ds:uri="http://purl.org/dc/elements/1.1/"/>
    <ds:schemaRef ds:uri="http://schemas.microsoft.com/sharepoint/v3"/>
    <ds:schemaRef ds:uri="http://schemas.microsoft.com/office/infopath/2007/PartnerControls"/>
    <ds:schemaRef ds:uri="4d435f69-8686-490b-bd6d-b153bf22ab50"/>
    <ds:schemaRef ds:uri="http://schemas.microsoft.com/office/2006/documentManagement/types"/>
    <ds:schemaRef ds:uri="http://purl.org/dc/dcmitype/"/>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2020-10-01T22:24:28Z</cp:lastPrinted>
  <dcterms:created xsi:type="dcterms:W3CDTF">2003-10-29T19:06:34Z</dcterms:created>
  <dcterms:modified xsi:type="dcterms:W3CDTF">2020-10-15T15:57:05Z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