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7AF0928-3AF3-4A99-B09A-5A5A355BA1B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4" i="183" l="1"/>
  <c r="F33" i="183"/>
  <c r="F32" i="183"/>
  <c r="F31" i="183"/>
  <c r="F30" i="183"/>
  <c r="F29" i="183"/>
  <c r="F28" i="183"/>
  <c r="F27" i="183"/>
  <c r="F26" i="183"/>
  <c r="F25" i="183"/>
  <c r="F24" i="183"/>
  <c r="F23" i="183"/>
  <c r="F22" i="183"/>
  <c r="F21" i="183"/>
  <c r="F20" i="183"/>
  <c r="F19"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5" i="183" l="1"/>
  <c r="A15" i="183"/>
  <c r="D82" i="36" l="1"/>
  <c r="F35" i="183"/>
  <c r="E3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34" i="34" l="1"/>
  <c r="B7826" i="106" s="1"/>
  <c r="D7826" i="106" s="1"/>
  <c r="D69" i="36"/>
  <c r="F50" i="34"/>
  <c r="H342" i="29"/>
  <c r="B7696" i="106"/>
  <c r="D7696" i="106" s="1"/>
  <c r="E66" i="184"/>
  <c r="N66" i="184" s="1"/>
  <c r="B7171" i="106"/>
  <c r="D7171" i="106" s="1"/>
  <c r="E62" i="184"/>
  <c r="N62" i="184" s="1"/>
  <c r="B7135" i="106"/>
  <c r="D7135" i="106" s="1"/>
  <c r="E58" i="184"/>
  <c r="N58" i="184" s="1"/>
  <c r="I210" i="29"/>
  <c r="B7071" i="106" s="1"/>
  <c r="D7071" i="106" s="1"/>
  <c r="B7153" i="106"/>
  <c r="D7153" i="106" s="1"/>
  <c r="E60" i="184"/>
  <c r="N60" i="184" s="1"/>
  <c r="H12" i="184"/>
  <c r="F42" i="34"/>
  <c r="B7198" i="106"/>
  <c r="D7198" i="106" s="1"/>
  <c r="E65" i="184"/>
  <c r="N65" i="184" s="1"/>
  <c r="B7162" i="106"/>
  <c r="D7162" i="106" s="1"/>
  <c r="E61" i="184"/>
  <c r="N61" i="184" s="1"/>
  <c r="B7126" i="106"/>
  <c r="D7126" i="106" s="1"/>
  <c r="E57" i="184"/>
  <c r="B7189" i="106"/>
  <c r="D7189" i="106" s="1"/>
  <c r="E64" i="184"/>
  <c r="N64" i="184" s="1"/>
  <c r="C352" i="29"/>
  <c r="D31" i="108"/>
  <c r="E16" i="184"/>
  <c r="H16" i="184" s="1"/>
  <c r="B7705" i="106"/>
  <c r="D7705" i="106" s="1"/>
  <c r="E67" i="184"/>
  <c r="N67" i="184" s="1"/>
  <c r="B7180" i="106"/>
  <c r="D7180" i="106" s="1"/>
  <c r="E63" i="184"/>
  <c r="N63" i="184" s="1"/>
  <c r="J210" i="29"/>
  <c r="B7072" i="106" s="1"/>
  <c r="D7072"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41" i="108" l="1"/>
  <c r="G43" i="108" s="1"/>
  <c r="B6216" i="106"/>
  <c r="D6216" i="106" s="1"/>
  <c r="N57" i="184"/>
  <c r="N68" i="184" s="1"/>
  <c r="E68" i="184"/>
  <c r="H19" i="184"/>
  <c r="L20" i="184" s="1"/>
  <c r="B5527" i="106"/>
  <c r="D5527" i="106" s="1"/>
  <c r="D44" i="36"/>
  <c r="B7220" i="106"/>
  <c r="D7220" i="106" s="1"/>
  <c r="F75" i="34"/>
  <c r="B7886" i="106" s="1"/>
  <c r="D7886" i="106" s="1"/>
  <c r="B5770" i="106"/>
  <c r="D5770" i="106" s="1"/>
  <c r="B7222" i="106"/>
  <c r="D7222" i="106" s="1"/>
  <c r="F76" i="34"/>
  <c r="B7887" i="106" s="1"/>
  <c r="D7887" i="106" s="1"/>
  <c r="E367" i="29"/>
  <c r="B3635" i="106"/>
  <c r="D3635" i="106" s="1"/>
  <c r="L16" i="11"/>
  <c r="B2061" i="106" s="1"/>
  <c r="D2061" i="106" s="1"/>
  <c r="L114" i="29"/>
  <c r="K342" i="29"/>
  <c r="F13" i="34"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F24" i="37"/>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8" i="4" l="1"/>
  <c r="F10" i="4" s="1"/>
  <c r="B4125" i="106" s="1"/>
  <c r="D4125" i="106" s="1"/>
  <c r="D8" i="146"/>
  <c r="J19" i="4"/>
  <c r="B6229" i="106" s="1"/>
  <c r="D6229"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<sst xmlns="http://schemas.openxmlformats.org/spreadsheetml/2006/main" count="5163" uniqueCount="2098">
  <si>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</si>
  <si>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</si>
  <si>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</si>
  <si>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</si>
  <si>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</si>
  <si>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</si>
  <si>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</si>
  <si>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</si>
  <si>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</si>
  <si>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</si>
  <si>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</si>
  <si>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</si>
  <si>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</si>
  <si>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</si>
  <si>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</si>
  <si>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</si>
  <si>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</si>
  <si>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</si>
  <si>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</si>
  <si>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</si>
  <si>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</si>
  <si>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</si>
  <si>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</si>
  <si>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</si>
  <si>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</si>
  <si>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</si>
  <si>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</si>
  <si>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</si>
  <si>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</si>
  <si>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</si>
  <si>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</si>
  <si>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</si>
  <si>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</si>
  <si>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</si>
  <si>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</si>
  <si>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</si>
  <si>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</si>
  <si>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</si>
  <si>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</si>
  <si>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</si>
  <si>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</si>
  <si>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</si>
  <si>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</si>
  <si>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</si>
  <si>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</si>
  <si>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</si>
  <si>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</si>
  <si>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</si>
  <si>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</si>
  <si>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</si>
  <si>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</si>
  <si>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</si>
  <si>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</si>
  <si>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</si>
  <si>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</si>
  <si>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</si>
  <si>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</si>
  <si>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</si>
  <si>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</si>
  <si>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</si>
  <si>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</si>
  <si>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</si>
  <si>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</si>
  <si>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</si>
  <si>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</si>
  <si>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</si>
  <si>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</si>
  <si>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</si>
  <si>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</si>
  <si>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</si>
  <si>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</si>
  <si>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</si>
  <si>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</si>
  <si>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</si>
  <si>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</si>
  <si>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</si>
  <si>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</si>
  <si>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</si>
  <si>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</si>
  <si>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</si>
  <si>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</si>
  <si>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</si>
  <si>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</si>
  <si>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</si>
  <si>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</si>
  <si>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</si>
  <si>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</si>
  <si>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</si>
  <si>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</si>
  <si>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</si>
  <si>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</si>
  <si>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</si>
  <si>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</si>
  <si>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</si>
  <si>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</si>
  <si>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</si>
  <si>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</si>
  <si>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</si>
  <si>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</si>
  <si>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</si>
  <si>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</si>
  <si>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</si>
  <si>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</si>
  <si>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</si>
  <si>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</si>
  <si>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</si>
  <si>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</si>
  <si>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</si>
  <si>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</si>
  <si>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</si>
  <si>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</si>
  <si>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</si>
  <si>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</si>
  <si>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</si>
  <si>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</si>
  <si>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</si>
  <si>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</si>
  <si>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</si>
  <si>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</si>
  <si>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</si>
  <si>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</si>
  <si>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</si>
  <si>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</si>
  <si>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</si>
  <si>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</si>
  <si>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</si>
  <si>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</si>
  <si>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</si>
  <si>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</si>
  <si>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</si>
  <si>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</si>
  <si>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</si>
  <si>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</si>
  <si>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</si>
  <si>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</si>
  <si>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</si>
  <si>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</si>
  <si>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</si>
  <si>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</si>
  <si>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</si>
  <si>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</si>
  <si>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</si>
  <si>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</si>
  <si>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</si>
  <si>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</si>
  <si>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</si>
  <si>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</si>
  <si>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</si>
  <si>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</si>
  <si>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</si>
  <si>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</si>
  <si>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</si>
  <si>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</si>
  <si>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</si>
  <si>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</si>
  <si>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</si>
  <si>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</si>
  <si>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</si>
  <si>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</si>
  <si>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</si>
  <si>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</si>
  <si>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</si>
  <si>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</si>
  <si>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</si>
  <si>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</si>
  <si>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</si>
  <si>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</si>
  <si>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</si>
  <si>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</si>
  <si>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</si>
  <si>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</si>
  <si>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</si>
  <si>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</si>
  <si>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</si>
  <si>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</si>
  <si>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</si>
  <si>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</si>
  <si>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</si>
  <si>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</si>
  <si>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</si>
  <si>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</si>
  <si>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</si>
  <si>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</si>
  <si>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</si>
  <si>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</si>
  <si>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</si>
  <si>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</si>
  <si>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</si>
  <si>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</si>
  <si>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</si>
  <si>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</si>
  <si>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</si>
  <si>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</si>
  <si>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</si>
  <si>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</si>
  <si>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</si>
  <si>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</si>
  <si>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</si>
  <si>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</si>
  <si>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</si>
  <si>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</si>
  <si>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</si>
  <si>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</si>
  <si>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</si>
  <si>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</si>
  <si>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</si>
  <si>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</si>
  <si>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</si>
  <si>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</si>
  <si>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</si>
  <si>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</si>
  <si>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</si>
  <si>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</si>
  <si>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</si>
  <si>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</si>
  <si>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</si>
  <si>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</si>
  <si>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</si>
  <si>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</si>
  <si>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</si>
  <si>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</si>
  <si>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</si>
  <si>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</si>
  <si>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</si>
  <si>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</si>
  <si>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</si>
  <si>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</si>
  <si>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</si>
  <si>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</si>
  <si>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</si>
  <si>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</si>
  <si>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</si>
  <si>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</si>
  <si>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</si>
  <si>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</si>
  <si>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</si>
  <si>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</si>
  <si>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</si>
  <si>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</si>
  <si>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</si>
  <si>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</si>
  <si>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</si>
  <si>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</si>
  <si>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</si>
  <si>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</si>
  <si>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</si>
  <si>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</si>
  <si>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</si>
  <si>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</si>
  <si>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</si>
  <si>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</si>
  <si>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</si>
  <si>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</si>
  <si>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</si>
  <si>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</si>
  <si>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</si>
  <si>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</si>
  <si>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</si>
  <si>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</si>
  <si>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</si>
  <si>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</si>
  <si>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</si>
  <si>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</si>
  <si>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</si>
  <si>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</si>
  <si>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</si>
  <si>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</si>
  <si>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</si>
  <si>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</si>
  <si>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</si>
  <si>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</si>
  <si>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</si>
  <si>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</si>
  <si>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</si>
  <si>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</si>
  <si>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</si>
  <si>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</si>
  <si>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</si>
  <si>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</si>
  <si>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</si>
  <si>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</si>
  <si>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</si>
  <si>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</si>
  <si>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</si>
  <si>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</si>
  <si>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</si>
  <si>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</si>
  <si>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</si>
  <si>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</si>
  <si>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</si>
  <si>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</si>
  <si>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</si>
  <si>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</si>
  <si>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</si>
  <si>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</si>
  <si>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</si>
  <si>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</si>
  <si>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</si>
  <si>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</si>
  <si>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</si>
  <si>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</si>
  <si>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</si>
  <si>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</si>
  <si>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</si>
  <si>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</si>
  <si>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</si>
  <si>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</si>
  <si>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</si>
  <si>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</si>
  <si>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</si>
  <si>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</si>
  <si>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</si>
  <si>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</si>
  <si>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</si>
  <si>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</si>
  <si>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</si>
  <si>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</si>
  <si>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</si>
  <si>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</si>
  <si>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</si>
  <si>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</si>
  <si>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</si>
  <si>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</si>
  <si>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</si>
  <si>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</si>
  <si>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</si>
  <si>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</si>
  <si>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</si>
  <si>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</si>
  <si>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</si>
  <si>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</si>
  <si>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</si>
  <si>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</si>
  <si>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</si>
  <si>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</si>
  <si>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</si>
  <si>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</si>
  <si>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</si>
  <si>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</si>
  <si>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</si>
  <si>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</si>
  <si>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</si>
  <si>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</si>
  <si>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</si>
  <si>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</si>
  <si>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</si>
  <si>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</si>
  <si>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</si>
  <si>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</si>
  <si>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</si>
  <si>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</si>
  <si>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</si>
  <si>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</si>
  <si>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</si>
  <si>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</si>
  <si>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</si>
  <si>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</si>
  <si>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</si>
  <si>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</si>
  <si>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</si>
  <si>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</si>
  <si>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</si>
  <si>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</si>
  <si>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</si>
  <si>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</si>
  <si>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</si>
  <si>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</si>
  <si>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</si>
  <si>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</si>
  <si>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</si>
  <si>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</si>
  <si>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</si>
  <si>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</si>
  <si>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</si>
  <si>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</si>
  <si>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</si>
  <si>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</si>
  <si>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</si>
  <si>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</si>
  <si>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</si>
  <si>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</si>
  <si>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</si>
  <si>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</si>
  <si>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</si>
  <si>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</si>
  <si>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</si>
  <si>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</si>
  <si>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</si>
  <si>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</si>
  <si>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</si>
  <si>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</si>
  <si>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</si>
  <si>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</si>
  <si>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</si>
  <si>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</si>
  <si>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</si>
  <si>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</si>
  <si>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</si>
  <si>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</si>
  <si>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</si>
  <si>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</si>
  <si>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</si>
  <si>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</si>
  <si>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</si>
  <si>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</si>
  <si>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</si>
  <si>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</si>
  <si>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</si>
  <si>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</si>
  <si>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</si>
  <si>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</si>
  <si>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</si>
  <si>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</si>
  <si>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</si>
  <si>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</si>
  <si>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</si>
  <si>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</si>
  <si>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</si>
  <si>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</si>
  <si>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</si>
  <si>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</si>
  <si>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</si>
  <si>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</si>
  <si>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</si>
  <si>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</si>
  <si>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</si>
  <si>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</si>
  <si>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</si>
  <si>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</si>
  <si>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</si>
  <si>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</si>
  <si>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</si>
  <si>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</si>
  <si>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</si>
  <si>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</si>
  <si>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</si>
  <si>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</si>
  <si>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</si>
  <si>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</si>
  <si>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</si>
  <si>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</si>
  <si>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</si>
  <si>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</si>
  <si>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</si>
  <si>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</si>
  <si>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</si>
  <si>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</si>
  <si>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</si>
  <si>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</si>
  <si>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</si>
  <si>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</si>
  <si>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</si>
  <si>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</si>
  <si>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</si>
  <si>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</si>
  <si>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</si>
  <si>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</si>
  <si>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</si>
  <si>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</si>
  <si>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</si>
  <si>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</si>
  <si>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</si>
  <si>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</si>
  <si>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</si>
  <si>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</si>
  <si>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</si>
  <si>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</si>
  <si>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</si>
  <si>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</si>
  <si>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</si>
  <si>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</si>
  <si>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</si>
  <si>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</si>
  <si>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</si>
  <si>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</si>
  <si>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</si>
  <si>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</si>
  <si>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</si>
  <si>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</si>
  <si>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</si>
  <si>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</si>
  <si>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</si>
  <si>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</si>
  <si>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</si>
  <si>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</si>
  <si>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</si>
  <si>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</si>
  <si>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</si>
  <si>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</si>
  <si>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</si>
  <si>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</si>
  <si>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</si>
  <si>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</si>
  <si>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</si>
  <si>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</si>
  <si>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</si>
  <si>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</si>
  <si>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</si>
  <si>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</si>
  <si>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</si>
  <si>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</si>
  <si>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</si>
  <si>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</si>
  <si>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</si>
  <si>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</si>
  <si>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</si>
  <si>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</si>
  <si>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</si>
  <si>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</si>
  <si>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</si>
  <si>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</si>
  <si>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</si>
  <si>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</si>
  <si>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</si>
  <si>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</si>
  <si>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</si>
  <si>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</si>
  <si>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</si>
  <si>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</si>
  <si>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</si>
  <si>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</si>
  <si>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</si>
  <si>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</si>
  <si>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</si>
  <si>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</si>
  <si>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</si>
  <si>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</si>
  <si>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</si>
  <si>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</si>
  <si>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</si>
  <si>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</si>
  <si>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</si>
  <si>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</si>
  <si>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</si>
  <si>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</si>
  <si>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</si>
  <si>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</si>
  <si>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</si>
  <si>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</si>
  <si>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</si>
  <si>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</si>
  <si>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</si>
  <si>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</si>
  <si>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</si>
  <si>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</si>
  <si>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</si>
  <si>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</si>
  <si>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</si>
  <si>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</si>
  <si>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</si>
  <si>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</si>
  <si>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</si>
  <si>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</si>
  <si>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</si>
  <si>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</si>
  <si>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</si>
  <si>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</si>
  <si>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</si>
  <si>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</si>
  <si>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</si>
  <si>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</si>
  <si>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</si>
  <si>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</si>
  <si>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</si>
  <si>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</si>
  <si>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</si>
  <si>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</si>
  <si>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</si>
  <si>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</si>
  <si>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</si>
  <si>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</si>
  <si>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</si>
  <si>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</si>
  <si>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</si>
  <si>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</si>
  <si>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</si>
  <si>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</si>
  <si>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</si>
  <si>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</si>
  <si>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</si>
  <si>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</si>
  <si>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</si>
  <si>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</si>
  <si>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</si>
  <si>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</si>
  <si>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</si>
  <si>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</si>
  <si>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</si>
  <si>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</si>
  <si>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</si>
  <si>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</si>
  <si>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</si>
  <si>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</si>
  <si>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</si>
  <si>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</si>
  <si>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</si>
  <si>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</si>
  <si>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</si>
  <si>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</si>
  <si>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</si>
  <si>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</si>
  <si>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</si>
  <si>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</si>
  <si>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</si>
  <si>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</si>
  <si>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</si>
  <si>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</si>
  <si>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</si>
  <si>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</si>
  <si>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</si>
  <si>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</si>
  <si>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</si>
  <si>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</si>
  <si>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</si>
  <si>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</si>
  <si>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</si>
  <si>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</si>
  <si>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</si>
  <si>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</si>
  <si>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</si>
  <si>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</si>
  <si>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</si>
  <si>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</si>
  <si>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</si>
  <si>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</si>
  <si>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</si>
  <si>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</si>
  <si>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</si>
  <si>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</si>
  <si>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</si>
  <si>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</si>
  <si>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</si>
  <si>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</si>
  <si>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</si>
  <si>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</si>
  <si>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</si>
  <si>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</si>
  <si>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</si>
  <si>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</si>
  <si>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</si>
  <si>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</si>
  <si>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</si>
  <si>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</si>
  <si>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</si>
  <si>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</si>
  <si>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</si>
  <si>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</si>
  <si>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</si>
  <si>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</si>
  <si>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</si>
  <si>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</si>
  <si>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</si>
  <si>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</si>
  <si>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</si>
  <si>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</si>
  <si>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</si>
  <si>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</si>
  <si>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</si>
  <si>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</si>
  <si>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</si>
  <si>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</si>
  <si>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</si>
  <si>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</si>
  <si>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</si>
  <si>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</si>
  <si>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</si>
  <si>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</si>
  <si>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</si>
  <si>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</si>
  <si>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</si>
  <si>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</si>
  <si>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</si>
  <si>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</si>
  <si>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</si>
  <si>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</si>
  <si>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</si>
  <si>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</si>
  <si>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</si>
  <si>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</si>
  <si>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</si>
  <si>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</si>
  <si>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</si>
  <si>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</si>
  <si>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</si>
  <si>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</si>
  <si>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</si>
  <si>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</si>
  <si>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</si>
  <si>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</si>
  <si>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</si>
  <si>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</si>
  <si>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</si>
  <si>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</si>
  <si>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</si>
  <si>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</si>
  <si>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</si>
  <si>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</si>
  <si>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</si>
  <si>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</si>
  <si>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</si>
  <si>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</si>
  <si>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</si>
  <si>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</si>
  <si>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</si>
  <si>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</si>
  <si>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</si>
  <si>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</si>
  <si>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</si>
  <si>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</si>
  <si>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</si>
  <si>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</si>
  <si>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</si>
  <si>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</si>
  <si>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</si>
  <si>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</si>
  <si>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</si>
  <si>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</si>
  <si>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</si>
  <si>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</si>
  <si>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</si>
  <si>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</si>
  <si>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</si>
  <si>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</si>
  <si>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</si>
  <si>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</si>
  <si>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</si>
  <si>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</si>
  <si>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</si>
  <si>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</si>
  <si>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</si>
  <si>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</si>
  <si>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</si>
  <si>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</si>
  <si>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</si>
  <si>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</si>
  <si>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</si>
  <si>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</si>
  <si>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</si>
  <si>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</si>
  <si>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</si>
  <si>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</si>
  <si>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</si>
  <si>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</si>
  <si>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</si>
  <si>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</si>
  <si>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</si>
  <si>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</si>
  <si>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</si>
  <si>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</si>
  <si>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</si>
  <si>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</si>
  <si>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</si>
  <si>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</si>
  <si>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</si>
  <si>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</si>
  <si>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</si>
  <si>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</si>
  <si>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</si>
  <si>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</si>
  <si>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</si>
  <si>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</si>
  <si>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</si>
  <si>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</si>
  <si>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</si>
  <si>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</si>
  <si>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</si>
  <si>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</si>
  <si>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</si>
  <si>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</si>
  <si>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</si>
  <si>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</si>
  <si>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</si>
  <si>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</si>
  <si>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</si>
  <si>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</si>
  <si>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</si>
  <si>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</si>
  <si>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</si>
  <si>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</si>
  <si>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</si>
  <si>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</si>
  <si>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</si>
  <si>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</si>
  <si>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</si>
  <si>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</si>
  <si>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</si>
  <si>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</si>
  <si>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</si>
  <si>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</si>
  <si>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</si>
  <si>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</si>
  <si>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</si>
  <si>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</si>
  <si>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</si>
  <si>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</si>
  <si>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</si>
  <si>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</si>
  <si>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</si>
  <si>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</si>
  <si>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</si>
  <si>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</si>
  <si>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</si>
  <si>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</si>
  <si>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</si>
  <si>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</si>
  <si>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</si>
  <si>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</si>
  <si>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</si>
  <si>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</si>
  <si>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</si>
  <si>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</si>
  <si>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</si>
  <si>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</si>
  <si>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</si>
  <si>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</si>
  <si>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</si>
  <si>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</si>
  <si>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</si>
  <si>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</si>
  <si>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</si>
  <si>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</si>
  <si>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</si>
  <si>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</si>
  <si>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</si>
  <si>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</si>
  <si>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</si>
  <si>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</si>
  <si>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</si>
  <si>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</si>
  <si>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</si>
  <si>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</si>
  <si>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</si>
  <si>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</si>
  <si>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</si>
  <si>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</si>
  <si>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</si>
  <si>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</si>
  <si>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</si>
  <si>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</si>
  <si>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</si>
  <si>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</si>
  <si>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</si>
  <si>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</si>
  <si>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</si>
  <si>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</si>
  <si>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</si>
  <si>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</si>
  <si>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</si>
  <si>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</si>
  <si>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</si>
  <si>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</si>
  <si>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</si>
  <si>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</si>
  <si>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</si>
  <si>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</si>
  <si>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</si>
  <si>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</si>
  <si>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</si>
  <si>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</si>
  <si>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</si>
  <si>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</si>
  <si>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</si>
  <si>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</si>
  <si>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</si>
  <si>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</si>
  <si>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</si>
  <si>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</si>
  <si>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</si>
  <si>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</si>
  <si>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</si>
  <si>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</si>
  <si>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</si>
  <si>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</si>
  <si>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</si>
  <si>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</si>
  <si>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</si>
  <si>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</si>
  <si>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</si>
  <si>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</si>
  <si>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</si>
  <si>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</si>
  <si>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</si>
  <si>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</si>
  <si>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</si>
  <si>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</si>
  <si>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</si>
  <si>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</si>
  <si>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</si>
  <si>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</si>
  <si>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</si>
  <si>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</si>
  <si>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</si>
  <si>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</si>
  <si>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</si>
  <si>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</si>
  <si>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</si>
  <si>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</si>
  <si>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</si>
  <si>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</si>
  <si>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</si>
  <si>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</si>
  <si>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</si>
  <si>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</si>
  <si>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</si>
  <si>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</si>
  <si>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</si>
  <si>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</si>
  <si>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</si>
  <si>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</si>
  <si>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</si>
  <si>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</si>
  <si>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</si>
  <si>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</si>
  <si>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</si>
  <si>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</si>
  <si>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</si>
  <si>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</si>
  <si>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</si>
  <si>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</si>
  <si>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</si>
  <si>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</si>
  <si>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</si>
  <si>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</si>
  <si>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</si>
  <si>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</si>
  <si>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</si>
  <si>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</si>
  <si>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</si>
  <si>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</si>
  <si>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</si>
  <si>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</si>
  <si>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</si>
  <si>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</si>
  <si>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</si>
  <si>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</si>
  <si>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</si>
  <si>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</si>
  <si>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</si>
  <si>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</si>
  <si>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</si>
  <si>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</si>
  <si>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</si>
  <si>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</si>
  <si>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</si>
  <si>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</si>
  <si>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</si>
  <si>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</si>
  <si>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</si>
  <si>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</si>
  <si>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</si>
  <si>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</si>
  <si>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</si>
  <si>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</si>
  <si>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</si>
  <si>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</si>
  <si>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</si>
  <si>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</si>
  <si>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</si>
  <si>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</si>
  <si>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</si>
  <si>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</si>
  <si>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</si>
  <si>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</si>
  <si>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</si>
  <si>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</si>
  <si>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</si>
  <si>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</si>
  <si>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</si>
  <si>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</si>
  <si>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</si>
  <si>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</si>
  <si>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</si>
  <si>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</si>
  <si>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</si>
  <si>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</si>
  <si>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</si>
  <si>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</si>
  <si>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</si>
  <si>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</si>
  <si>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</si>
  <si>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</si>
  <si>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</si>
  <si>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</si>
  <si>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</si>
  <si>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</si>
  <si>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</si>
  <si>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</si>
  <si>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</si>
  <si>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</si>
  <si>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</si>
  <si>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</si>
  <si>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</si>
  <si>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</si>
  <si>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</si>
  <si>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</si>
  <si>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</si>
  <si>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</si>
  <si>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</si>
  <si>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</si>
  <si>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</si>
  <si>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</si>
  <si>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</si>
  <si>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</si>
  <si>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</si>
  <si>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</si>
  <si>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</si>
  <si>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</si>
  <si>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</si>
  <si>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</si>
  <si>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</si>
  <si>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</si>
  <si>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</si>
  <si>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</si>
  <si>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</si>
  <si>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</si>
  <si>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</si>
  <si>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</si>
  <si>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</si>
  <si>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</si>
  <si>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</si>
  <si>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</si>
  <si>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</si>
  <si>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</si>
  <si>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</si>
  <si>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</si>
  <si>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</si>
  <si>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</si>
  <si>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</si>
  <si>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</si>
  <si>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</si>
  <si>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</si>
  <si>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</si>
  <si>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</si>
  <si>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</si>
  <si>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</si>
  <si>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</si>
  <si>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</si>
  <si>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</si>
  <si>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</si>
  <si>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</si>
  <si>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</si>
  <si>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</si>
  <si>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</si>
  <si>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</si>
  <si>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</si>
  <si>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</si>
  <si>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</si>
  <si>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</si>
  <si>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</si>
  <si>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</si>
  <si>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</si>
  <si>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</si>
  <si>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</si>
  <si>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</si>
  <si>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</si>
  <si>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</si>
  <si>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</si>
  <si>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</si>
  <si>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</si>
  <si>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</si>
  <si>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</si>
  <si>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</si>
  <si>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</si>
  <si>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</si>
  <si>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</si>
  <si>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</si>
  <si>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</si>
  <si>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</si>
  <si>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</si>
  <si>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</si>
  <si>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</si>
  <si>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</si>
  <si>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</si>
  <si>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</si>
  <si>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</si>
  <si>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</si>
  <si>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</si>
  <si>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</si>
  <si>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</si>
  <si>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</si>
  <si>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</si>
  <si>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</si>
  <si>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</si>
  <si>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</si>
  <si>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</si>
  <si>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</si>
  <si>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</si>
  <si>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</si>
  <si>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</si>
  <si>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</si>
  <si>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</si>
  <si>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</si>
  <si>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</si>
  <si>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</si>
  <si>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</si>
  <si>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</si>
  <si>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</si>
  <si>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</si>
  <si>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</si>
  <si>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</si>
  <si>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</si>
  <si>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</si>
  <si>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</si>
  <si>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</si>
  <si>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</si>
  <si>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</si>
  <si>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</si>
  <si>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</si>
  <si>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</si>
  <si>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</si>
  <si>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</si>
  <si>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</si>
  <si>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</si>
  <si>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</si>
  <si>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</si>
  <si>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</si>
  <si>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</si>
  <si>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</si>
  <si>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</si>
  <si>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</si>
  <si>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</si>
  <si>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</si>
  <si>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</si>
  <si>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</si>
  <si>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</si>
  <si>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</si>
  <si>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</si>
  <si>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</si>
  <si>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</si>
  <si>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</si>
  <si>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</si>
  <si>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</si>
  <si>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</si>
  <si>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</si>
  <si>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</si>
  <si>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</si>
  <si>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</si>
  <si>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</si>
  <si>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</si>
  <si>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</si>
  <si>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</si>
  <si>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</si>
  <si>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</si>
  <si>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</si>
  <si>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</si>
  <si>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</si>
  <si>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</si>
  <si>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</si>
  <si>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</si>
  <si>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</si>
  <si>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</si>
  <si>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</si>
  <si>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</si>
  <si>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</si>
  <si>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</si>
  <si>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</si>
  <si>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</si>
  <si>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</si>
  <si>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</si>
  <si>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</si>
  <si>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</si>
  <si>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</si>
  <si>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</si>
  <si>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</si>
  <si>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</si>
  <si>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</si>
  <si>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</si>
  <si>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</si>
  <si>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</si>
  <si>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</si>
  <si>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</si>
  <si>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</si>
  <si>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</si>
  <si>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</si>
  <si>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</si>
  <si>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</si>
  <si>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</si>
  <si>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</si>
  <si>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</si>
  <si>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</si>
  <si>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</si>
  <si>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</si>
  <si>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</si>
  <si>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</si>
  <si>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</si>
  <si>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</si>
  <si>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</si>
  <si>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</si>
  <si>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</si>
  <si>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</si>
  <si>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</si>
  <si>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</si>
  <si>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</si>
  <si>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</si>
  <si>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</si>
  <si>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</si>
  <si>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</si>
  <si>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</si>
  <si>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</si>
  <si>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</si>
  <si>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</si>
  <si>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</si>
  <si>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</si>
  <si>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</si>
  <si>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</si>
  <si>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</si>
  <si>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</si>
  <si>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</si>
  <si>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</si>
  <si>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</si>
  <si>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</si>
  <si>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</si>
  <si>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</si>
  <si>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</si>
  <si>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</si>
  <si>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</si>
  <si>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</si>
  <si>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</si>
  <si>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</si>
  <si>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</si>
  <si>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</si>
  <si>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</si>
  <si>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</si>
  <si>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</si>
  <si>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</si>
  <si>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</si>
  <si>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</si>
  <si>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</si>
  <si>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</si>
  <si>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</si>
  <si>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</si>
  <si>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</si>
  <si>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</si>
  <si>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</si>
  <si>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</si>
  <si>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</si>
  <si>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</si>
  <si>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</si>
  <si>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</si>
  <si>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</si>
  <si>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</si>
  <si>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</si>
  <si>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</si>
  <si>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</si>
  <si>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</si>
  <si>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</si>
  <si>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</si>
  <si>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</si>
  <si>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</si>
  <si>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</si>
  <si>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</si>
  <si>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</si>
  <si>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</si>
  <si>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</si>
  <si>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</si>
  <si>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</si>
  <si>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</si>
  <si>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</si>
  <si>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</si>
  <si>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</si>
  <si>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</si>
  <si>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</si>
  <si>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</si>
  <si>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</si>
  <si>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</si>
  <si>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</si>
  <si>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</si>
  <si>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</si>
  <si>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</si>
  <si>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</si>
  <si>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</si>
  <si>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</si>
  <si>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</si>
  <si>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</si>
  <si>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</si>
  <si>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</si>
  <si>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</si>
  <si>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</si>
  <si>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</si>
  <si>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</si>
  <si>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</si>
  <si>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</si>
  <si>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</si>
  <si>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</si>
  <si>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</si>
  <si>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</si>
  <si>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</si>
  <si>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</si>
  <si>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</si>
  <si>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</si>
  <si>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</si>
  <si>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</si>
  <si>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</si>
  <si>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</si>
  <si>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</si>
  <si>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</si>
  <si>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</si>
  <si>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</si>
  <si>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</si>
  <si>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</si>
  <si>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</si>
  <si>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</si>
  <si>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</si>
  <si>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</si>
  <si>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</si>
  <si>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</si>
  <si>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</si>
  <si>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</si>
  <si>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</si>
  <si>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</si>
  <si>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</si>
  <si>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</si>
  <si>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</si>
  <si>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</si>
  <si>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</si>
  <si>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</si>
  <si>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</si>
  <si>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</si>
  <si>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</si>
  <si>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</si>
  <si>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</si>
  <si>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</si>
  <si>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</si>
  <si>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</si>
  <si>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</si>
  <si>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</si>
  <si>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</si>
  <si>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</si>
  <si>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</si>
  <si>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</si>
  <si>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</si>
  <si>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</si>
  <si>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</si>
  <si>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</si>
  <si>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</si>
  <si>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</si>
  <si>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</si>
  <si>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</si>
  <si>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</si>
  <si>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</si>
  <si>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</si>
  <si>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</si>
  <si>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</si>
  <si>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</si>
  <si>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</si>
  <si>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</si>
  <si>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</si>
  <si>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</si>
  <si>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</si>
  <si>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</si>
  <si>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</si>
  <si>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</si>
  <si>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</si>
  <si>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</si>
  <si>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</si>
  <si>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</si>
  <si>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</si>
  <si>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</si>
  <si>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</si>
  <si>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</si>
  <si>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</si>
  <si>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</si>
  <si>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</si>
  <si>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</si>
  <si>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</si>
  <si>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</si>
  <si>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</si>
  <si>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</si>
  <si>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</si>
  <si>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</si>
  <si>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</si>
  <si>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</si>
  <si>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</si>
  <si>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</si>
  <si>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</si>
  <si>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</si>
  <si>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</si>
  <si>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</si>
  <si>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</si>
  <si>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</si>
  <si>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</si>
  <si>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</si>
  <si>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</si>
  <si>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</si>
  <si>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</si>
  <si>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</si>
  <si>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</si>
  <si>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</si>
  <si>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</si>
  <si>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</si>
  <si>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</si>
  <si>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</si>
  <si>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</si>
  <si>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</si>
  <si>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</si>
  <si>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</si>
  <si>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</si>
  <si>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</si>
  <si>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</si>
  <si>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</si>
  <si>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</si>
  <si>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</si>
  <si>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</si>
  <si>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</si>
  <si>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</si>
  <si>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</si>
  <si>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</si>
  <si>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</si>
  <si>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</si>
  <si>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</si>
  <si>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</si>
  <si>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</si>
  <si>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</si>
  <si>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</si>
  <si>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</si>
  <si>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</si>
  <si>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</si>
  <si>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</si>
  <si>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</si>
  <si>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</si>
  <si>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</si>
  <si>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</si>
  <si>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</si>
  <si>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</si>
  <si>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</si>
  <si>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</si>
  <si>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</si>
  <si>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</si>
  <si>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</si>
  <si>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</si>
  <si>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</si>
  <si>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</si>
  <si>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</si>
  <si>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</si>
  <si>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</si>
  <si>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</si>
  <si>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</si>
  <si>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</si>
  <si>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</si>
  <si>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</si>
  <si>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</si>
  <si>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</si>
  <si>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</si>
  <si>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</si>
  <si>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</si>
  <si>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</si>
  <si>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</si>
  <si>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</si>
  <si>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</si>
  <si>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</si>
  <si>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</si>
  <si>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</si>
  <si>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</si>
  <si>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</si>
  <si>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</si>
  <si>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</si>
  <si>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</si>
  <si>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</si>
  <si>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</si>
  <si>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</si>
  <si>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</si>
  <si>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</si>
  <si>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</si>
  <si>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</si>
  <si>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</si>
  <si>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</si>
  <si>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</si>
  <si>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</si>
  <si>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</si>
  <si>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</si>
  <si>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</si>
  <si>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</si>
  <si>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</si>
  <si>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</si>
  <si>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</si>
  <si>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</si>
  <si>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</si>
  <si>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</si>
  <si>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</si>
  <si>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</si>
  <si>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</si>
  <si>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</si>
  <si>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</si>
  <si>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</si>
  <si>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</si>
  <si>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</si>
  <si>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</si>
  <si>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</si>
  <si>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</si>
  <si>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</si>
  <si>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</si>
  <si>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</si>
  <si>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</si>
  <si>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</si>
  <si>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</si>
  <si>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</si>
  <si>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</si>
  <si>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</si>
  <si>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</si>
  <si>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</si>
  <si>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</si>
  <si>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</si>
  <si>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</si>
  <si>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</si>
  <si>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</si>
  <si>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</si>
  <si>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</si>
  <si>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</si>
  <si>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</si>
  <si>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</si>
  <si>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</si>
  <si>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</si>
  <si>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</si>
  <si>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</si>
  <si>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</si>
  <si>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</si>
  <si>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</si>
  <si>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</si>
  <si>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</si>
  <si>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</si>
  <si>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</si>
  <si>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</si>
  <si>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</si>
  <si>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</si>
  <si>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</si>
  <si>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</si>
  <si>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</si>
  <si>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</si>
  <si>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</si>
  <si>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</si>
  <si>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</si>
  <si>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</si>
  <si>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</si>
  <si>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</si>
  <si>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</si>
  <si>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</si>
  <si>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</si>
  <si>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</si>
  <si>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</si>
  <si>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</si>
  <si>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</si>
  <si>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</si>
  <si>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</si>
  <si>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</si>
  <si>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</si>
  <si>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</si>
  <si>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</si>
  <si>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</si>
  <si>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</si>
  <si>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</si>
  <si>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</si>
  <si>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</si>
  <si>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</si>
  <si>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</si>
  <si>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</si>
  <si>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</si>
  <si>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</si>
  <si>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</si>
  <si>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</si>
  <si>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</si>
  <si>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</si>
  <si>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</si>
  <si>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</si>
  <si>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</si>
  <si>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</si>
  <si>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</si>
  <si>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</si>
  <si>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</si>
  <si>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</si>
  <si>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</si>
  <si>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</si>
  <si>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</si>
  <si>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</si>
  <si>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</si>
  <si>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</si>
  <si>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</si>
  <si>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</si>
  <si>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</si>
  <si>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</si>
  <si>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</si>
  <si>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</si>
  <si>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</si>
  <si>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</si>
  <si>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</si>
  <si>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</si>
  <si>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</si>
  <si>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</si>
  <si>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</si>
  <si>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</si>
  <si>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</si>
  <si>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</si>
  <si>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</si>
  <si>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</si>
  <si>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</si>
  <si>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</si>
  <si>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</si>
  <si>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</si>
  <si>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</si>
  <si>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</si>
  <si>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</si>
  <si>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</si>
  <si>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</si>
  <si>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</si>
  <si>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</si>
  <si>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</si>
  <si>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</si>
  <si>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</si>
  <si>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</si>
  <si>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</si>
  <si>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</si>
  <si>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</si>
  <si>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</si>
  <si>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</si>
  <si>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</si>
  <si>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</si>
  <si>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</si>
  <si>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</si>
  <si>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</si>
  <si>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</si>
  <si>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</si>
  <si>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</si>
  <si>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</si>
  <si>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</si>
  <si>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</si>
  <si>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</si>
  <si>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</si>
  <si>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</si>
  <si>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</si>
  <si>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</si>
  <si>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</si>
  <si>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</si>
  <si>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</si>
  <si>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</si>
  <si>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</si>
  <si>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</si>
  <si>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</si>
  <si>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</si>
  <si>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</si>
  <si>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</si>
  <si>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</si>
  <si>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</si>
  <si>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</si>
  <si>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</si>
  <si>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</si>
  <si>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</si>
  <si>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</si>
  <si>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</si>
  <si>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</si>
  <si>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</si>
  <si>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</si>
  <si>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</si>
  <si>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</si>
  <si>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</si>
  <si>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</si>
  <si>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</si>
  <si>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</si>
  <si>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</si>
  <si>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</si>
  <si>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</si>
  <si>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</si>
  <si>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</si>
  <si>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</si>
  <si>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</si>
  <si>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</si>
  <si>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</si>
  <si>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</si>
  <si>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</si>
  <si>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</si>
  <si>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</si>
  <si>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</si>
  <si>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</si>
  <si>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</si>
  <si>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</si>
  <si>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</si>
  <si>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</si>
  <si>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</si>
  <si>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</si>
  <si>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</si>
  <si>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</si>
  <si>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</si>
  <si>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</si>
  <si>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</si>
  <si>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</si>
  <si>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</si>
  <si>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</si>
  <si>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</si>
  <si>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</si>
  <si>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</si>
  <si>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</si>
  <si>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</si>
  <si>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</si>
  <si>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</si>
  <si>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</si>
  <si>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</si>
  <si>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</si>
  <si>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</si>
  <si>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</si>
  <si>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</si>
  <si>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</si>
  <si>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</si>
  <si>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</si>
  <si>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</si>
  <si>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</si>
  <si>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</si>
  <si>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</si>
  <si>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</si>
  <si>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</si>
  <si>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</si>
  <si>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</si>
  <si>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</si>
  <si>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</si>
  <si>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</si>
  <si>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</si>
  <si>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</si>
  <si>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</si>
  <si>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</si>
  <si>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</si>
  <si>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</si>
  <si>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</si>
  <si>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</si>
  <si>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</si>
  <si>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</si>
  <si>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</si>
  <si>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</si>
  <si>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</si>
  <si>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</si>
  <si>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</si>
  <si>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</si>
  <si>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</si>
  <si>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</si>
  <si>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</si>
  <si>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</si>
  <si>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</si>
  <si>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</si>
  <si>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</si>
  <si>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</si>
  <si>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</si>
  <si>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</si>
  <si>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</si>
  <si>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</si>
  <si>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</si>
  <si>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</si>
  <si>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</si>
  <si>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</si>
  <si>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</si>
  <si>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</si>
  <si>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</si>
  <si>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</si>
  <si>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</si>
  <si>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</si>
  <si>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</si>
  <si>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</si>
  <si>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</si>
  <si>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</si>
  <si>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</si>
  <si>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</si>
  <si>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</si>
  <si>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</si>
  <si>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</si>
  <si>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</si>
  <si>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</si>
  <si>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</si>
  <si>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</si>
  <si>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</si>
  <si>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</si>
  <si>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</si>
  <si>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</si>
  <si>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</si>
  <si>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</si>
  <si>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</si>
  <si>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</si>
  <si>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</si>
  <si>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</si>
  <si>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</si>
  <si>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</si>
  <si>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</si>
  <si>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</si>
  <si>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</si>
  <si>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</si>
  <si>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</si>
  <si>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</si>
  <si>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</si>
  <si>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</si>
  <si>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</si>
  <si>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</si>
  <si>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</si>
  <si>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</si>
  <si>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</si>
  <si>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</si>
  <si>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</si>
  <si>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</si>
  <si>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</si>
  <si>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</si>
  <si>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</si>
  <si>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</si>
  <si>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</si>
  <si>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</si>
  <si>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</si>
  <si>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</si>
  <si>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</si>
  <si>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</si>
  <si>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</si>
  <si>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</si>
  <si>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</si>
  <si>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</si>
  <si>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</si>
  <si>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</si>
  <si>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</si>
  <si>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</si>
  <si>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</si>
  <si>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</si>
  <si>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</si>
  <si>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</si>
  <si>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</si>
  <si>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</si>
  <si>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</si>
  <si>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</si>
  <si>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</si>
  <si>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</si>
  <si>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</si>
  <si>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</si>
  <si>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</si>
  <si>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</si>
  <si>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</si>
  <si>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</si>
  <si>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</si>
  <si>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</si>
  <si>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</si>
  <si>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</si>
  <si>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</si>
  <si>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</si>
  <si>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</si>
  <si>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</si>
  <si>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</si>
  <si>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</si>
  <si>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</si>
  <si>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</si>
  <si>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</si>
  <si>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</si>
  <si>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</si>
  <si>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</si>
  <si>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</si>
  <si>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</si>
  <si>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</si>
  <si>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</si>
  <si>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</si>
  <si>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</si>
  <si>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</si>
  <si>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</si>
  <si>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</si>
  <si>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</si>
  <si>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</si>
  <si>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</si>
  <si>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</si>
  <si>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</si>
  <si>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</si>
  <si>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</si>
  <si>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</si>
  <si>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</si>
  <si>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</si>
  <si>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</si>
  <si>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</si>
  <si>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</si>
  <si>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</si>
  <si>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</si>
  <si>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</si>
  <si>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</si>
  <si>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</si>
  <si>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</si>
  <si>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</si>
  <si>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</si>
  <si>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</si>
  <si>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</si>
  <si>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</si>
  <si>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</si>
  <si>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</si>
  <si>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</si>
  <si>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</si>
  <si>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</si>
  <si>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</si>
  <si>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</si>
  <si>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</si>
  <si>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</si>
  <si>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</si>
  <si>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</si>
  <si>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</si>
  <si>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</si>
  <si>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</si>
  <si>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</si>
  <si>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</si>
  <si>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</si>
  <si>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</si>
  <si>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</si>
  <si>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</si>
  <si>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</si>
  <si>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</si>
  <si>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</si>
  <si>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</si>
  <si>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</si>
  <si>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</si>
  <si>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</si>
  <si>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</si>
  <si>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</si>
  <si>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</si>
  <si>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</si>
  <si>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</si>
  <si>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</si>
  <si>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</si>
  <si>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</si>
  <si>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</si>
  <si>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</si>
  <si>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</si>
  <si>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</si>
  <si>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</si>
  <si>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</si>
  <si>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</si>
  <si>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</si>
  <si>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</si>
  <si>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</si>
  <si>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</si>
  <si>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</si>
  <si>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</si>
  <si>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</si>
  <si>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</si>
  <si>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</si>
  <si>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</si>
  <si>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</si>
  <si>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</si>
  <si>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</si>
  <si>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</si>
  <si>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</si>
  <si>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</si>
  <si>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</si>
  <si>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</si>
  <si>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</si>
  <si>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</si>
  <si>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</si>
  <si>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</si>
  <si>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</si>
  <si>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</si>
  <si>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</si>
  <si>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</si>
  <si>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</si>
  <si>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</si>
  <si>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</si>
  <si>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</si>
  <si>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</si>
  <si>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</si>
  <si>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</si>
  <si>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</si>
  <si>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</si>
  <si>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</si>
  <si>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</si>
  <si>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</si>
  <si>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</si>
  <si>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</si>
  <si>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</si>
  <si>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</si>
  <si>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</si>
  <si>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</si>
  <si>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</si>
  <si>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</si>
  <si>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</si>
  <si>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</si>
  <si>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</si>
  <si>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</si>
  <si>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</si>
  <si>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</si>
  <si>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</si>
  <si>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</si>
  <si>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</si>
  <si>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</si>
  <si>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</si>
  <si>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</si>
  <si>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</si>
  <si>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</si>
  <si>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</si>
  <si>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</si>
  <si>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</si>
  <si>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</si>
  <si>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</si>
  <si>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</si>
  <si>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</si>
  <si>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</si>
  <si>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</si>
  <si>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</si>
  <si>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</si>
  <si>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</si>
  <si>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</si>
  <si>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</si>
  <si>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</si>
  <si>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</si>
  <si>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</si>
  <si>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</si>
  <si>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</si>
  <si>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</si>
  <si>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</si>
  <si>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</si>
  <si>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</si>
  <si>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</si>
  <si>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</si>
  <si>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</si>
  <si>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</si>
  <si>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</si>
  <si>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</si>
  <si>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</si>
  <si>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</si>
  <si>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</si>
  <si>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</si>
  <si>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</si>
  <si>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</si>
  <si>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</si>
  <si>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</si>
  <si>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</si>
  <si>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</si>
  <si>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</si>
  <si>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</si>
  <si>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</si>
  <si>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</si>
  <si>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</si>
  <si>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</si>
  <si>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</si>
  <si>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</si>
  <si>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</si>
  <si>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</si>
  <si>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</si>
  <si>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</si>
  <si>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</si>
  <si>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</si>
  <si>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</si>
  <si>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</si>
  <si>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</si>
  <si>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</si>
  <si>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</si>
  <si>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</si>
  <si>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</si>
  <si>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</si>
  <si>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</si>
  <si>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</si>
  <si>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</si>
  <si>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</si>
  <si>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</si>
  <si>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</si>
  <si>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</si>
  <si>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</si>
  <si>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</si>
  <si>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</si>
  <si>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</si>
  <si>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</si>
  <si>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</si>
  <si>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</si>
  <si>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</si>
  <si>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Leymone Hardcastle &amp; Co., Ltd.</t>
  </si>
  <si>
    <t>Sara E. Hanks</t>
  </si>
  <si>
    <t>200 West Main Street</t>
  </si>
  <si>
    <t>Salem</t>
  </si>
  <si>
    <t>IL</t>
  </si>
  <si>
    <t>618-548-1002</t>
  </si>
  <si>
    <t>618-548-1018</t>
  </si>
  <si>
    <t>066-005231</t>
  </si>
  <si>
    <t>sara@hardcastlecpa.com</t>
  </si>
  <si>
    <t>Marion - Jefferson</t>
  </si>
  <si>
    <t>3601 State Route 161</t>
  </si>
  <si>
    <t>Centralia</t>
  </si>
  <si>
    <t>618-532-7329</t>
  </si>
  <si>
    <t>618-532-7336</t>
  </si>
  <si>
    <t>Misty Johannes</t>
  </si>
  <si>
    <t>Bus Lease</t>
  </si>
  <si>
    <t>Bus lease</t>
  </si>
  <si>
    <t>2019 Bond Issue</t>
  </si>
  <si>
    <t>10-1690:  Food Service Rebates ($56)</t>
  </si>
  <si>
    <t>10-1999:  Health Insurance Payments ($2,295), Other Local Income ($17,817), Lean Program ($2,500)</t>
  </si>
  <si>
    <t>10-4998:  REAP Grant ($29,824)</t>
  </si>
  <si>
    <t>20-1999:  Other Income ($36,070)</t>
  </si>
  <si>
    <t>20-3999:  Healthy Comm. Inv. Grant ($9,000)</t>
  </si>
  <si>
    <t>40-1999:  Other Local Income ($4,489)</t>
  </si>
  <si>
    <t>10-2190 (100):  Club Sponsor Salaries ($1,728)</t>
  </si>
  <si>
    <t>10-2190 (200):  Club Sponsor Benefits ($81)</t>
  </si>
  <si>
    <t>10-2900 (400):  Other Support Services Supplies ($500)</t>
  </si>
  <si>
    <t>20-2900 (300):  Healthy Comm. Inv. Grant Supplies ($1,580)</t>
  </si>
  <si>
    <t>20-2900 (500):  Healthy Comm. Inv. Grant Capital Outlay ($1,594)</t>
  </si>
  <si>
    <t>50-2190 (200):  Other Services Benefits ($248)</t>
  </si>
  <si>
    <t>Schedule of Long-Term Debt - Any Differences: rounding ($1)</t>
  </si>
  <si>
    <t>Schedule of Restricted Local Tax Levies - Special Education - Other Receipts:  Orphanage Individ. ($19,308)</t>
  </si>
  <si>
    <t>Schedule of Restricted Local Tax Levies - Special Education - Other Disbursements:  Other ($23,582)</t>
  </si>
  <si>
    <t>Egyptian Employee Benefit Trust &amp; Teachers Coalition on Health</t>
  </si>
  <si>
    <t>Kaskaskia Special Education Coop</t>
  </si>
  <si>
    <t>ERROR on Long-Term Debt Schedule is due to the bus lease payment made from the Transportation Fund ($70,250)</t>
  </si>
  <si>
    <t>The District is responsible for the annual financial report including disclosures.</t>
  </si>
  <si>
    <t>The District relies on the audit firm to prepare these financial statements and disclosures.</t>
  </si>
  <si>
    <t>The audit firm prepares the financial statements and disclosures, then goes over them with the District's management and Board of Education.  The District does not maintain an accountant on staff to prepare the financial statements and disclosures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</si>
  <si>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</si>
  <si>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</si>
  <si>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cost/benefit, we do not recommend any changes at this time.  We will continue to work with the District to ensure that both management and the Board of Education have a thorough understanding of these financial statements and disclosures.</t>
  </si>
  <si>
    <t>Due to the cost/benefit of addressing this issue, no action is planned at this time.</t>
  </si>
  <si>
    <t>N/A</t>
  </si>
  <si>
    <t>Contracts Paid in Current Year is N/A</t>
  </si>
  <si>
    <t xml:space="preserve">  Raccoon Cons 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</si>
</sst>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7" fontId="57" fillId="0" borderId="0" xfId="0" applyNumberFormat="1"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457200</xdr:colOff>
          <xdr:row>5</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601807</xdr:colOff>
          <xdr:row>1</xdr:row>
          <xdr:rowOff>2598</xdr:rowOff>
        </xdr:from>
        <xdr:to>
          <xdr:col>5</xdr:col>
          <xdr:colOff>312593</xdr:colOff>
          <xdr:row>5</xdr:row>
          <xdr:rowOff>155864</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594880</xdr:colOff>
          <xdr:row>1</xdr:row>
          <xdr:rowOff>2598</xdr:rowOff>
        </xdr:from>
        <xdr:to>
          <xdr:col>7</xdr:col>
          <xdr:colOff>305666</xdr:colOff>
          <xdr:row>5</xdr:row>
          <xdr:rowOff>155864</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1" t="str">
        <f>"Due to ISBE on "</f>
        <v xml:space="preserve">Due to ISBE on </v>
      </c>
      <c r="B2" s="2121">
        <f>+'AFR20'!F4</f>
        <v>44151</v>
      </c>
      <c r="C2" s="2121"/>
      <c r="D2" s="2122"/>
      <c r="I2" s="2080" t="s">
        <v>2003</v>
      </c>
      <c r="J2" s="2079"/>
      <c r="K2" s="2079"/>
      <c r="L2" s="2079"/>
      <c r="M2" s="2079"/>
      <c r="N2" s="2079"/>
      <c r="O2" s="2079"/>
      <c r="P2" s="2079"/>
      <c r="Q2" s="2079"/>
      <c r="R2" s="2079"/>
      <c r="S2" s="2079"/>
    </row>
    <row r="3" spans="1:32" ht="12" customHeight="1" x14ac:dyDescent="0.2">
      <c r="A3" s="1834"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2051</v>
      </c>
      <c r="C5" s="26" t="s">
        <v>904</v>
      </c>
      <c r="D5" s="81"/>
      <c r="E5" s="81"/>
      <c r="H5" s="38"/>
      <c r="I5" s="2088" t="s">
        <v>675</v>
      </c>
      <c r="J5" s="2087"/>
      <c r="K5" s="2087"/>
      <c r="L5" s="2087"/>
      <c r="M5" s="2087"/>
      <c r="N5" s="2087"/>
      <c r="O5" s="2087"/>
      <c r="P5" s="2087"/>
      <c r="Q5" s="2087"/>
      <c r="R5" s="2087"/>
      <c r="S5" s="2087"/>
      <c r="AF5" s="1827"/>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t="s">
        <v>2051</v>
      </c>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9">
        <v>13058001003</v>
      </c>
      <c r="B13" s="2100"/>
      <c r="C13" s="2100"/>
      <c r="D13" s="2100"/>
      <c r="E13" s="2100"/>
      <c r="F13" s="2100"/>
      <c r="G13" s="2100"/>
      <c r="H13" s="2101"/>
      <c r="I13" s="31"/>
      <c r="J13" s="30"/>
      <c r="K13" s="28"/>
      <c r="L13" s="30"/>
      <c r="M13" s="30"/>
      <c r="N13" s="30"/>
      <c r="O13" s="30"/>
      <c r="P13" s="30"/>
      <c r="Q13" s="30"/>
      <c r="R13" s="30"/>
      <c r="S13" s="30"/>
      <c r="T13" s="2105" t="s">
        <v>2052</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2" t="s">
        <v>2061</v>
      </c>
      <c r="B15" s="2103"/>
      <c r="C15" s="2103"/>
      <c r="D15" s="2103"/>
      <c r="E15" s="2103"/>
      <c r="F15" s="2103"/>
      <c r="G15" s="2103"/>
      <c r="H15" s="2104"/>
      <c r="T15" s="2109" t="s">
        <v>2053</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2097</v>
      </c>
      <c r="B17" s="2073"/>
      <c r="C17" s="2073"/>
      <c r="D17" s="2073"/>
      <c r="E17" s="2073"/>
      <c r="F17" s="2073"/>
      <c r="G17" s="2073"/>
      <c r="H17" s="2098"/>
      <c r="T17" s="2116" t="s">
        <v>2054</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2062</v>
      </c>
      <c r="B19" s="2058"/>
      <c r="C19" s="2058"/>
      <c r="D19" s="2058"/>
      <c r="E19" s="2058"/>
      <c r="F19" s="2058"/>
      <c r="G19" s="2058"/>
      <c r="H19" s="2038"/>
      <c r="I19" s="30"/>
      <c r="J19" s="96"/>
      <c r="K19" s="40"/>
      <c r="L19" s="38"/>
      <c r="M19" s="109" t="s">
        <v>312</v>
      </c>
      <c r="P19" s="27"/>
      <c r="Q19" s="27"/>
      <c r="R19" s="27"/>
      <c r="S19" s="31"/>
      <c r="T19" s="2102" t="s">
        <v>2055</v>
      </c>
      <c r="U19" s="2037"/>
      <c r="V19" s="2037"/>
      <c r="W19" s="2038"/>
      <c r="X19" s="2114" t="s">
        <v>2056</v>
      </c>
      <c r="Y19" s="2115"/>
      <c r="Z19" s="2112">
        <v>62881</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2063</v>
      </c>
      <c r="B21" s="2037"/>
      <c r="C21" s="2037"/>
      <c r="D21" s="2037"/>
      <c r="E21" s="2037"/>
      <c r="F21" s="2037"/>
      <c r="G21" s="2037"/>
      <c r="H21" s="2038"/>
      <c r="I21" s="2092" t="s">
        <v>673</v>
      </c>
      <c r="J21" s="2087"/>
      <c r="K21" s="2087"/>
      <c r="L21" s="2087"/>
      <c r="M21" s="2087"/>
      <c r="N21" s="2087"/>
      <c r="O21" s="2087"/>
      <c r="P21" s="2087"/>
      <c r="Q21" s="2087"/>
      <c r="R21" s="2087"/>
      <c r="S21" s="2093"/>
      <c r="T21" s="2127" t="s">
        <v>2057</v>
      </c>
      <c r="U21" s="2128"/>
      <c r="V21" s="2128"/>
      <c r="W21" s="2128"/>
      <c r="X21" s="2133" t="s">
        <v>2058</v>
      </c>
      <c r="Y21" s="2134"/>
      <c r="Z21" s="2134"/>
      <c r="AA21" s="2135"/>
    </row>
    <row r="22" spans="1:27" ht="13.5" customHeight="1" x14ac:dyDescent="0.2">
      <c r="A22" s="84" t="s">
        <v>528</v>
      </c>
      <c r="B22" s="56"/>
      <c r="C22" s="56"/>
      <c r="D22" s="56"/>
      <c r="E22" s="56"/>
      <c r="F22" s="56"/>
      <c r="G22" s="56"/>
      <c r="H22" s="57"/>
      <c r="I22" s="2094" t="s">
        <v>1412</v>
      </c>
      <c r="J22" s="2095"/>
      <c r="K22" s="2095"/>
      <c r="L22" s="2095"/>
      <c r="M22" s="2095"/>
      <c r="N22" s="2095"/>
      <c r="O22" s="2095"/>
      <c r="P22" s="2095"/>
      <c r="Q22" s="2095"/>
      <c r="R22" s="2095"/>
      <c r="S22" s="2096"/>
      <c r="T22" s="82" t="s">
        <v>1499</v>
      </c>
      <c r="U22" s="48"/>
      <c r="V22" s="69"/>
      <c r="W22" s="48"/>
      <c r="X22" s="155" t="s">
        <v>1307</v>
      </c>
      <c r="Z22" s="43"/>
      <c r="AA22" s="44"/>
    </row>
    <row r="23" spans="1:27" ht="13.5" customHeight="1" x14ac:dyDescent="0.2">
      <c r="A23" s="2089"/>
      <c r="B23" s="2090"/>
      <c r="C23" s="2090"/>
      <c r="D23" s="2090"/>
      <c r="E23" s="2090"/>
      <c r="F23" s="2090"/>
      <c r="G23" s="2090"/>
      <c r="H23" s="2091"/>
      <c r="T23" s="2072" t="s">
        <v>2059</v>
      </c>
      <c r="U23" s="2126"/>
      <c r="V23" s="2126"/>
      <c r="W23" s="2126"/>
      <c r="X23" s="2130">
        <v>44530</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v>62801</v>
      </c>
      <c r="B25" s="2037"/>
      <c r="C25" s="2037"/>
      <c r="D25" s="2037"/>
      <c r="E25" s="2037"/>
      <c r="F25" s="2037"/>
      <c r="G25" s="2037"/>
      <c r="H25" s="2038"/>
      <c r="I25" s="110"/>
      <c r="J25" s="2061"/>
      <c r="K25" s="2061"/>
      <c r="L25" s="2061"/>
      <c r="M25" s="2061"/>
      <c r="N25" s="2061"/>
      <c r="O25" s="2061"/>
      <c r="P25" s="2061"/>
      <c r="Q25" s="2061"/>
      <c r="R25" s="2061"/>
      <c r="S25" s="2062"/>
      <c r="T25" s="2123" t="s">
        <v>2060</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7" t="s">
        <v>1494</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t="s">
        <v>2066</v>
      </c>
      <c r="B38" s="2073"/>
      <c r="C38" s="2073"/>
      <c r="D38" s="2073"/>
      <c r="E38" s="2073"/>
      <c r="F38" s="2037"/>
      <c r="G38" s="2037"/>
      <c r="H38" s="2038"/>
      <c r="I38" s="2065"/>
      <c r="J38" s="2066"/>
      <c r="K38" s="2066"/>
      <c r="L38" s="2066"/>
      <c r="M38" s="2066"/>
      <c r="N38" s="2066"/>
      <c r="O38" s="2066"/>
      <c r="P38" s="2067"/>
      <c r="Q38" s="2067"/>
      <c r="R38" s="2067"/>
      <c r="S38" s="2068"/>
      <c r="T38" s="2109"/>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c r="B40" s="2051"/>
      <c r="C40" s="2052"/>
      <c r="D40" s="2052"/>
      <c r="E40" s="2052"/>
      <c r="F40" s="2053"/>
      <c r="G40" s="2053"/>
      <c r="H40" s="2054"/>
      <c r="I40" s="2075"/>
      <c r="J40" s="2076"/>
      <c r="K40" s="2076"/>
      <c r="L40" s="2076"/>
      <c r="M40" s="2076"/>
      <c r="N40" s="2076"/>
      <c r="O40" s="2076"/>
      <c r="P40" s="2076"/>
      <c r="Q40" s="2076"/>
      <c r="R40" s="2076"/>
      <c r="S40" s="2077"/>
      <c r="T40" s="2075"/>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2064</v>
      </c>
      <c r="B42" s="2056"/>
      <c r="C42" s="2057"/>
      <c r="D42" s="2055" t="s">
        <v>2065</v>
      </c>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7" right="0.2" top="0.75" bottom="0.68" header="0.19" footer="0.28999999999999998"/>
  <pageSetup scale="72" firstPageNumber="62" orientation="landscape" useFirstPageNumber="1" r:id="rId3"/>
  <headerFooter alignWithMargins="0">
    <oddFooter>&amp;C&amp;14- &amp;P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4" colorId="8" zoomScale="110" zoomScaleNormal="110" workbookViewId="0">
      <selection activeCell="E14" sqref="E1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1145</v>
      </c>
      <c r="B4" s="1721">
        <f>'Revenues 9-14'!C5</f>
        <v>412361</v>
      </c>
      <c r="C4" s="1722"/>
      <c r="D4" s="1723">
        <f>B4-C4</f>
        <v>412361</v>
      </c>
      <c r="E4" s="1722">
        <v>415101</v>
      </c>
      <c r="F4" s="1723">
        <f>E4-C4</f>
        <v>415101</v>
      </c>
    </row>
    <row r="5" spans="1:8" ht="13.7" customHeight="1" x14ac:dyDescent="0.2">
      <c r="A5" s="579" t="s">
        <v>865</v>
      </c>
      <c r="B5" s="1724">
        <f>'Revenues 9-14'!D5</f>
        <v>85882</v>
      </c>
      <c r="C5" s="1664"/>
      <c r="D5" s="1725">
        <f t="shared" ref="D5:D18" si="0">B5-C5</f>
        <v>85882</v>
      </c>
      <c r="E5" s="1664">
        <v>117000</v>
      </c>
      <c r="F5" s="1725">
        <f>E5-C5</f>
        <v>117000</v>
      </c>
    </row>
    <row r="6" spans="1:8" ht="13.7" customHeight="1" x14ac:dyDescent="0.2">
      <c r="A6" s="579" t="s">
        <v>408</v>
      </c>
      <c r="B6" s="1724">
        <f>'Revenues 9-14'!E5</f>
        <v>53575</v>
      </c>
      <c r="C6" s="1664"/>
      <c r="D6" s="1725">
        <f t="shared" si="0"/>
        <v>53575</v>
      </c>
      <c r="E6" s="1664">
        <v>54306</v>
      </c>
      <c r="F6" s="1725">
        <f t="shared" ref="F6:F18" si="1">E6-C6</f>
        <v>54306</v>
      </c>
    </row>
    <row r="7" spans="1:8" ht="13.7" customHeight="1" x14ac:dyDescent="0.2">
      <c r="A7" s="579" t="s">
        <v>154</v>
      </c>
      <c r="B7" s="1724">
        <f>'Revenues 9-14'!F5</f>
        <v>59253</v>
      </c>
      <c r="C7" s="1664"/>
      <c r="D7" s="1725">
        <f t="shared" si="0"/>
        <v>59253</v>
      </c>
      <c r="E7" s="1664">
        <v>60027</v>
      </c>
      <c r="F7" s="1725">
        <f t="shared" si="1"/>
        <v>60027</v>
      </c>
    </row>
    <row r="8" spans="1:8" ht="13.7" customHeight="1" x14ac:dyDescent="0.2">
      <c r="A8" s="579" t="s">
        <v>1169</v>
      </c>
      <c r="B8" s="1724">
        <f>'Revenues 9-14'!G5</f>
        <v>39028</v>
      </c>
      <c r="C8" s="1664"/>
      <c r="D8" s="1725">
        <f t="shared" si="0"/>
        <v>39028</v>
      </c>
      <c r="E8" s="1664">
        <v>29541</v>
      </c>
      <c r="F8" s="1725">
        <f t="shared" si="1"/>
        <v>29541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10254</v>
      </c>
      <c r="C10" s="1664"/>
      <c r="D10" s="1725">
        <f t="shared" si="0"/>
        <v>10254</v>
      </c>
      <c r="E10" s="1664">
        <v>10388</v>
      </c>
      <c r="F10" s="1725">
        <f t="shared" si="1"/>
        <v>10388</v>
      </c>
    </row>
    <row r="11" spans="1:8" x14ac:dyDescent="0.2">
      <c r="A11" s="579" t="s">
        <v>406</v>
      </c>
      <c r="B11" s="1724">
        <f>'Revenues 9-14'!J5</f>
        <v>60903</v>
      </c>
      <c r="C11" s="1664"/>
      <c r="D11" s="1725">
        <f t="shared" si="0"/>
        <v>60903</v>
      </c>
      <c r="E11" s="1664">
        <v>51704</v>
      </c>
      <c r="F11" s="1725">
        <f t="shared" si="1"/>
        <v>51704</v>
      </c>
    </row>
    <row r="12" spans="1:8" ht="13.7" customHeight="1" x14ac:dyDescent="0.2">
      <c r="A12" s="579" t="s">
        <v>156</v>
      </c>
      <c r="B12" s="1724">
        <f>'Revenues 9-14'!K5</f>
        <v>10254</v>
      </c>
      <c r="C12" s="1664"/>
      <c r="D12" s="1725">
        <f t="shared" si="0"/>
        <v>10254</v>
      </c>
      <c r="E12" s="1664">
        <v>10388</v>
      </c>
      <c r="F12" s="1725">
        <f t="shared" si="1"/>
        <v>10388</v>
      </c>
    </row>
    <row r="13" spans="1:8" ht="13.7" customHeight="1" x14ac:dyDescent="0.2">
      <c r="A13" s="579" t="s">
        <v>930</v>
      </c>
      <c r="B13" s="1724">
        <f>SUM('Revenues 9-14'!C6:D6)</f>
        <v>10254</v>
      </c>
      <c r="C13" s="1664"/>
      <c r="D13" s="1725">
        <f t="shared" si="0"/>
        <v>10254</v>
      </c>
      <c r="E13" s="1664">
        <v>10388</v>
      </c>
      <c r="F13" s="1725">
        <f t="shared" si="1"/>
        <v>10388</v>
      </c>
    </row>
    <row r="14" spans="1:8" ht="13.7" customHeight="1" x14ac:dyDescent="0.2">
      <c r="A14" s="579" t="s">
        <v>407</v>
      </c>
      <c r="B14" s="1724">
        <f>SUM('Revenues 9-14'!C7:D7,'Revenues 9-14'!F7:H7)</f>
        <v>4216</v>
      </c>
      <c r="C14" s="1664"/>
      <c r="D14" s="1725">
        <f t="shared" si="0"/>
        <v>4216</v>
      </c>
      <c r="E14" s="1664">
        <v>4273</v>
      </c>
      <c r="F14" s="1725">
        <f t="shared" si="1"/>
        <v>4273</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52410</v>
      </c>
      <c r="C16" s="1664"/>
      <c r="D16" s="1725">
        <f t="shared" si="0"/>
        <v>52410</v>
      </c>
      <c r="E16" s="1664">
        <v>43097</v>
      </c>
      <c r="F16" s="1725">
        <f t="shared" si="1"/>
        <v>43097</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798390</v>
      </c>
      <c r="C19" s="1726">
        <f>SUM(C4:C18)</f>
        <v>0</v>
      </c>
      <c r="D19" s="1726">
        <f>SUM(D4:D18)</f>
        <v>798390</v>
      </c>
      <c r="E19" s="1726">
        <f>SUM(E4:E18)</f>
        <v>806213</v>
      </c>
      <c r="F19" s="1726">
        <f>SUM(F4:F18)</f>
        <v>806213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gridLinesSet="0"/>
  <pageMargins left="0.46" right="0.15" top="1.47" bottom="0.65" header="0.84" footer="0.28999999999999998"/>
  <pageSetup firstPageNumber="45" orientation="landscape" useFirstPageNumber="1" r:id="rId1"/>
  <headerFooter alignWithMargins="0">
    <oddHeader xml:space="preserve">&amp;CRaccoon Consolidated School District 1 </oddHeader>
    <oddFooter>&amp;C&amp;11-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2" colorId="8" zoomScale="110" zoomScaleNormal="110" workbookViewId="0">
      <selection activeCell="G32" sqref="G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625</v>
      </c>
      <c r="B1" s="2307"/>
      <c r="C1" s="585"/>
    </row>
    <row r="2" spans="1:7" ht="33.75" x14ac:dyDescent="0.2">
      <c r="A2" s="2314" t="s">
        <v>1779</v>
      </c>
      <c r="B2" s="231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6" t="s">
        <v>1104</v>
      </c>
      <c r="B3" s="2317"/>
      <c r="C3" s="2310"/>
      <c r="D3" s="2311"/>
      <c r="E3" s="2311"/>
      <c r="F3" s="2312"/>
    </row>
    <row r="4" spans="1:7" ht="12.75" customHeight="1" thickBot="1" x14ac:dyDescent="0.25">
      <c r="A4" s="2304" t="s">
        <v>626</v>
      </c>
      <c r="B4" s="2305"/>
      <c r="C4" s="1656"/>
      <c r="D4" s="1656"/>
      <c r="E4" s="1656"/>
      <c r="F4" s="1732">
        <f>SUM(C4+D4)-E4</f>
        <v>0</v>
      </c>
    </row>
    <row r="5" spans="1:7" ht="15.75" customHeight="1" thickTop="1" x14ac:dyDescent="0.2">
      <c r="A5" s="2308" t="s">
        <v>1101</v>
      </c>
      <c r="B5" s="2303"/>
      <c r="C5" s="2297"/>
      <c r="D5" s="2298"/>
      <c r="E5" s="2298"/>
      <c r="F5" s="229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0" t="s">
        <v>627</v>
      </c>
      <c r="B15" s="2301"/>
      <c r="C15" s="1732">
        <f>SUM(C6:C14)</f>
        <v>0</v>
      </c>
      <c r="D15" s="1732">
        <f>SUM(D6:D14)</f>
        <v>0</v>
      </c>
      <c r="E15" s="1732">
        <f>SUM(E6:E14)</f>
        <v>0</v>
      </c>
      <c r="F15" s="1732">
        <f>SUM(F6:F14)</f>
        <v>0</v>
      </c>
      <c r="G15" s="473"/>
    </row>
    <row r="16" spans="1:7" s="197" customFormat="1" ht="15.75" customHeight="1" thickTop="1" x14ac:dyDescent="0.2">
      <c r="A16" s="2313" t="s">
        <v>1102</v>
      </c>
      <c r="B16" s="2303"/>
      <c r="C16" s="2297"/>
      <c r="D16" s="2298"/>
      <c r="E16" s="2298"/>
      <c r="F16" s="2299"/>
    </row>
    <row r="17" spans="1:11" ht="12.75" customHeight="1" thickBot="1" x14ac:dyDescent="0.25">
      <c r="A17" s="2295" t="s">
        <v>64</v>
      </c>
      <c r="B17" s="2296"/>
      <c r="C17" s="1733"/>
      <c r="D17" s="1664"/>
      <c r="E17" s="1733"/>
      <c r="F17" s="1732">
        <f>SUM(C17+D17)-E17</f>
        <v>0</v>
      </c>
    </row>
    <row r="18" spans="1:11" ht="12.75" customHeight="1" thickTop="1" thickBot="1" x14ac:dyDescent="0.25">
      <c r="A18" s="2295" t="s">
        <v>6</v>
      </c>
      <c r="B18" s="2296"/>
      <c r="C18" s="1733"/>
      <c r="D18" s="1664"/>
      <c r="E18" s="1733"/>
      <c r="F18" s="1732">
        <f>SUM(C18+D18)-E18</f>
        <v>0</v>
      </c>
    </row>
    <row r="19" spans="1:11" ht="12.75" customHeight="1" thickTop="1" thickBot="1" x14ac:dyDescent="0.25">
      <c r="A19" s="2295" t="s">
        <v>385</v>
      </c>
      <c r="B19" s="2296"/>
      <c r="C19" s="1733"/>
      <c r="D19" s="1664"/>
      <c r="E19" s="1733"/>
      <c r="F19" s="1732">
        <f>SUM(C19+D19)-E19</f>
        <v>0</v>
      </c>
    </row>
    <row r="20" spans="1:11" ht="12.75" customHeight="1" thickTop="1" thickBot="1" x14ac:dyDescent="0.25">
      <c r="A20" s="2295" t="s">
        <v>445</v>
      </c>
      <c r="B20" s="2296"/>
      <c r="C20" s="1733"/>
      <c r="D20" s="1664"/>
      <c r="E20" s="1733"/>
      <c r="F20" s="1732">
        <f>SUM(C20+D20)-E20</f>
        <v>0</v>
      </c>
    </row>
    <row r="21" spans="1:11" ht="14.25" thickTop="1" thickBot="1" x14ac:dyDescent="0.25">
      <c r="A21" s="2300" t="s">
        <v>628</v>
      </c>
      <c r="B21" s="2301"/>
      <c r="C21" s="1732">
        <f>SUM(C17:C20)</f>
        <v>0</v>
      </c>
      <c r="D21" s="1732">
        <f>SUM(D17:D20)</f>
        <v>0</v>
      </c>
      <c r="E21" s="1732">
        <f>SUM(E17:E20)</f>
        <v>0</v>
      </c>
      <c r="F21" s="1732">
        <f>SUM(F17:F20)</f>
        <v>0</v>
      </c>
      <c r="G21" s="473"/>
    </row>
    <row r="22" spans="1:11" ht="15.75" customHeight="1" thickTop="1" x14ac:dyDescent="0.2">
      <c r="A22" s="2302" t="s">
        <v>1103</v>
      </c>
      <c r="B22" s="2303"/>
      <c r="C22" s="2297"/>
      <c r="D22" s="2298"/>
      <c r="E22" s="2298"/>
      <c r="F22" s="2299"/>
    </row>
    <row r="23" spans="1:11" ht="13.5" thickBot="1" x14ac:dyDescent="0.25">
      <c r="A23" s="2304" t="s">
        <v>629</v>
      </c>
      <c r="B23" s="2305"/>
      <c r="C23" s="1656"/>
      <c r="D23" s="1656"/>
      <c r="E23" s="1656"/>
      <c r="F23" s="1732">
        <f>SUM(C23+D23)-E23</f>
        <v>0</v>
      </c>
      <c r="G23" s="473"/>
    </row>
    <row r="24" spans="1:11" ht="15.75" customHeight="1" thickTop="1" x14ac:dyDescent="0.2">
      <c r="A24" s="2302" t="s">
        <v>2006</v>
      </c>
      <c r="B24" s="2303"/>
      <c r="C24" s="2297"/>
      <c r="D24" s="2298"/>
      <c r="E24" s="2298"/>
      <c r="F24" s="2299"/>
    </row>
    <row r="25" spans="1:11" ht="13.5" thickBot="1" x14ac:dyDescent="0.25">
      <c r="A25" s="2304" t="s">
        <v>2007</v>
      </c>
      <c r="B25" s="2305"/>
      <c r="C25" s="1656"/>
      <c r="D25" s="1656"/>
      <c r="E25" s="1656"/>
      <c r="F25" s="1732">
        <f>SUM(C25+D25)-E25</f>
        <v>0</v>
      </c>
      <c r="G25" s="473"/>
    </row>
    <row r="26" spans="1:11" ht="15.75" customHeight="1" thickTop="1" x14ac:dyDescent="0.2">
      <c r="A26" s="2308" t="s">
        <v>652</v>
      </c>
      <c r="B26" s="2303"/>
      <c r="C26" s="589"/>
      <c r="D26" s="589"/>
      <c r="E26" s="589"/>
      <c r="F26" s="590"/>
    </row>
    <row r="27" spans="1:11" ht="13.5" thickBot="1" x14ac:dyDescent="0.25">
      <c r="A27" s="2300" t="s">
        <v>1061</v>
      </c>
      <c r="B27" s="2301"/>
      <c r="C27" s="1664"/>
      <c r="D27" s="1664"/>
      <c r="E27" s="1664"/>
      <c r="F27" s="1732">
        <f>SUM(C27+D27)-E27</f>
        <v>0</v>
      </c>
      <c r="G27" s="473"/>
    </row>
    <row r="28" spans="1:11" ht="7.5" customHeight="1" thickTop="1" x14ac:dyDescent="0.2">
      <c r="A28" s="489"/>
    </row>
    <row r="29" spans="1:11" ht="23.25" customHeight="1" x14ac:dyDescent="0.2">
      <c r="A29" s="2306" t="s">
        <v>578</v>
      </c>
      <c r="B29" s="230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42186</v>
      </c>
      <c r="C31" s="1734">
        <v>339350</v>
      </c>
      <c r="D31" s="1735">
        <v>7</v>
      </c>
      <c r="E31" s="1734">
        <v>70251</v>
      </c>
      <c r="F31" s="1734"/>
      <c r="G31" s="1734">
        <v>-1</v>
      </c>
      <c r="H31" s="1734">
        <v>70250</v>
      </c>
      <c r="I31" s="1736">
        <f>((E31+F31)-H31)+G31</f>
        <v>0</v>
      </c>
      <c r="J31" s="1734"/>
      <c r="K31" s="596"/>
    </row>
    <row r="32" spans="1:11" ht="12" customHeight="1" x14ac:dyDescent="0.2">
      <c r="A32" s="594" t="s">
        <v>2069</v>
      </c>
      <c r="B32" s="595">
        <v>43537</v>
      </c>
      <c r="C32" s="1734">
        <v>253100</v>
      </c>
      <c r="D32" s="1735">
        <v>1</v>
      </c>
      <c r="E32" s="1734">
        <v>253100</v>
      </c>
      <c r="F32" s="1734"/>
      <c r="G32" s="1734"/>
      <c r="H32" s="1734">
        <v>47300</v>
      </c>
      <c r="I32" s="1736">
        <f>((E32+F32)-H32)+G32</f>
        <v>205800</v>
      </c>
      <c r="J32" s="1734">
        <v>205799</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592450</v>
      </c>
      <c r="D49" s="1742"/>
      <c r="E49" s="1736">
        <f t="shared" ref="E49:J49" si="2">SUM(E31:E48)</f>
        <v>323351</v>
      </c>
      <c r="F49" s="1736">
        <f t="shared" si="2"/>
        <v>0</v>
      </c>
      <c r="G49" s="1736">
        <f t="shared" si="2"/>
        <v>-1</v>
      </c>
      <c r="H49" s="1736">
        <f t="shared" si="2"/>
        <v>117550</v>
      </c>
      <c r="I49" s="1736">
        <f t="shared" si="2"/>
        <v>205800</v>
      </c>
      <c r="J49" s="1736">
        <f t="shared" si="2"/>
        <v>205799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t="s">
        <v>2068</v>
      </c>
      <c r="G52" s="2292"/>
      <c r="H52" s="596"/>
      <c r="I52" s="596"/>
      <c r="J52" s="600"/>
    </row>
    <row r="53" spans="1:11" ht="11.25" customHeight="1" x14ac:dyDescent="0.2">
      <c r="A53" s="604" t="s">
        <v>907</v>
      </c>
      <c r="B53" s="605" t="s">
        <v>945</v>
      </c>
      <c r="C53" s="600"/>
      <c r="D53" s="597"/>
      <c r="E53" s="603" t="s">
        <v>494</v>
      </c>
      <c r="F53" s="2293"/>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36" right="0.15" top="0.62" bottom="0.39" header="0.3" footer="0.2"/>
  <pageSetup scale="73" firstPageNumber="46" fitToHeight="0" orientation="landscape" useFirstPageNumber="1" r:id="rId1"/>
  <headerFooter alignWithMargins="0">
    <oddHeader xml:space="preserve">&amp;CRaccoon Consolidated School District 1 </oddHeader>
    <oddFooter>&amp;C&amp;14-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4" colorId="8" zoomScale="110" zoomScaleNormal="110" workbookViewId="0">
      <selection activeCell="H23" sqref="H2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851</v>
      </c>
      <c r="B1" s="2319"/>
      <c r="C1" s="2319"/>
      <c r="D1" s="2319"/>
      <c r="E1" s="2319"/>
      <c r="F1" s="2319"/>
      <c r="G1" s="2320"/>
      <c r="H1" s="1298"/>
      <c r="I1" s="614"/>
      <c r="J1" s="400"/>
    </row>
    <row r="2" spans="1:11" ht="26.25" x14ac:dyDescent="0.2">
      <c r="A2" s="2337" t="s">
        <v>1658</v>
      </c>
      <c r="B2" s="2338"/>
      <c r="C2" s="2338"/>
      <c r="D2" s="2338"/>
      <c r="E2" s="2339"/>
      <c r="F2" s="615" t="s">
        <v>898</v>
      </c>
      <c r="G2" s="616" t="s">
        <v>1655</v>
      </c>
      <c r="H2" s="616" t="s">
        <v>407</v>
      </c>
      <c r="I2" s="616" t="s">
        <v>1148</v>
      </c>
      <c r="J2" s="616" t="s">
        <v>1789</v>
      </c>
      <c r="K2" s="616" t="s">
        <v>137</v>
      </c>
    </row>
    <row r="3" spans="1:11" x14ac:dyDescent="0.2">
      <c r="A3" s="2340" t="str">
        <f>"Cash Basis Fund Balance as of July 1, "&amp;'AFR20'!E2-1</f>
        <v>Cash Basis Fund Balance as of July 1, 2019</v>
      </c>
      <c r="B3" s="2341"/>
      <c r="C3" s="2341"/>
      <c r="D3" s="2341"/>
      <c r="E3" s="2342"/>
      <c r="F3" s="617"/>
      <c r="G3" s="1744"/>
      <c r="H3" s="1744"/>
      <c r="I3" s="1744"/>
      <c r="J3" s="1745"/>
      <c r="K3" s="1745"/>
    </row>
    <row r="4" spans="1:11" x14ac:dyDescent="0.2">
      <c r="A4" s="2343" t="s">
        <v>366</v>
      </c>
      <c r="B4" s="2344"/>
      <c r="C4" s="2344"/>
      <c r="D4" s="2344"/>
      <c r="E4" s="2290"/>
      <c r="F4" s="620"/>
      <c r="G4" s="1746"/>
      <c r="H4" s="1747"/>
      <c r="I4" s="1746"/>
      <c r="J4" s="1748"/>
      <c r="K4" s="1748"/>
    </row>
    <row r="5" spans="1:11" x14ac:dyDescent="0.2">
      <c r="A5" s="2321" t="s">
        <v>1060</v>
      </c>
      <c r="B5" s="2322"/>
      <c r="C5" s="2322"/>
      <c r="D5" s="2322"/>
      <c r="E5" s="2323"/>
      <c r="F5" s="622" t="s">
        <v>843</v>
      </c>
      <c r="G5" s="1749"/>
      <c r="H5" s="1744">
        <v>4216</v>
      </c>
      <c r="I5" s="1750"/>
      <c r="J5" s="1751"/>
      <c r="K5" s="1751"/>
    </row>
    <row r="6" spans="1:11" x14ac:dyDescent="0.2">
      <c r="A6" s="625" t="s">
        <v>715</v>
      </c>
      <c r="B6" s="626"/>
      <c r="C6" s="626"/>
      <c r="D6" s="626"/>
      <c r="E6" s="627"/>
      <c r="F6" s="628" t="s">
        <v>844</v>
      </c>
      <c r="G6" s="1744"/>
      <c r="H6" s="1744">
        <v>58</v>
      </c>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1" t="s">
        <v>1790</v>
      </c>
      <c r="B10" s="2322"/>
      <c r="C10" s="2322"/>
      <c r="D10" s="2322"/>
      <c r="E10" s="2324"/>
      <c r="F10" s="633" t="s">
        <v>857</v>
      </c>
      <c r="G10" s="1753"/>
      <c r="H10" s="1754">
        <v>19308</v>
      </c>
      <c r="I10" s="1744"/>
      <c r="J10" s="1745"/>
      <c r="K10" s="1745"/>
    </row>
    <row r="11" spans="1:11" x14ac:dyDescent="0.2">
      <c r="A11" s="2321" t="s">
        <v>159</v>
      </c>
      <c r="B11" s="2322"/>
      <c r="C11" s="2322"/>
      <c r="D11" s="2322"/>
      <c r="E11" s="2323"/>
      <c r="F11" s="622" t="s">
        <v>847</v>
      </c>
      <c r="G11" s="1749"/>
      <c r="H11" s="1744"/>
      <c r="I11" s="1744"/>
      <c r="J11" s="1745"/>
      <c r="K11" s="1751"/>
    </row>
    <row r="12" spans="1:11" ht="13.5" thickBot="1" x14ac:dyDescent="0.25">
      <c r="A12" s="2348" t="s">
        <v>899</v>
      </c>
      <c r="B12" s="2349"/>
      <c r="C12" s="2349"/>
      <c r="D12" s="2349"/>
      <c r="E12" s="2350"/>
      <c r="F12" s="1433"/>
      <c r="G12" s="1755">
        <f>SUM(G5:G11)</f>
        <v>0</v>
      </c>
      <c r="H12" s="1755">
        <f>SUM(H5:H11)</f>
        <v>23582</v>
      </c>
      <c r="I12" s="1755">
        <f>SUM(I5:I11)</f>
        <v>0</v>
      </c>
      <c r="J12" s="1755">
        <f>SUM(J5:J11)</f>
        <v>0</v>
      </c>
      <c r="K12" s="1755">
        <f>SUM(K5:K11)</f>
        <v>0</v>
      </c>
    </row>
    <row r="13" spans="1:11" ht="13.5" thickTop="1" x14ac:dyDescent="0.2">
      <c r="A13" s="2345" t="s">
        <v>367</v>
      </c>
      <c r="B13" s="2346"/>
      <c r="C13" s="2346"/>
      <c r="D13" s="2346"/>
      <c r="E13" s="2347"/>
      <c r="F13" s="634"/>
      <c r="G13" s="1756"/>
      <c r="H13" s="1757"/>
      <c r="I13" s="1758"/>
      <c r="J13" s="1758"/>
      <c r="K13" s="1758"/>
    </row>
    <row r="14" spans="1:11" x14ac:dyDescent="0.2">
      <c r="A14" s="2328" t="s">
        <v>453</v>
      </c>
      <c r="B14" s="2328"/>
      <c r="C14" s="2328"/>
      <c r="D14" s="2328"/>
      <c r="E14" s="2329"/>
      <c r="F14" s="635" t="s">
        <v>849</v>
      </c>
      <c r="G14" s="1753"/>
      <c r="H14" s="1744"/>
      <c r="I14" s="1749"/>
      <c r="J14" s="1751"/>
      <c r="K14" s="1745"/>
    </row>
    <row r="15" spans="1:11" x14ac:dyDescent="0.2">
      <c r="A15" s="2322" t="s">
        <v>4</v>
      </c>
      <c r="B15" s="2322"/>
      <c r="C15" s="2322"/>
      <c r="D15" s="2322"/>
      <c r="E15" s="2323"/>
      <c r="F15" s="635" t="s">
        <v>850</v>
      </c>
      <c r="G15" s="1749"/>
      <c r="H15" s="1744"/>
      <c r="I15" s="1744"/>
      <c r="J15" s="1745"/>
      <c r="K15" s="1745"/>
    </row>
    <row r="16" spans="1:11" x14ac:dyDescent="0.2">
      <c r="A16" s="2322" t="s">
        <v>295</v>
      </c>
      <c r="B16" s="2322"/>
      <c r="C16" s="2322"/>
      <c r="D16" s="2322"/>
      <c r="E16" s="2323"/>
      <c r="F16" s="635" t="s">
        <v>917</v>
      </c>
      <c r="G16" s="1750"/>
      <c r="H16" s="1746"/>
      <c r="I16" s="1746"/>
      <c r="J16" s="1748"/>
      <c r="K16" s="1748"/>
    </row>
    <row r="17" spans="1:15" x14ac:dyDescent="0.2">
      <c r="A17" s="2355" t="s">
        <v>929</v>
      </c>
      <c r="B17" s="2355"/>
      <c r="C17" s="2355"/>
      <c r="D17" s="2355"/>
      <c r="E17" s="2356"/>
      <c r="F17" s="636"/>
      <c r="G17" s="1759"/>
      <c r="H17" s="1760"/>
      <c r="I17" s="1760"/>
      <c r="J17" s="1761"/>
      <c r="K17" s="1762"/>
    </row>
    <row r="18" spans="1:15" x14ac:dyDescent="0.2">
      <c r="A18" s="2332" t="s">
        <v>365</v>
      </c>
      <c r="B18" s="2333"/>
      <c r="C18" s="2333"/>
      <c r="D18" s="2333"/>
      <c r="E18" s="2334"/>
      <c r="F18" s="635" t="s">
        <v>926</v>
      </c>
      <c r="G18" s="1753"/>
      <c r="H18" s="1753"/>
      <c r="I18" s="1753"/>
      <c r="J18" s="1745"/>
      <c r="K18" s="1763"/>
    </row>
    <row r="19" spans="1:15" ht="21.75" customHeight="1" x14ac:dyDescent="0.2">
      <c r="A19" s="2330" t="s">
        <v>1786</v>
      </c>
      <c r="B19" s="2330"/>
      <c r="C19" s="2330"/>
      <c r="D19" s="2330"/>
      <c r="E19" s="2331"/>
      <c r="F19" s="635" t="s">
        <v>927</v>
      </c>
      <c r="G19" s="1753"/>
      <c r="H19" s="1753"/>
      <c r="I19" s="1753"/>
      <c r="J19" s="1745"/>
      <c r="K19" s="1763"/>
    </row>
    <row r="20" spans="1:15" x14ac:dyDescent="0.2">
      <c r="A20" s="2332" t="s">
        <v>1791</v>
      </c>
      <c r="B20" s="2333"/>
      <c r="C20" s="2333"/>
      <c r="D20" s="2333"/>
      <c r="E20" s="2334"/>
      <c r="F20" s="635" t="s">
        <v>928</v>
      </c>
      <c r="G20" s="1753"/>
      <c r="H20" s="1753"/>
      <c r="I20" s="1753"/>
      <c r="J20" s="1745"/>
      <c r="K20" s="1763"/>
    </row>
    <row r="21" spans="1:15" ht="13.5" thickBot="1" x14ac:dyDescent="0.25">
      <c r="A21" s="2351" t="s">
        <v>633</v>
      </c>
      <c r="B21" s="2351"/>
      <c r="C21" s="2351"/>
      <c r="D21" s="2351"/>
      <c r="E21" s="2351"/>
      <c r="F21" s="1434"/>
      <c r="G21" s="1760"/>
      <c r="H21" s="1764"/>
      <c r="I21" s="1764"/>
      <c r="J21" s="1765">
        <f>SUM(J18:J20)</f>
        <v>0</v>
      </c>
      <c r="K21" s="1761"/>
    </row>
    <row r="22" spans="1:15" ht="13.5" thickTop="1" x14ac:dyDescent="0.2">
      <c r="A22" s="2322" t="s">
        <v>1792</v>
      </c>
      <c r="B22" s="2322"/>
      <c r="C22" s="2322"/>
      <c r="D22" s="2322"/>
      <c r="E22" s="2323"/>
      <c r="F22" s="635" t="s">
        <v>857</v>
      </c>
      <c r="G22" s="1753"/>
      <c r="H22" s="1744">
        <v>23582</v>
      </c>
      <c r="I22" s="1744"/>
      <c r="J22" s="1766"/>
      <c r="K22" s="1745"/>
    </row>
    <row r="23" spans="1:15" ht="13.5" thickBot="1" x14ac:dyDescent="0.25">
      <c r="A23" s="2352" t="s">
        <v>900</v>
      </c>
      <c r="B23" s="2351"/>
      <c r="C23" s="2351"/>
      <c r="D23" s="2351"/>
      <c r="E23" s="2351"/>
      <c r="F23" s="1436"/>
      <c r="G23" s="1755">
        <f>SUM(G14:G16,G21,G22)</f>
        <v>0</v>
      </c>
      <c r="H23" s="1755">
        <f>SUM(H14:H16,H21,H22)</f>
        <v>23582</v>
      </c>
      <c r="I23" s="1755">
        <f>SUM(I14:I16,I21,I22)</f>
        <v>0</v>
      </c>
      <c r="J23" s="1755">
        <f>SUM(J14:J16,J21,J22)</f>
        <v>0</v>
      </c>
      <c r="K23" s="1755">
        <f>SUM(K14:K16,K21,K22)</f>
        <v>0</v>
      </c>
      <c r="M23" s="1846"/>
      <c r="N23" s="1846"/>
      <c r="O23" s="1846"/>
    </row>
    <row r="24" spans="1:15" ht="14.25" thickTop="1" thickBot="1" x14ac:dyDescent="0.25">
      <c r="A24" s="2353" t="str">
        <f>"Ending Cash Basis Fund Balance as of June 30, "&amp;'AFR20'!E2</f>
        <v>Ending Cash Basis Fund Balance as of June 30, 2020</v>
      </c>
      <c r="B24" s="2354"/>
      <c r="C24" s="2354"/>
      <c r="D24" s="2354"/>
      <c r="E24" s="235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5"/>
      <c r="I31" s="2326"/>
      <c r="J31" s="2326"/>
      <c r="K31" s="2326"/>
    </row>
    <row r="32" spans="1:15" x14ac:dyDescent="0.2">
      <c r="A32" s="649"/>
      <c r="B32" s="232"/>
      <c r="C32" s="232"/>
      <c r="D32" s="232"/>
      <c r="E32" s="645"/>
      <c r="F32" s="651" t="s">
        <v>537</v>
      </c>
      <c r="G32" s="618"/>
      <c r="H32" s="2327"/>
      <c r="I32" s="2326"/>
      <c r="J32" s="2326"/>
      <c r="K32" s="2326"/>
    </row>
    <row r="33" spans="1:11" ht="1.5" customHeight="1" x14ac:dyDescent="0.2">
      <c r="A33" s="652" t="s">
        <v>1159</v>
      </c>
      <c r="B33" s="341"/>
      <c r="C33" s="341"/>
      <c r="D33" s="341"/>
      <c r="E33" s="341"/>
      <c r="F33" s="341"/>
      <c r="G33" s="653"/>
      <c r="H33" s="2327"/>
      <c r="I33" s="2326"/>
      <c r="J33" s="2326"/>
      <c r="K33" s="2326"/>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35"/>
      <c r="C41" s="2335"/>
      <c r="D41" s="2335"/>
      <c r="E41" s="2335"/>
      <c r="F41" s="233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ageMargins left="0.48" right="0.17" top="0.68" bottom="0.4" header="0.19" footer="0.2"/>
  <pageSetup scale="82" firstPageNumber="47" orientation="landscape" useFirstPageNumber="1" r:id="rId1"/>
  <headerFooter>
    <oddHeader xml:space="preserve">&amp;C&amp;"Arial,Bold"Raccoon Consolidated School District 1 
Schedule of Restricted Local Tax Levies and Selected Revenues Sources 
Schedule of Tort Immunity Expenditures </oddHeader>
    <oddFooter>&amp;C&amp;12-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N25" sqref="N2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1314</v>
      </c>
      <c r="D5" s="1770"/>
      <c r="E5" s="1770"/>
      <c r="F5" s="1765">
        <f>(C5+D5)-E5</f>
        <v>1314</v>
      </c>
      <c r="G5" s="676"/>
      <c r="H5" s="680"/>
      <c r="I5" s="680"/>
      <c r="J5" s="680"/>
      <c r="K5" s="637"/>
      <c r="L5" s="1442">
        <f>F5-K5</f>
        <v>1314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1027694</v>
      </c>
      <c r="D8" s="1771"/>
      <c r="E8" s="1771"/>
      <c r="F8" s="1765">
        <f>(C8+D8)-E8</f>
        <v>1027694</v>
      </c>
      <c r="G8" s="681">
        <v>50</v>
      </c>
      <c r="H8" s="619">
        <v>742177</v>
      </c>
      <c r="I8" s="619">
        <v>13275</v>
      </c>
      <c r="J8" s="619"/>
      <c r="K8" s="1442">
        <f>(H8+I8)-J8</f>
        <v>755452</v>
      </c>
      <c r="L8" s="1442">
        <f>F8-K8</f>
        <v>272242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955933</v>
      </c>
      <c r="D10" s="1772">
        <v>30241</v>
      </c>
      <c r="E10" s="1772"/>
      <c r="F10" s="1773">
        <f>(C10+D10)-E10</f>
        <v>986174</v>
      </c>
      <c r="G10" s="681">
        <v>20</v>
      </c>
      <c r="H10" s="683">
        <v>537142</v>
      </c>
      <c r="I10" s="683">
        <v>32162</v>
      </c>
      <c r="J10" s="683"/>
      <c r="K10" s="1442">
        <f>(H10+I10)-J10</f>
        <v>569304</v>
      </c>
      <c r="L10" s="1442">
        <f>F10-K10</f>
        <v>416870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361783</v>
      </c>
      <c r="D12" s="1771">
        <v>73369</v>
      </c>
      <c r="E12" s="1771">
        <v>44730</v>
      </c>
      <c r="F12" s="1765">
        <f>(C12+D12)-E12</f>
        <v>390422</v>
      </c>
      <c r="G12" s="681">
        <v>10</v>
      </c>
      <c r="H12" s="619">
        <v>260003</v>
      </c>
      <c r="I12" s="619">
        <v>24462</v>
      </c>
      <c r="J12" s="619">
        <v>44730</v>
      </c>
      <c r="K12" s="1442">
        <f>(H12+I12)-J12</f>
        <v>239735</v>
      </c>
      <c r="L12" s="1442">
        <f>F12-K12</f>
        <v>150687</v>
      </c>
    </row>
    <row r="13" spans="1:14" ht="14.25" thickTop="1" thickBot="1" x14ac:dyDescent="0.25">
      <c r="A13" s="684" t="s">
        <v>1112</v>
      </c>
      <c r="B13" s="679">
        <v>252</v>
      </c>
      <c r="C13" s="1771">
        <v>344896</v>
      </c>
      <c r="D13" s="1771"/>
      <c r="E13" s="1771"/>
      <c r="F13" s="1765">
        <f>(C13+D13)-E13</f>
        <v>344896</v>
      </c>
      <c r="G13" s="681">
        <v>5</v>
      </c>
      <c r="H13" s="619">
        <v>265299</v>
      </c>
      <c r="I13" s="619">
        <v>67870</v>
      </c>
      <c r="J13" s="619"/>
      <c r="K13" s="1442">
        <f>(H13+I13)-J13</f>
        <v>333169</v>
      </c>
      <c r="L13" s="1442">
        <f>F13-K13</f>
        <v>11727</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2691620</v>
      </c>
      <c r="D16" s="1765">
        <f>SUM(D3,D5:D6,D8:D10,D12:D15)</f>
        <v>103610</v>
      </c>
      <c r="E16" s="1765">
        <f>SUM(E3,E5:E6,E8:E10,E12:E15)</f>
        <v>44730</v>
      </c>
      <c r="F16" s="1765">
        <f>SUM(F3,F5:F6,F8:F10,F12:F15)</f>
        <v>2750500</v>
      </c>
      <c r="G16" s="681"/>
      <c r="H16" s="1435">
        <f>SUM(H3,H6,H8:H10,H12:H14,)</f>
        <v>1804621</v>
      </c>
      <c r="I16" s="1435">
        <f>SUM(I3,I6,I8:I10,I12:I14,)</f>
        <v>137769</v>
      </c>
      <c r="J16" s="1435">
        <f>SUM(J3,J6,J8:J10,J12:J14,)</f>
        <v>44730</v>
      </c>
      <c r="K16" s="1435">
        <f>(H16+I16)-J16</f>
        <v>1897660</v>
      </c>
      <c r="L16" s="1435">
        <f>F16-K16</f>
        <v>852840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137769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ageMargins left="0.37" right="0.17" top="1.1000000000000001" bottom="0.66" header="0.63" footer="0.33"/>
  <pageSetup scale="80" firstPageNumber="48" orientation="landscape" useFirstPageNumber="1" r:id="rId1"/>
  <headerFooter alignWithMargins="0">
    <oddHeader xml:space="preserve">&amp;C Raccoon Consolidated School District 1 </oddHeader>
    <oddFooter>&amp;C&amp;14-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2"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1773768</v>
      </c>
      <c r="G8" s="701"/>
    </row>
    <row r="9" spans="1:9" x14ac:dyDescent="0.2">
      <c r="A9" s="705" t="s">
        <v>457</v>
      </c>
      <c r="B9" s="706" t="s">
        <v>1848</v>
      </c>
      <c r="C9" s="707"/>
      <c r="D9" s="705" t="s">
        <v>498</v>
      </c>
      <c r="E9" s="704"/>
      <c r="F9" s="1775">
        <f>'Expenditures 15-22'!K151</f>
        <v>237211</v>
      </c>
      <c r="G9" s="708"/>
    </row>
    <row r="10" spans="1:9" x14ac:dyDescent="0.2">
      <c r="A10" s="705" t="s">
        <v>496</v>
      </c>
      <c r="B10" s="706" t="s">
        <v>1849</v>
      </c>
      <c r="C10" s="707"/>
      <c r="D10" s="705" t="s">
        <v>498</v>
      </c>
      <c r="E10" s="704"/>
      <c r="F10" s="1775">
        <f>'Expenditures 15-22'!K174</f>
        <v>53575</v>
      </c>
      <c r="G10" s="708"/>
    </row>
    <row r="11" spans="1:9" x14ac:dyDescent="0.2">
      <c r="A11" s="705" t="s">
        <v>458</v>
      </c>
      <c r="B11" s="706" t="s">
        <v>1850</v>
      </c>
      <c r="C11" s="707"/>
      <c r="D11" s="705" t="s">
        <v>498</v>
      </c>
      <c r="E11" s="704"/>
      <c r="F11" s="1775">
        <f>'Expenditures 15-22'!K210</f>
        <v>202088</v>
      </c>
      <c r="G11" s="708"/>
    </row>
    <row r="12" spans="1:9" x14ac:dyDescent="0.2">
      <c r="A12" s="705" t="s">
        <v>459</v>
      </c>
      <c r="B12" s="706" t="s">
        <v>1851</v>
      </c>
      <c r="C12" s="707"/>
      <c r="D12" s="705" t="s">
        <v>498</v>
      </c>
      <c r="E12" s="704"/>
      <c r="F12" s="1775">
        <f>'Expenditures 15-22'!K295</f>
        <v>105065</v>
      </c>
      <c r="G12" s="708"/>
    </row>
    <row r="13" spans="1:9" x14ac:dyDescent="0.2">
      <c r="A13" s="705" t="s">
        <v>106</v>
      </c>
      <c r="B13" s="706" t="s">
        <v>1852</v>
      </c>
      <c r="C13" s="707"/>
      <c r="D13" s="705" t="s">
        <v>498</v>
      </c>
      <c r="E13" s="704"/>
      <c r="F13" s="1775">
        <f>'Expenditures 15-22'!K342</f>
        <v>59092</v>
      </c>
      <c r="G13" s="709"/>
    </row>
    <row r="14" spans="1:9" ht="12" customHeight="1" thickBot="1" x14ac:dyDescent="0.25">
      <c r="A14" s="1443"/>
      <c r="B14" s="1444"/>
      <c r="C14" s="1445"/>
      <c r="D14" s="1446" t="s">
        <v>498</v>
      </c>
      <c r="E14" s="1447" t="s">
        <v>952</v>
      </c>
      <c r="F14" s="1776">
        <f>SUM(F8:F13)</f>
        <v>2430799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34202</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94843</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75835</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47300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70250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752</v>
      </c>
      <c r="G67" s="701"/>
    </row>
    <row r="68" spans="1:9" x14ac:dyDescent="0.2">
      <c r="A68" s="705" t="s">
        <v>459</v>
      </c>
      <c r="B68" s="705" t="s">
        <v>1462</v>
      </c>
      <c r="C68" s="721" t="str">
        <f>'Expenditures 15-22'!B218</f>
        <v>1225</v>
      </c>
      <c r="D68" s="727" t="str">
        <f>'Expenditures 15-22'!A218</f>
        <v>Special Education Programs - Pre-K</v>
      </c>
      <c r="E68" s="704"/>
      <c r="F68" s="1782">
        <f>'Expenditures 15-22'!K218</f>
        <v>424</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323606</v>
      </c>
      <c r="G77" s="701"/>
    </row>
    <row r="78" spans="1:9" s="728" customFormat="1" ht="12" customHeight="1" thickTop="1" thickBot="1" x14ac:dyDescent="0.25">
      <c r="A78" s="1450"/>
      <c r="B78" s="1448"/>
      <c r="C78" s="1445"/>
      <c r="D78" s="1449" t="s">
        <v>2012</v>
      </c>
      <c r="E78" s="1447"/>
      <c r="F78" s="1788">
        <f>(F14-F77)</f>
        <v>2107193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228.3</v>
      </c>
      <c r="G79" s="733"/>
      <c r="H79" s="705"/>
      <c r="I79" s="705"/>
    </row>
    <row r="80" spans="1:9" s="728" customFormat="1" ht="12" customHeight="1" thickBot="1" x14ac:dyDescent="0.25">
      <c r="A80" s="1452"/>
      <c r="B80" s="1448"/>
      <c r="C80" s="1445"/>
      <c r="D80" s="1449" t="s">
        <v>2013</v>
      </c>
      <c r="E80" s="1447" t="s">
        <v>952</v>
      </c>
      <c r="F80" s="1790">
        <f>IF(F79&gt;0,F78/F79," Complete Line 79")</f>
        <v>9229.929916776171</v>
      </c>
      <c r="G80" s="705"/>
    </row>
    <row r="81" spans="1:7" s="728" customFormat="1" ht="8.25" customHeight="1" thickTop="1" x14ac:dyDescent="0.2">
      <c r="A81" s="734"/>
      <c r="B81" s="705"/>
      <c r="C81" s="707"/>
      <c r="D81" s="735"/>
      <c r="E81" s="704"/>
      <c r="F81" s="1791"/>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1169</v>
      </c>
      <c r="G95" s="745"/>
    </row>
    <row r="96" spans="1:7" x14ac:dyDescent="0.2">
      <c r="A96" s="741" t="s">
        <v>139</v>
      </c>
      <c r="B96" s="741" t="s">
        <v>174</v>
      </c>
      <c r="C96" s="743">
        <v>1700</v>
      </c>
      <c r="D96" s="751" t="str">
        <f>'Revenues 9-14'!A82</f>
        <v>Total District/School Activity Income</v>
      </c>
      <c r="E96" s="739"/>
      <c r="F96" s="1793">
        <f>SUM('Revenues 9-14'!C82,'Revenues 9-14'!D82)</f>
        <v>4832</v>
      </c>
      <c r="G96" s="745"/>
    </row>
    <row r="97" spans="1:7" x14ac:dyDescent="0.2">
      <c r="A97" s="741" t="s">
        <v>456</v>
      </c>
      <c r="B97" s="741" t="s">
        <v>175</v>
      </c>
      <c r="C97" s="743">
        <f>'Revenues 9-14'!B84</f>
        <v>1811</v>
      </c>
      <c r="D97" s="744" t="str">
        <f>'Revenues 9-14'!A84</f>
        <v>Rentals - Regular Textbooks</v>
      </c>
      <c r="E97" s="739"/>
      <c r="F97" s="1793">
        <f>'Revenues 9-14'!C84</f>
        <v>4550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19308</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1937</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136150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9000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128645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87319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15373</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3598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21026</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29824</v>
      </c>
      <c r="G171" s="760"/>
    </row>
    <row r="172" spans="1:7" x14ac:dyDescent="0.2">
      <c r="A172" s="1529" t="s">
        <v>5</v>
      </c>
      <c r="B172" s="1530" t="s">
        <v>1885</v>
      </c>
      <c r="C172" s="1531">
        <v>3100</v>
      </c>
      <c r="D172" s="1532" t="s">
        <v>1887</v>
      </c>
      <c r="E172" s="739"/>
      <c r="F172" s="1794">
        <v>91139</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553870</v>
      </c>
    </row>
    <row r="176" spans="1:7" ht="12" customHeight="1" x14ac:dyDescent="0.2">
      <c r="A176" s="1443"/>
      <c r="B176" s="1453"/>
      <c r="C176" s="1454"/>
      <c r="D176" s="1455" t="s">
        <v>2014</v>
      </c>
      <c r="E176" s="1456"/>
      <c r="F176" s="1793">
        <f>'PCTC-OEPP 27-28'!F78-F175</f>
        <v>1553323</v>
      </c>
    </row>
    <row r="177" spans="1:9" ht="12" customHeight="1" x14ac:dyDescent="0.2">
      <c r="A177" s="1443"/>
      <c r="B177" s="1453"/>
      <c r="C177" s="1454"/>
      <c r="D177" s="1455" t="s">
        <v>1794</v>
      </c>
      <c r="E177" s="1456"/>
      <c r="F177" s="1793">
        <f>'Cap Outlay Deprec 26'!I18</f>
        <v>137769</v>
      </c>
    </row>
    <row r="178" spans="1:9" ht="12" customHeight="1" x14ac:dyDescent="0.2">
      <c r="A178" s="1443"/>
      <c r="B178" s="1453"/>
      <c r="C178" s="1454"/>
      <c r="D178" s="1455" t="s">
        <v>2015</v>
      </c>
      <c r="E178" s="1456"/>
      <c r="F178" s="1793">
        <f>F176+F177</f>
        <v>1691092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228.3</v>
      </c>
      <c r="G179" s="763"/>
      <c r="I179" s="701"/>
    </row>
    <row r="180" spans="1:9" ht="12" customHeight="1" thickBot="1" x14ac:dyDescent="0.25">
      <c r="A180" s="1443"/>
      <c r="B180" s="1457"/>
      <c r="C180" s="1454"/>
      <c r="D180" s="1455" t="s">
        <v>2017</v>
      </c>
      <c r="E180" s="1456" t="s">
        <v>1528</v>
      </c>
      <c r="F180" s="1798">
        <f>F178/F179</f>
        <v>7407.3236968900565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ageMargins left="0.49" right="0.2" top="0.84" bottom="0.63" header="0.5" footer="0.31"/>
  <pageSetup scale="72" firstPageNumber="67" orientation="portrait" useFirstPageNumber="1" r:id="rId2"/>
  <headerFooter differentOddEven="1" alignWithMargins="0">
    <oddHeader xml:space="preserve">&amp;C Raccoon Consolidated School District 1 </oddHeader>
    <oddFooter>&amp;C&amp;14- &amp;P -</oddFooter>
    <evenHeader xml:space="preserve">&amp;CRaccoon Consolidated School District 1 </evenHeader>
    <evenFooter>&amp;C&amp;14- &amp;P -</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5"/>
  <sheetViews>
    <sheetView showGridLines="0" zoomScaleNormal="100" workbookViewId="0">
      <selection activeCell="E18" sqref="E18"/>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1" t="s">
        <v>2003</v>
      </c>
      <c r="D2" s="1863"/>
      <c r="E2" s="1863"/>
      <c r="F2" s="1863"/>
    </row>
    <row r="3" spans="1:6" ht="5.25" customHeight="1" x14ac:dyDescent="0.25">
      <c r="A3" s="1865"/>
      <c r="B3" s="1866"/>
      <c r="C3" s="1865"/>
      <c r="D3" s="1865"/>
      <c r="E3" s="1865"/>
      <c r="F3" s="1865"/>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7" t="s">
        <v>1796</v>
      </c>
      <c r="B6" s="1868"/>
      <c r="C6" s="1869"/>
      <c r="D6" s="1869"/>
      <c r="E6" s="1869"/>
      <c r="F6" s="1870"/>
    </row>
    <row r="7" spans="1:6" ht="47.25" customHeight="1" x14ac:dyDescent="0.25">
      <c r="A7" s="2382" t="s">
        <v>1985</v>
      </c>
      <c r="B7" s="2383"/>
      <c r="C7" s="2383"/>
      <c r="D7" s="2383"/>
      <c r="E7" s="2383"/>
      <c r="F7" s="2384"/>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3" t="s">
        <v>1982</v>
      </c>
      <c r="B12" s="1874"/>
      <c r="C12" s="1875"/>
      <c r="D12" s="1875"/>
      <c r="E12" s="1875"/>
      <c r="F12" s="1876"/>
    </row>
    <row r="13" spans="1:6" ht="17.25" customHeight="1" x14ac:dyDescent="0.25">
      <c r="A13" s="2382" t="s">
        <v>1983</v>
      </c>
      <c r="B13" s="2383"/>
      <c r="C13" s="2383"/>
      <c r="D13" s="2383"/>
      <c r="E13" s="2383"/>
      <c r="F13" s="2384"/>
    </row>
    <row r="14" spans="1:6" ht="15" customHeight="1" x14ac:dyDescent="0.25">
      <c r="A14" s="1873" t="s">
        <v>1800</v>
      </c>
      <c r="B14" s="1874"/>
      <c r="C14" s="1875"/>
      <c r="D14" s="1875"/>
      <c r="E14" s="1875"/>
      <c r="F14" s="1876"/>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4" t="s">
        <v>2095</v>
      </c>
      <c r="B18" s="1907"/>
      <c r="C18" s="2035" t="s">
        <v>2095</v>
      </c>
      <c r="D18" s="1885"/>
      <c r="E18" s="1905">
        <f t="shared" ref="E18:E33" si="0">IF(D18&lt;25000,D18,"25,000")</f>
        <v>0</v>
      </c>
      <c r="F18" s="1905" t="str">
        <f t="shared" ref="F18:F33"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8"/>
      <c r="D25" s="1885"/>
      <c r="E25" s="1905">
        <f t="shared" si="0"/>
        <v>0</v>
      </c>
      <c r="F25" s="1905" t="str">
        <f t="shared" si="1"/>
        <v>0</v>
      </c>
    </row>
    <row r="26" spans="1:7" x14ac:dyDescent="0.25">
      <c r="A26" s="1887"/>
      <c r="B26" s="1907"/>
      <c r="C26" s="1888"/>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8"/>
      <c r="C34" s="1888"/>
      <c r="D34" s="1885"/>
      <c r="E34" s="1905">
        <f t="shared" ref="E34" si="2">IF(D34&lt;25000,D34,"25,000")</f>
        <v>0</v>
      </c>
      <c r="F34" s="1905" t="str">
        <f t="shared" ref="F34" si="3">IF(D34&gt;=25000,(D34-E34),"0")</f>
        <v>0</v>
      </c>
    </row>
    <row r="35" spans="1:6" x14ac:dyDescent="0.25">
      <c r="A35" s="1889" t="s">
        <v>155</v>
      </c>
      <c r="B35" s="1909"/>
      <c r="C35" s="1890"/>
      <c r="D35" s="1891">
        <f>SUM(D18:D34)</f>
        <v>0</v>
      </c>
      <c r="E35" s="1892">
        <f>SUM(E18:E34)</f>
        <v>0</v>
      </c>
      <c r="F35" s="1893">
        <f>SUM(F18:F34)</f>
        <v>0</v>
      </c>
    </row>
  </sheetData>
  <sheetProtection selectLockedCells="1"/>
  <mergeCells count="6">
    <mergeCell ref="A15:F15"/>
    <mergeCell ref="A4:F5"/>
    <mergeCell ref="A7:F7"/>
    <mergeCell ref="A10:F10"/>
    <mergeCell ref="A11:F11"/>
    <mergeCell ref="A13:F13"/>
  </mergeCells>
  <pageMargins left="0.4" right="0.2" top="0.61" bottom="0.25" header="0.36" footer="0.3"/>
  <pageSetup scale="80" firstPageNumber="69" fitToHeight="0" orientation="landscape" useFirstPageNumber="1" r:id="rId1"/>
  <headerFooter>
    <oddHeader xml:space="preserve">&amp;CRaccoon Consolidated School District 1 </oddHeader>
    <oddFooter>&amp;C&amp;14- &amp;P -</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63270</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1">
        <v>13158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1359679</v>
      </c>
      <c r="F19" s="1802"/>
      <c r="G19" s="1804">
        <f>'Expenditures 15-22'!K33-SUM('Expenditures 15-22'!G33,'Expenditures 15-22'!I33)+'Expenditures 15-22'!D229</f>
        <v>1359679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16153</v>
      </c>
      <c r="F21" s="1805"/>
      <c r="G21" s="1808">
        <f>'Expenditures 15-22'!K42-SUM('Expenditures 15-22'!G42,'Expenditures 15-22'!I42)+'Expenditures 15-22'!K120-SUM('Expenditures 15-22'!G120,'Expenditures 15-22'!I120)+'Expenditures 15-22'!K180-SUM('Expenditures 15-22'!G180,'Expenditures 15-22'!I180)+'Expenditures 15-22'!D238</f>
        <v>16153</v>
      </c>
      <c r="H21" s="817"/>
      <c r="I21" s="157"/>
    </row>
    <row r="22" spans="1:9" s="542" customFormat="1" ht="12" customHeight="1" x14ac:dyDescent="0.2">
      <c r="A22" s="824" t="s">
        <v>560</v>
      </c>
      <c r="B22" s="825"/>
      <c r="C22" s="823">
        <v>2200</v>
      </c>
      <c r="D22" s="1805"/>
      <c r="E22" s="1807">
        <f>'Expenditures 15-22'!K47-SUM('Expenditures 15-22'!G47,'Expenditures 15-22'!I47)+'Expenditures 15-22'!D243</f>
        <v>13151</v>
      </c>
      <c r="F22" s="1805"/>
      <c r="G22" s="1808">
        <f>'Expenditures 15-22'!K47-SUM('Expenditures 15-22'!G47,'Expenditures 15-22'!I47)+'Expenditures 15-22'!D243</f>
        <v>13151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200699</v>
      </c>
      <c r="F23" s="1805"/>
      <c r="G23" s="1807">
        <f>'Expenditures 15-22'!K53-SUM('Expenditures 15-22'!G53,'Expenditures 15-22'!I53)+'Expenditures 15-22'!D257+'Expenditures 15-22'!K330-SUM('Expenditures 15-22'!G330,'Expenditures 15-22'!I330)</f>
        <v>200699</v>
      </c>
      <c r="H23" s="817"/>
      <c r="I23" s="157"/>
    </row>
    <row r="24" spans="1:9" s="542" customFormat="1" ht="12" customHeight="1" x14ac:dyDescent="0.2">
      <c r="A24" s="824" t="s">
        <v>562</v>
      </c>
      <c r="B24" s="825"/>
      <c r="C24" s="823">
        <v>2400</v>
      </c>
      <c r="D24" s="1805"/>
      <c r="E24" s="1807">
        <f>'Expenditures 15-22'!K57-SUM('Expenditures 15-22'!G57,'Expenditures 15-22'!I57)+'Expenditures 15-22'!D261</f>
        <v>38155</v>
      </c>
      <c r="F24" s="1805"/>
      <c r="G24" s="1808">
        <f>'Expenditures 15-22'!K57-SUM('Expenditures 15-22'!G57,'Expenditures 15-22'!I57)+'Expenditures 15-22'!D261</f>
        <v>38155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61878</v>
      </c>
      <c r="E27" s="1807">
        <f>E8</f>
        <v>0</v>
      </c>
      <c r="F27" s="1807">
        <f>'Expenditures 15-22'!K60-SUM('Expenditures 15-22'!G60,'Expenditures 15-22'!I60)+'Expenditures 15-22'!D264-E8</f>
        <v>61878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176767</v>
      </c>
      <c r="F28" s="1809">
        <f>'Expenditures 15-22'!K61-SUM('Expenditures 15-22'!G61,'Expenditures 15-22'!I61)+'Expenditures 15-22'!K124-SUM('Expenditures 15-22'!G124,'Expenditures 15-22'!I124)+'Expenditures 15-22'!D266-E9</f>
        <v>176767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138579</v>
      </c>
      <c r="F29" s="1805"/>
      <c r="G29" s="1808">
        <f>'Expenditures 15-22'!K62-SUM('Expenditures 15-22'!G62,'Expenditures 15-22'!I62)+'Expenditures 15-22'!K125-SUM('Expenditures 15-22'!G125,'Expenditures 15-22'!I125)+'Expenditures 15-22'!K182-SUM('Expenditures 15-22'!G182,'Expenditures 15-22'!I182)+'Expenditures 15-22'!D267</f>
        <v>138579</v>
      </c>
      <c r="H29" s="815"/>
    </row>
    <row r="30" spans="1:9" ht="12" customHeight="1" x14ac:dyDescent="0.2">
      <c r="A30" s="824" t="s">
        <v>100</v>
      </c>
      <c r="B30" s="827"/>
      <c r="C30" s="823">
        <v>2560</v>
      </c>
      <c r="D30" s="1805"/>
      <c r="E30" s="1807">
        <f>'Expenditures 15-22'!K63-SUM('Expenditures 15-22'!G63,'Expenditures 15-22'!I63)+'Expenditures 15-22'!D268-E10</f>
        <v>63329</v>
      </c>
      <c r="F30" s="1805"/>
      <c r="G30" s="1807">
        <f>'Expenditures 15-22'!K63-SUM('Expenditures 15-22'!G63,'Expenditures 15-22'!I63)+'Expenditures 15-22'!D268-E10</f>
        <v>63329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2080</v>
      </c>
      <c r="F38" s="1805"/>
      <c r="G38" s="1807">
        <f>'Expenditures 15-22'!K73-SUM('Expenditures 15-22'!G73,'Expenditures 15-22'!I73)+'Expenditures 15-22'!K128-SUM('Expenditures 15-22'!G128,'Expenditures 15-22'!I128)+'Expenditures 15-22'!K183-SUM('Expenditures 15-22'!G183,'Expenditures 15-22'!I183)+'Expenditures 15-22'!D278</f>
        <v>2080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29'!F35</f>
        <v>0</v>
      </c>
      <c r="F40" s="1805"/>
      <c r="G40" s="1809">
        <f>-'Contracts Paid in CY 29'!F35</f>
        <v>0</v>
      </c>
    </row>
    <row r="41" spans="1:7" ht="12" customHeight="1" x14ac:dyDescent="0.2">
      <c r="A41" s="828" t="s">
        <v>155</v>
      </c>
      <c r="B41" s="829"/>
      <c r="C41" s="830"/>
      <c r="D41" s="1809">
        <f>SUM(D19:D39)</f>
        <v>61878</v>
      </c>
      <c r="E41" s="1809">
        <f>SUM(E19:E40)</f>
        <v>2008592</v>
      </c>
      <c r="F41" s="1809">
        <f>SUM(F19:F39)</f>
        <v>238645</v>
      </c>
      <c r="G41" s="1809">
        <f>SUM(G19:G40)</f>
        <v>1831825</v>
      </c>
    </row>
    <row r="42" spans="1:7" x14ac:dyDescent="0.2">
      <c r="A42" s="817"/>
      <c r="B42" s="157"/>
      <c r="C42" s="831"/>
      <c r="D42" s="2391" t="s">
        <v>519</v>
      </c>
      <c r="E42" s="2392"/>
      <c r="F42" s="832" t="s">
        <v>520</v>
      </c>
      <c r="G42" s="833"/>
    </row>
    <row r="43" spans="1:7" ht="12" customHeight="1" x14ac:dyDescent="0.2">
      <c r="A43" s="817"/>
      <c r="B43" s="157"/>
      <c r="C43" s="831"/>
      <c r="D43" s="1458" t="s">
        <v>470</v>
      </c>
      <c r="E43" s="1810">
        <f>D41</f>
        <v>61878</v>
      </c>
      <c r="F43" s="1458" t="s">
        <v>470</v>
      </c>
      <c r="G43" s="1810">
        <f>F41</f>
        <v>238645</v>
      </c>
    </row>
    <row r="44" spans="1:7" ht="12" customHeight="1" x14ac:dyDescent="0.2">
      <c r="A44" s="817"/>
      <c r="B44" s="157"/>
      <c r="C44" s="831"/>
      <c r="D44" s="1458" t="s">
        <v>471</v>
      </c>
      <c r="E44" s="1810">
        <f>E41</f>
        <v>2008592</v>
      </c>
      <c r="F44" s="1458" t="s">
        <v>471</v>
      </c>
      <c r="G44" s="1810">
        <f>G41</f>
        <v>1831825</v>
      </c>
    </row>
    <row r="45" spans="1:7" ht="12" customHeight="1" x14ac:dyDescent="0.2">
      <c r="A45" s="817"/>
      <c r="B45" s="157"/>
      <c r="C45" s="157"/>
      <c r="D45" s="1459" t="s">
        <v>999</v>
      </c>
      <c r="E45" s="1811">
        <f>(E43/E44)</f>
        <v>3.0806654611787759E-2</v>
      </c>
      <c r="F45" s="1459" t="s">
        <v>999</v>
      </c>
      <c r="G45" s="1811">
        <f>(G43/G44)</f>
        <v>0.1302771825911318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47" header="0.44" footer="0.21"/>
  <pageSetup scale="85" firstPageNumber="70" orientation="landscape" useFirstPageNumber="1" r:id="rId1"/>
  <headerFooter alignWithMargins="0">
    <oddHeader xml:space="preserve">&amp;CRaccoon Consolidated School District 1 </oddHeader>
    <oddFooter>&amp;C&amp;14-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C27" sqref="C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0" t="s">
        <v>1363</v>
      </c>
      <c r="B1" s="2410"/>
      <c r="C1" s="2410"/>
      <c r="D1" s="2410"/>
      <c r="E1" s="2410"/>
      <c r="F1" s="241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1" t="s">
        <v>1529</v>
      </c>
      <c r="B5" s="2412"/>
      <c r="C5" s="2413"/>
      <c r="D5" s="2413"/>
      <c r="E5" s="2413"/>
      <c r="F5" s="2413"/>
      <c r="G5" s="1507"/>
      <c r="L5" s="1507"/>
      <c r="M5" s="1855"/>
      <c r="N5" s="1855"/>
      <c r="O5" s="1855"/>
    </row>
    <row r="6" spans="1:15" ht="12" customHeight="1" x14ac:dyDescent="0.25">
      <c r="A6" s="1480"/>
      <c r="B6" s="1481"/>
      <c r="C6" s="2414" t="str">
        <f>COVER!A17</f>
        <v xml:space="preserve">  Raccoon Cons SD 1</v>
      </c>
      <c r="D6" s="2414"/>
      <c r="E6" s="2414"/>
      <c r="F6" s="1482"/>
      <c r="G6" s="1507"/>
      <c r="L6" s="1507"/>
      <c r="M6" s="1855"/>
      <c r="N6" s="1855"/>
      <c r="O6" s="1855"/>
    </row>
    <row r="7" spans="1:15" ht="11.25" customHeight="1" thickBot="1" x14ac:dyDescent="0.3">
      <c r="A7" s="1480"/>
      <c r="B7" s="1481"/>
      <c r="C7" s="2415">
        <f>COVER!A13</f>
        <v>13058001003</v>
      </c>
      <c r="D7" s="2415"/>
      <c r="E7" s="241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2051</v>
      </c>
      <c r="D14" s="1495" t="s">
        <v>2051</v>
      </c>
      <c r="E14" s="1498" t="s">
        <v>2051</v>
      </c>
      <c r="F14" s="1497" t="s">
        <v>2085</v>
      </c>
      <c r="G14" s="1507"/>
      <c r="H14" s="1507">
        <f t="shared" si="0"/>
        <v>5</v>
      </c>
      <c r="I14" s="1507">
        <f t="shared" si="1"/>
        <v>5</v>
      </c>
      <c r="J14" s="1507">
        <f t="shared" si="2"/>
        <v>5</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2086</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2"/>
      <c r="B39" s="1502"/>
      <c r="C39" s="1502"/>
      <c r="D39" s="1502"/>
      <c r="E39" s="1502"/>
      <c r="F39" s="1502"/>
    </row>
    <row r="40" spans="1:15" s="1499" customFormat="1" ht="12" customHeight="1" x14ac:dyDescent="0.25">
      <c r="A40" s="1503" t="s">
        <v>1375</v>
      </c>
      <c r="B40" s="1504"/>
      <c r="C40" s="2405"/>
      <c r="D40" s="2405"/>
      <c r="E40" s="2405"/>
      <c r="F40" s="2406"/>
      <c r="H40" s="1508"/>
      <c r="I40" s="1508"/>
      <c r="J40" s="1508"/>
      <c r="K40" s="1508"/>
    </row>
    <row r="41" spans="1:15" s="1499" customFormat="1" ht="12" customHeight="1" x14ac:dyDescent="0.25">
      <c r="A41" s="2407"/>
      <c r="B41" s="2408"/>
      <c r="C41" s="2408"/>
      <c r="D41" s="2408"/>
      <c r="E41" s="2408"/>
      <c r="F41" s="2409"/>
      <c r="H41" s="1508"/>
      <c r="I41" s="1508"/>
      <c r="J41" s="1508"/>
      <c r="K41" s="1508"/>
    </row>
    <row r="42" spans="1:15" s="1499" customFormat="1" ht="12" customHeight="1" x14ac:dyDescent="0.25">
      <c r="A42" s="2407"/>
      <c r="B42" s="2408"/>
      <c r="C42" s="2408"/>
      <c r="D42" s="2408"/>
      <c r="E42" s="2408"/>
      <c r="F42" s="2409"/>
      <c r="H42" s="1508"/>
      <c r="I42" s="1508"/>
      <c r="J42" s="1508"/>
      <c r="K42" s="1508"/>
    </row>
    <row r="43" spans="1:15" s="1499" customFormat="1" ht="15" x14ac:dyDescent="0.25">
      <c r="A43" s="2396"/>
      <c r="B43" s="2397"/>
      <c r="C43" s="2397"/>
      <c r="D43" s="2397"/>
      <c r="E43" s="2397"/>
      <c r="F43" s="2398"/>
      <c r="H43" s="1508"/>
      <c r="I43" s="1508"/>
      <c r="J43" s="1508"/>
      <c r="K43" s="1508"/>
    </row>
    <row r="44" spans="1:15" s="1499" customFormat="1" ht="12" hidden="1" customHeight="1" x14ac:dyDescent="0.25">
      <c r="A44" s="2396"/>
      <c r="B44" s="2397"/>
      <c r="C44" s="2397"/>
      <c r="D44" s="2397"/>
      <c r="E44" s="2397"/>
      <c r="F44" s="239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9" right="0.2" top="0.68" bottom="0.61" header="0.37" footer="0.31"/>
  <pageSetup scale="83" firstPageNumber="71" orientation="landscape" useFirstPageNumber="1" r:id="rId1"/>
  <headerFooter>
    <oddHeader xml:space="preserve">&amp;CRaccoon Consolidated School District 1 </oddHeader>
    <oddFooter>&amp;C&amp;14- &amp;P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3" sqref="I13"/>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7"/>
      <c r="C6" s="1377"/>
      <c r="D6" s="1377"/>
      <c r="E6" s="1378"/>
      <c r="F6" s="1920"/>
      <c r="G6" s="1921"/>
      <c r="H6" s="838"/>
      <c r="I6" s="1922" t="s">
        <v>1021</v>
      </c>
      <c r="J6" s="2436" t="str">
        <f>COVER!A17</f>
        <v xml:space="preserve">  Raccoon Cons SD 1</v>
      </c>
      <c r="K6" s="2436"/>
      <c r="L6" s="2450"/>
      <c r="M6" s="838"/>
      <c r="N6" s="1996"/>
    </row>
    <row r="7" spans="1:14" x14ac:dyDescent="0.2">
      <c r="A7" s="2451" t="s">
        <v>864</v>
      </c>
      <c r="B7" s="2452"/>
      <c r="C7" s="2452"/>
      <c r="D7" s="2452"/>
      <c r="E7" s="2453"/>
      <c r="F7" s="839"/>
      <c r="G7" s="838"/>
      <c r="H7" s="838"/>
      <c r="I7" s="1922" t="s">
        <v>369</v>
      </c>
      <c r="J7" s="2438">
        <f>COVER!A13</f>
        <v>13058001003</v>
      </c>
      <c r="K7" s="2438"/>
      <c r="L7" s="2438"/>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7"/>
      <c r="G9" s="1857"/>
      <c r="H9" s="1857"/>
      <c r="I9" s="1927" t="s">
        <v>2019</v>
      </c>
      <c r="J9" s="1857"/>
      <c r="K9" s="1857"/>
      <c r="L9" s="1858"/>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54" t="s">
        <v>478</v>
      </c>
      <c r="B11" s="2455"/>
      <c r="C11" s="2456"/>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111763</v>
      </c>
      <c r="F12" s="1940"/>
      <c r="G12" s="1966">
        <f>G68</f>
        <v>0</v>
      </c>
      <c r="H12" s="1942">
        <f t="shared" ref="H12:H18" si="0">SUM(E12:G12)</f>
        <v>111763</v>
      </c>
      <c r="I12" s="1941">
        <v>52675</v>
      </c>
      <c r="J12" s="1940"/>
      <c r="K12" s="1941"/>
      <c r="L12" s="1942">
        <f t="shared" ref="L12:L18" si="1">SUM(I12:K12)</f>
        <v>52675</v>
      </c>
      <c r="M12" s="838"/>
      <c r="N12" s="1996"/>
    </row>
    <row r="13" spans="1:14" x14ac:dyDescent="0.2">
      <c r="A13" s="2001">
        <v>2</v>
      </c>
      <c r="B13" s="1938" t="s">
        <v>42</v>
      </c>
      <c r="C13" s="842"/>
      <c r="D13" s="1939">
        <v>2330</v>
      </c>
      <c r="E13" s="1942">
        <f>'Expenditures 15-22'!K51</f>
        <v>144</v>
      </c>
      <c r="F13" s="1940"/>
      <c r="G13" s="1966">
        <f>H68</f>
        <v>0</v>
      </c>
      <c r="H13" s="1942">
        <f t="shared" si="0"/>
        <v>144</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57" t="s">
        <v>7</v>
      </c>
      <c r="C18" s="2458"/>
      <c r="D18" s="2459"/>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111907</v>
      </c>
      <c r="F19" s="1948">
        <f t="shared" si="2"/>
        <v>0</v>
      </c>
      <c r="G19" s="1948">
        <f t="shared" ref="G19" si="3">SUM(G12:G17)-G18</f>
        <v>0</v>
      </c>
      <c r="H19" s="1948">
        <f t="shared" si="2"/>
        <v>111907</v>
      </c>
      <c r="I19" s="1948">
        <f t="shared" si="2"/>
        <v>52675</v>
      </c>
      <c r="J19" s="1948">
        <f t="shared" si="2"/>
        <v>0</v>
      </c>
      <c r="K19" s="1948">
        <f t="shared" si="2"/>
        <v>0</v>
      </c>
      <c r="L19" s="1948">
        <f t="shared" si="2"/>
        <v>52675</v>
      </c>
      <c r="M19" s="838"/>
      <c r="N19" s="1996"/>
    </row>
    <row r="20" spans="1:14" ht="13.5" thickTop="1" x14ac:dyDescent="0.2">
      <c r="A20" s="2001">
        <v>9</v>
      </c>
      <c r="B20" s="2460" t="s">
        <v>2021</v>
      </c>
      <c r="C20" s="2460"/>
      <c r="D20" s="2461"/>
      <c r="E20" s="1949"/>
      <c r="F20" s="1949"/>
      <c r="G20" s="1949"/>
      <c r="H20" s="1949"/>
      <c r="I20" s="1949"/>
      <c r="J20" s="1949"/>
      <c r="K20" s="1949"/>
      <c r="L20" s="1950">
        <f>IF(AND(H19&gt;0,L19&gt;0),(((L19-H19)/H19)),"Enter Budget Data")</f>
        <v>-0.52929664810959098</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2"/>
      <c r="D27" s="2462"/>
      <c r="E27" s="843"/>
      <c r="F27" s="2463"/>
      <c r="G27" s="2463"/>
      <c r="H27" s="2463"/>
      <c r="I27" s="838"/>
      <c r="J27" s="838"/>
      <c r="K27" s="838"/>
      <c r="L27" s="838"/>
      <c r="M27" s="838"/>
      <c r="N27" s="1996"/>
    </row>
    <row r="28" spans="1:14" x14ac:dyDescent="0.2">
      <c r="A28" s="1995"/>
      <c r="B28" s="2005"/>
      <c r="C28" s="1955" t="s">
        <v>1026</v>
      </c>
      <c r="D28" s="844"/>
      <c r="E28" s="1956"/>
      <c r="F28" s="2464" t="s">
        <v>1492</v>
      </c>
      <c r="G28" s="2464"/>
      <c r="H28" s="2464"/>
      <c r="I28" s="838"/>
      <c r="J28" s="838"/>
      <c r="K28" s="838"/>
      <c r="L28" s="838"/>
      <c r="M28" s="838"/>
      <c r="N28" s="1996"/>
    </row>
    <row r="29" spans="1:14" x14ac:dyDescent="0.2">
      <c r="A29" s="1995"/>
      <c r="B29" s="2005"/>
      <c r="C29" s="2465"/>
      <c r="D29" s="2465"/>
      <c r="E29" s="845"/>
      <c r="F29" s="2465"/>
      <c r="G29" s="2465"/>
      <c r="H29" s="2465"/>
      <c r="I29" s="838"/>
      <c r="J29" s="838"/>
      <c r="K29" s="838"/>
      <c r="L29" s="838"/>
      <c r="M29" s="838"/>
      <c r="N29" s="1996"/>
    </row>
    <row r="30" spans="1:14" x14ac:dyDescent="0.2">
      <c r="A30" s="1995"/>
      <c r="B30" s="2005"/>
      <c r="C30" s="1958" t="s">
        <v>1544</v>
      </c>
      <c r="D30" s="838"/>
      <c r="E30" s="1957"/>
      <c r="F30" s="2449" t="s">
        <v>1493</v>
      </c>
      <c r="G30" s="2449"/>
      <c r="H30" s="2449"/>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6" t="s">
        <v>2024</v>
      </c>
      <c r="D34" s="2427"/>
      <c r="E34" s="2427"/>
      <c r="F34" s="2427"/>
      <c r="G34" s="2427"/>
      <c r="H34" s="2427"/>
      <c r="I34" s="2427"/>
      <c r="J34" s="2427"/>
      <c r="K34" s="2014"/>
      <c r="L34" s="838"/>
      <c r="M34" s="838"/>
      <c r="N34" s="1996"/>
    </row>
    <row r="35" spans="1:14" x14ac:dyDescent="0.2">
      <c r="A35" s="1995"/>
      <c r="B35" s="838"/>
      <c r="C35" s="2427"/>
      <c r="D35" s="2427"/>
      <c r="E35" s="2427"/>
      <c r="F35" s="2427"/>
      <c r="G35" s="2427"/>
      <c r="H35" s="2427"/>
      <c r="I35" s="2427"/>
      <c r="J35" s="2427"/>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6" t="s">
        <v>2025</v>
      </c>
      <c r="D37" s="2427"/>
      <c r="E37" s="2427"/>
      <c r="F37" s="2427"/>
      <c r="G37" s="2427"/>
      <c r="H37" s="2427"/>
      <c r="I37" s="2427"/>
      <c r="J37" s="2427"/>
      <c r="K37" s="2014"/>
      <c r="L37" s="2016"/>
      <c r="M37" s="838"/>
      <c r="N37" s="1996"/>
    </row>
    <row r="38" spans="1:14" x14ac:dyDescent="0.2">
      <c r="A38" s="1995"/>
      <c r="B38" s="838"/>
      <c r="C38" s="2427"/>
      <c r="D38" s="2427"/>
      <c r="E38" s="2427"/>
      <c r="F38" s="2427"/>
      <c r="G38" s="2427"/>
      <c r="H38" s="2427"/>
      <c r="I38" s="2427"/>
      <c r="J38" s="2427"/>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28" t="s">
        <v>2026</v>
      </c>
      <c r="D40" s="2429"/>
      <c r="E40" s="2429"/>
      <c r="F40" s="2429"/>
      <c r="G40" s="2429"/>
      <c r="H40" s="2429"/>
      <c r="I40" s="2429"/>
      <c r="J40" s="2429"/>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0" t="s">
        <v>2027</v>
      </c>
      <c r="B43" s="2431"/>
      <c r="C43" s="2431"/>
      <c r="D43" s="2431"/>
      <c r="E43" s="2431"/>
      <c r="F43" s="2431"/>
      <c r="G43" s="2431"/>
      <c r="H43" s="2431"/>
      <c r="I43" s="2431"/>
      <c r="J43" s="2431"/>
      <c r="K43" s="2431"/>
      <c r="L43" s="2431"/>
      <c r="M43" s="2431"/>
      <c r="N43" s="2432"/>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33" t="s">
        <v>2029</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36" t="str">
        <f>J6</f>
        <v xml:space="preserve">  Raccoon Cons SD 1</v>
      </c>
      <c r="M52" s="2436"/>
      <c r="N52" s="2437"/>
    </row>
    <row r="53" spans="1:14" x14ac:dyDescent="0.2">
      <c r="A53" s="1980"/>
      <c r="B53" s="1981"/>
      <c r="C53" s="1981"/>
      <c r="D53" s="1981"/>
      <c r="E53" s="1981"/>
      <c r="F53" s="1981"/>
      <c r="G53" s="1981"/>
      <c r="H53" s="1981"/>
      <c r="I53" s="1981"/>
      <c r="J53" s="1981"/>
      <c r="K53" s="1922" t="s">
        <v>369</v>
      </c>
      <c r="L53" s="2438">
        <f>J7</f>
        <v>13058001003</v>
      </c>
      <c r="M53" s="2438"/>
      <c r="N53" s="2439"/>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0"/>
      <c r="B55" s="2441"/>
      <c r="C55" s="2441"/>
      <c r="D55" s="1968"/>
      <c r="E55" s="1968"/>
      <c r="F55" s="1968"/>
      <c r="G55" s="2442" t="s">
        <v>2030</v>
      </c>
      <c r="H55" s="2442"/>
      <c r="I55" s="2442"/>
      <c r="J55" s="2442"/>
      <c r="K55" s="2442"/>
      <c r="L55" s="2442"/>
      <c r="M55" s="2442"/>
      <c r="N55" s="2443"/>
    </row>
    <row r="56" spans="1:14" ht="63.75" x14ac:dyDescent="0.2">
      <c r="A56" s="2444" t="s">
        <v>2031</v>
      </c>
      <c r="B56" s="2445"/>
      <c r="C56" s="2446"/>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47" t="s">
        <v>296</v>
      </c>
      <c r="B57" s="2448"/>
      <c r="C57" s="2448"/>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24" t="s">
        <v>2041</v>
      </c>
      <c r="B58" s="2425"/>
      <c r="C58" s="2425"/>
      <c r="D58" s="1965">
        <v>2362</v>
      </c>
      <c r="E58" s="1975">
        <f>'Expenditures 15-22'!K320</f>
        <v>0</v>
      </c>
      <c r="F58" s="1970"/>
      <c r="G58" s="2029"/>
      <c r="H58" s="2030"/>
      <c r="I58" s="2030"/>
      <c r="J58" s="2030"/>
      <c r="K58" s="2030"/>
      <c r="L58" s="2030"/>
      <c r="M58" s="2030"/>
      <c r="N58" s="1973">
        <f>IF((SUM(G58:M58))=E58,SUM(G58:M58),"Column N does not agree with Column E")</f>
        <v>0</v>
      </c>
    </row>
    <row r="59" spans="1:14" ht="24.75" customHeight="1" x14ac:dyDescent="0.2">
      <c r="A59" s="2418" t="s">
        <v>297</v>
      </c>
      <c r="B59" s="2419"/>
      <c r="C59" s="2419"/>
      <c r="D59" s="1965">
        <v>2363</v>
      </c>
      <c r="E59" s="1975">
        <f>'Expenditures 15-22'!K321</f>
        <v>824</v>
      </c>
      <c r="F59" s="1970"/>
      <c r="G59" s="2029"/>
      <c r="H59" s="2030"/>
      <c r="I59" s="2030"/>
      <c r="J59" s="2030"/>
      <c r="K59" s="2030"/>
      <c r="L59" s="2030"/>
      <c r="M59" s="2030">
        <v>824</v>
      </c>
      <c r="N59" s="1973">
        <f>IF((SUM(G59:M59))=E59,SUM(G59:M59),"Column N does not agree with Column E")</f>
        <v>824</v>
      </c>
    </row>
    <row r="60" spans="1:14" ht="24" customHeight="1" x14ac:dyDescent="0.2">
      <c r="A60" s="2418" t="s">
        <v>236</v>
      </c>
      <c r="B60" s="2419"/>
      <c r="C60" s="2419"/>
      <c r="D60" s="1965">
        <v>2364</v>
      </c>
      <c r="E60" s="1975">
        <f>'Expenditures 15-22'!K322</f>
        <v>39135</v>
      </c>
      <c r="F60" s="1970"/>
      <c r="G60" s="2029"/>
      <c r="H60" s="2030"/>
      <c r="I60" s="2030"/>
      <c r="J60" s="2030"/>
      <c r="K60" s="2030"/>
      <c r="L60" s="2030"/>
      <c r="M60" s="2030">
        <v>39135</v>
      </c>
      <c r="N60" s="1973">
        <f t="shared" ref="N60:N67" si="4">IF((SUM(G60:M60))=E60,SUM(G60:M60),"Column N does not agree with Column E")</f>
        <v>39135</v>
      </c>
    </row>
    <row r="61" spans="1:14" ht="24.75" customHeight="1" x14ac:dyDescent="0.2">
      <c r="A61" s="2418" t="s">
        <v>697</v>
      </c>
      <c r="B61" s="2419"/>
      <c r="C61" s="2419"/>
      <c r="D61" s="1965">
        <v>2365</v>
      </c>
      <c r="E61" s="1975">
        <f>'Expenditures 15-22'!K323</f>
        <v>17030</v>
      </c>
      <c r="F61" s="1970"/>
      <c r="G61" s="2029"/>
      <c r="H61" s="2030"/>
      <c r="I61" s="2030"/>
      <c r="J61" s="2030"/>
      <c r="K61" s="2030"/>
      <c r="L61" s="2030"/>
      <c r="M61" s="2030">
        <v>17030</v>
      </c>
      <c r="N61" s="1973">
        <f t="shared" si="4"/>
        <v>17030</v>
      </c>
    </row>
    <row r="62" spans="1:14" ht="24" customHeight="1" x14ac:dyDescent="0.2">
      <c r="A62" s="2418" t="s">
        <v>237</v>
      </c>
      <c r="B62" s="2419"/>
      <c r="C62" s="2419"/>
      <c r="D62" s="1965">
        <v>2366</v>
      </c>
      <c r="E62" s="1975">
        <f>'Expenditures 15-22'!K324</f>
        <v>0</v>
      </c>
      <c r="F62" s="1970"/>
      <c r="G62" s="2029"/>
      <c r="H62" s="2030"/>
      <c r="I62" s="2030"/>
      <c r="J62" s="2030"/>
      <c r="K62" s="2030"/>
      <c r="L62" s="2030"/>
      <c r="M62" s="2030"/>
      <c r="N62" s="1973">
        <f t="shared" si="4"/>
        <v>0</v>
      </c>
    </row>
    <row r="63" spans="1:14" ht="24" customHeight="1" x14ac:dyDescent="0.2">
      <c r="A63" s="2424" t="s">
        <v>1022</v>
      </c>
      <c r="B63" s="2425"/>
      <c r="C63" s="2425"/>
      <c r="D63" s="1965">
        <v>2367</v>
      </c>
      <c r="E63" s="1975">
        <f>'Expenditures 15-22'!K325</f>
        <v>0</v>
      </c>
      <c r="F63" s="1970"/>
      <c r="G63" s="2029"/>
      <c r="H63" s="2030"/>
      <c r="I63" s="2030"/>
      <c r="J63" s="2030"/>
      <c r="K63" s="2030"/>
      <c r="L63" s="2030"/>
      <c r="M63" s="2030"/>
      <c r="N63" s="1973">
        <f t="shared" si="4"/>
        <v>0</v>
      </c>
    </row>
    <row r="64" spans="1:14" ht="24" customHeight="1" x14ac:dyDescent="0.2">
      <c r="A64" s="2418" t="s">
        <v>1023</v>
      </c>
      <c r="B64" s="2419"/>
      <c r="C64" s="2419"/>
      <c r="D64" s="1965">
        <v>2368</v>
      </c>
      <c r="E64" s="1975">
        <f>'Expenditures 15-22'!K326</f>
        <v>0</v>
      </c>
      <c r="F64" s="1970"/>
      <c r="G64" s="2029"/>
      <c r="H64" s="2030"/>
      <c r="I64" s="2030"/>
      <c r="J64" s="2030"/>
      <c r="K64" s="2030"/>
      <c r="L64" s="2030"/>
      <c r="M64" s="2030"/>
      <c r="N64" s="1973">
        <f t="shared" si="4"/>
        <v>0</v>
      </c>
    </row>
    <row r="65" spans="1:14" ht="24" customHeight="1" x14ac:dyDescent="0.2">
      <c r="A65" s="2418" t="s">
        <v>965</v>
      </c>
      <c r="B65" s="2419"/>
      <c r="C65" s="2419"/>
      <c r="D65" s="1965">
        <v>2369</v>
      </c>
      <c r="E65" s="1975">
        <f>'Expenditures 15-22'!K327</f>
        <v>2103</v>
      </c>
      <c r="F65" s="1970"/>
      <c r="G65" s="2029"/>
      <c r="H65" s="2030"/>
      <c r="I65" s="2030"/>
      <c r="J65" s="2030"/>
      <c r="K65" s="2030"/>
      <c r="L65" s="2030"/>
      <c r="M65" s="2030">
        <v>2103</v>
      </c>
      <c r="N65" s="1973">
        <f t="shared" si="4"/>
        <v>2103</v>
      </c>
    </row>
    <row r="66" spans="1:14" ht="24" customHeight="1" x14ac:dyDescent="0.2">
      <c r="A66" s="2418" t="s">
        <v>469</v>
      </c>
      <c r="B66" s="2419"/>
      <c r="C66" s="2419"/>
      <c r="D66" s="1965">
        <v>2371</v>
      </c>
      <c r="E66" s="1975">
        <f>'Expenditures 15-22'!K328</f>
        <v>0</v>
      </c>
      <c r="F66" s="1970"/>
      <c r="G66" s="2029"/>
      <c r="H66" s="2030"/>
      <c r="I66" s="2030"/>
      <c r="J66" s="2030"/>
      <c r="K66" s="2030"/>
      <c r="L66" s="2030"/>
      <c r="M66" s="2030"/>
      <c r="N66" s="1973">
        <f t="shared" si="4"/>
        <v>0</v>
      </c>
    </row>
    <row r="67" spans="1:14" ht="24.75" customHeight="1" x14ac:dyDescent="0.2">
      <c r="A67" s="2420" t="s">
        <v>2042</v>
      </c>
      <c r="B67" s="2421"/>
      <c r="C67" s="2421"/>
      <c r="D67" s="1967">
        <v>2372</v>
      </c>
      <c r="E67" s="1976">
        <f>'Expenditures 15-22'!K329</f>
        <v>0</v>
      </c>
      <c r="F67" s="1970"/>
      <c r="G67" s="2031"/>
      <c r="H67" s="2032"/>
      <c r="I67" s="2032"/>
      <c r="J67" s="2032"/>
      <c r="K67" s="2032"/>
      <c r="L67" s="2032"/>
      <c r="M67" s="2032"/>
      <c r="N67" s="1973">
        <f t="shared" si="4"/>
        <v>0</v>
      </c>
    </row>
    <row r="68" spans="1:14" x14ac:dyDescent="0.2">
      <c r="A68" s="2422" t="s">
        <v>1151</v>
      </c>
      <c r="B68" s="2423"/>
      <c r="C68" s="2423"/>
      <c r="D68" s="1968"/>
      <c r="E68" s="1972">
        <f>SUM(E57:E67)</f>
        <v>59092</v>
      </c>
      <c r="F68" s="1971"/>
      <c r="G68" s="1972">
        <f t="shared" ref="G68:N68" si="5">SUM(G57:G67)</f>
        <v>0</v>
      </c>
      <c r="H68" s="1972">
        <f t="shared" si="5"/>
        <v>0</v>
      </c>
      <c r="I68" s="1972">
        <f t="shared" si="5"/>
        <v>0</v>
      </c>
      <c r="J68" s="1972">
        <f t="shared" si="5"/>
        <v>0</v>
      </c>
      <c r="K68" s="1972">
        <f t="shared" si="5"/>
        <v>0</v>
      </c>
      <c r="L68" s="1972">
        <f t="shared" si="5"/>
        <v>0</v>
      </c>
      <c r="M68" s="1972">
        <f t="shared" si="5"/>
        <v>59092</v>
      </c>
      <c r="N68" s="1986">
        <f t="shared" si="5"/>
        <v>59092</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6999999999999995" right="0.5" top="0.71" bottom="0.5" header="0.3" footer="0.3"/>
  <pageSetup scale="73" firstPageNumber="38" fitToHeight="0" orientation="landscape" useFirstPageNumber="1" r:id="rId1"/>
  <headerFooter>
    <oddFooter xml:space="preserve">&amp;C&amp;14
</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2" sqref="B2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2070</v>
      </c>
    </row>
    <row r="6" spans="1:2" x14ac:dyDescent="0.2">
      <c r="A6" s="847">
        <v>2</v>
      </c>
      <c r="B6" s="307" t="s">
        <v>2071</v>
      </c>
    </row>
    <row r="7" spans="1:2" x14ac:dyDescent="0.2">
      <c r="A7" s="847">
        <v>3</v>
      </c>
      <c r="B7" s="2033" t="s">
        <v>2072</v>
      </c>
    </row>
    <row r="8" spans="1:2" x14ac:dyDescent="0.2">
      <c r="A8" s="847">
        <v>4</v>
      </c>
      <c r="B8" s="307" t="s">
        <v>2073</v>
      </c>
    </row>
    <row r="9" spans="1:2" x14ac:dyDescent="0.2">
      <c r="A9" s="848">
        <v>5</v>
      </c>
      <c r="B9" s="307" t="s">
        <v>2074</v>
      </c>
    </row>
    <row r="10" spans="1:2" x14ac:dyDescent="0.2">
      <c r="A10" s="848">
        <v>6</v>
      </c>
      <c r="B10" s="307" t="s">
        <v>2075</v>
      </c>
    </row>
    <row r="11" spans="1:2" x14ac:dyDescent="0.2">
      <c r="A11" s="848">
        <v>7</v>
      </c>
      <c r="B11" s="307" t="s">
        <v>2076</v>
      </c>
    </row>
    <row r="12" spans="1:2" x14ac:dyDescent="0.2">
      <c r="A12" s="848">
        <v>8</v>
      </c>
      <c r="B12" s="307" t="s">
        <v>2077</v>
      </c>
    </row>
    <row r="13" spans="1:2" x14ac:dyDescent="0.2">
      <c r="A13" s="848">
        <v>9</v>
      </c>
      <c r="B13" s="307" t="s">
        <v>2078</v>
      </c>
    </row>
    <row r="14" spans="1:2" x14ac:dyDescent="0.2">
      <c r="A14" s="848">
        <v>10</v>
      </c>
      <c r="B14" s="307" t="s">
        <v>2079</v>
      </c>
    </row>
    <row r="15" spans="1:2" x14ac:dyDescent="0.2">
      <c r="A15" s="848">
        <v>11</v>
      </c>
      <c r="B15" s="307" t="s">
        <v>2080</v>
      </c>
    </row>
    <row r="16" spans="1:2" x14ac:dyDescent="0.2">
      <c r="A16" s="848">
        <v>12</v>
      </c>
      <c r="B16" s="307" t="s">
        <v>2081</v>
      </c>
    </row>
    <row r="17" spans="1:2" x14ac:dyDescent="0.2">
      <c r="A17" s="848">
        <v>13</v>
      </c>
      <c r="B17" s="307" t="s">
        <v>2082</v>
      </c>
    </row>
    <row r="18" spans="1:2" x14ac:dyDescent="0.2">
      <c r="A18" s="848">
        <v>14</v>
      </c>
      <c r="B18" s="307" t="s">
        <v>2083</v>
      </c>
    </row>
    <row r="19" spans="1:2" x14ac:dyDescent="0.2">
      <c r="A19" s="848">
        <v>15</v>
      </c>
      <c r="B19" s="307" t="s">
        <v>2084</v>
      </c>
    </row>
    <row r="20" spans="1:2" x14ac:dyDescent="0.2">
      <c r="A20" s="848">
        <v>16</v>
      </c>
      <c r="B20" s="307" t="s">
        <v>2087</v>
      </c>
    </row>
    <row r="21" spans="1:2" x14ac:dyDescent="0.2">
      <c r="A21" s="848">
        <v>17</v>
      </c>
      <c r="B21" s="307" t="s">
        <v>2096</v>
      </c>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row>
    <row r="65" spans="2:2" x14ac:dyDescent="0.2">
      <c r="B65" s="849"/>
    </row>
  </sheetData>
  <phoneticPr fontId="15" type="noConversion"/>
  <pageMargins left="0.69" right="0.2" top="1.31" bottom="0.9" header="0.91" footer="0.43"/>
  <pageSetup scale="80" firstPageNumber="49" orientation="portrait" useFirstPageNumber="1" r:id="rId1"/>
  <headerFooter alignWithMargins="0">
    <oddHeader xml:space="preserve">&amp;C Raccoon Consolidated School District 1 </oddHeader>
    <oddFooter>&amp;C&amp;14-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1"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K7" sqref="K7"/>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autoPict="0" r:id="rId5">
            <anchor moveWithCells="1">
              <from>
                <xdr:col>2</xdr:col>
                <xdr:colOff>0</xdr:colOff>
                <xdr:row>1</xdr:row>
                <xdr:rowOff>0</xdr:rowOff>
              </from>
              <to>
                <xdr:col>3</xdr:col>
                <xdr:colOff>457200</xdr:colOff>
                <xdr:row>5</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4</xdr:col>
                <xdr:colOff>0</xdr:colOff>
                <xdr:row>1</xdr:row>
                <xdr:rowOff>0</xdr:rowOff>
              </from>
              <to>
                <xdr:col>5</xdr:col>
                <xdr:colOff>323850</xdr:colOff>
                <xdr:row>5</xdr:row>
                <xdr:rowOff>142875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6</xdr:col>
                <xdr:colOff>0</xdr:colOff>
                <xdr:row>1</xdr:row>
                <xdr:rowOff>0</xdr:rowOff>
              </from>
              <to>
                <xdr:col>7</xdr:col>
                <xdr:colOff>323850</xdr:colOff>
                <xdr:row>5</xdr:row>
                <xdr:rowOff>142875</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1972</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1670</v>
      </c>
      <c r="B6" s="2484"/>
      <c r="C6" s="2484"/>
      <c r="D6" s="2484"/>
      <c r="E6" s="2484"/>
      <c r="F6" s="248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1842646</v>
      </c>
      <c r="C8" s="1813">
        <f>'Acct Summary 7-8'!D8</f>
        <v>251270</v>
      </c>
      <c r="D8" s="1813">
        <f>'Acct Summary 7-8'!F8</f>
        <v>202612</v>
      </c>
      <c r="E8" s="1813">
        <f>'Acct Summary 7-8'!I8</f>
        <v>15421</v>
      </c>
      <c r="F8" s="1813">
        <f>SUM(B8:E8)</f>
        <v>2311949</v>
      </c>
    </row>
    <row r="9" spans="1:8" s="858" customFormat="1" ht="14.25" customHeight="1" thickBot="1" x14ac:dyDescent="0.25">
      <c r="A9" s="857" t="s">
        <v>1353</v>
      </c>
      <c r="B9" s="1814">
        <f>'Acct Summary 7-8'!C17</f>
        <v>1773768</v>
      </c>
      <c r="C9" s="1814">
        <f>'Acct Summary 7-8'!D17</f>
        <v>237211</v>
      </c>
      <c r="D9" s="1814">
        <f>'Acct Summary 7-8'!F17</f>
        <v>202088</v>
      </c>
      <c r="E9" s="1813"/>
      <c r="F9" s="1813">
        <f>SUM(B9:E9)</f>
        <v>2213067</v>
      </c>
    </row>
    <row r="10" spans="1:8" s="858" customFormat="1" ht="14.25" thickTop="1" thickBot="1" x14ac:dyDescent="0.25">
      <c r="A10" s="859" t="s">
        <v>1354</v>
      </c>
      <c r="B10" s="1815">
        <f>(B8-B9)</f>
        <v>68878</v>
      </c>
      <c r="C10" s="1815">
        <f>(C8-C9)</f>
        <v>14059</v>
      </c>
      <c r="D10" s="1815">
        <f>(D8-D9)</f>
        <v>524</v>
      </c>
      <c r="E10" s="1814">
        <f>(E8-E9)</f>
        <v>15421</v>
      </c>
      <c r="F10" s="1816">
        <f>SUM(F8-F9)</f>
        <v>98882</v>
      </c>
    </row>
    <row r="11" spans="1:8" s="858" customFormat="1" ht="14.25" thickTop="1" thickBot="1" x14ac:dyDescent="0.25">
      <c r="A11" s="860" t="s">
        <v>1903</v>
      </c>
      <c r="B11" s="1817">
        <f>'Acct Summary 7-8'!C81</f>
        <v>782044</v>
      </c>
      <c r="C11" s="1817">
        <f>'Acct Summary 7-8'!D81</f>
        <v>56263</v>
      </c>
      <c r="D11" s="1817">
        <f>'Acct Summary 7-8'!F81</f>
        <v>211598</v>
      </c>
      <c r="E11" s="1817">
        <f>'Acct Summary 7-8'!I81</f>
        <v>267397</v>
      </c>
      <c r="F11" s="1818">
        <f>SUM(B11:E11)</f>
        <v>1317302</v>
      </c>
    </row>
    <row r="12" spans="1:8" ht="16.5" customHeight="1" thickTop="1" x14ac:dyDescent="0.2">
      <c r="A12" s="861"/>
      <c r="B12" s="862"/>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1666</v>
      </c>
      <c r="B16" s="2470"/>
      <c r="C16" s="2470"/>
      <c r="D16" s="2470"/>
      <c r="E16" s="247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election activeCell="J23" sqref="J2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2" t="s">
        <v>660</v>
      </c>
      <c r="B3" s="2493"/>
      <c r="C3" s="2493"/>
      <c r="D3" s="2494"/>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3" t="s">
        <v>1487</v>
      </c>
      <c r="D7" s="2504"/>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7" t="s">
        <v>311</v>
      </c>
      <c r="D21" s="2508"/>
    </row>
    <row r="22" spans="1:10" ht="12.75" x14ac:dyDescent="0.2">
      <c r="A22" s="918"/>
      <c r="B22" s="919">
        <v>2</v>
      </c>
      <c r="C22" s="2505" t="s">
        <v>1507</v>
      </c>
      <c r="D22" s="250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1" t="s">
        <v>779</v>
      </c>
      <c r="D56" s="250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1" t="s">
        <v>1674</v>
      </c>
      <c r="D70" s="250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0" t="str">
        <f>IF('Contracts Paid in CY 29'!$D$35&gt;0,"OK","PLEASE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13058001003</v>
      </c>
      <c r="E2" s="1542">
        <v>2020</v>
      </c>
      <c r="F2" s="1542">
        <v>1</v>
      </c>
      <c r="G2" s="1898">
        <v>101000300</v>
      </c>
    </row>
    <row r="3" spans="1:7" ht="15" x14ac:dyDescent="0.25">
      <c r="A3" t="s">
        <v>950</v>
      </c>
      <c r="B3" s="135" t="str">
        <f>COVER!A15</f>
        <v>Marion - Jefferson</v>
      </c>
      <c r="E3" s="1830" t="s">
        <v>1971</v>
      </c>
      <c r="F3" s="1830" t="s">
        <v>1970</v>
      </c>
      <c r="G3" s="1898">
        <v>101000400</v>
      </c>
    </row>
    <row r="4" spans="1:7" ht="15" x14ac:dyDescent="0.25">
      <c r="A4" t="s">
        <v>1000</v>
      </c>
      <c r="B4" s="135" t="str">
        <f>COVER!A17</f>
        <v xml:space="preserve">  Raccoon Cons SD 1</v>
      </c>
      <c r="E4" s="1828">
        <v>44119</v>
      </c>
      <c r="F4" s="1829">
        <v>44151</v>
      </c>
      <c r="G4" s="1898">
        <v>101000600</v>
      </c>
    </row>
    <row r="5" spans="1:7" ht="15" x14ac:dyDescent="0.25">
      <c r="A5" t="s">
        <v>699</v>
      </c>
      <c r="B5" s="135" t="str">
        <f>COVER!A38</f>
        <v>Misty Johannes</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f>IF(COVER!J30="x","Yes",IF(COVER!L30="x","No",0))</f>
        <v>0</v>
      </c>
      <c r="G13" s="1898">
        <v>202100800</v>
      </c>
    </row>
    <row r="14" spans="1:7" ht="15" x14ac:dyDescent="0.25">
      <c r="A14" t="s">
        <v>473</v>
      </c>
      <c r="B14" s="135">
        <f>IF(COVER!J31="x","Yes",IF(COVER!L31="x","No",0))</f>
        <v>0</v>
      </c>
      <c r="G14" s="1898">
        <v>402100300</v>
      </c>
    </row>
    <row r="15" spans="1:7" ht="15" x14ac:dyDescent="0.25">
      <c r="A15" t="s">
        <v>573</v>
      </c>
      <c r="B15" s="135" t="str">
        <f>COVER!T23</f>
        <v>066-005231</v>
      </c>
      <c r="G15" s="1898">
        <v>402100400</v>
      </c>
    </row>
    <row r="16" spans="1:7" ht="15" x14ac:dyDescent="0.25">
      <c r="A16" t="s">
        <v>419</v>
      </c>
      <c r="B16" s="135" t="str">
        <f>COVER!T13</f>
        <v>Leymone Hardcastle &amp; Co., Ltd.</v>
      </c>
      <c r="G16" s="1898">
        <v>402100600</v>
      </c>
    </row>
    <row r="17" spans="1:7" ht="15" x14ac:dyDescent="0.25">
      <c r="A17" t="s">
        <v>878</v>
      </c>
      <c r="B17" s="135" t="str">
        <f>COVER!T15</f>
        <v>Sara E. Hanks</v>
      </c>
      <c r="G17" s="1898">
        <v>402100800</v>
      </c>
    </row>
    <row r="18" spans="1:7" ht="15" x14ac:dyDescent="0.25">
      <c r="A18" t="s">
        <v>1140</v>
      </c>
      <c r="B18" s="135" t="str">
        <f>COVER!T17</f>
        <v>200 West Main Street</v>
      </c>
      <c r="G18" s="1898">
        <v>102200300</v>
      </c>
    </row>
    <row r="19" spans="1:7" ht="15" x14ac:dyDescent="0.25">
      <c r="A19" t="s">
        <v>880</v>
      </c>
      <c r="B19" s="135" t="str">
        <f>COVER!T25</f>
        <v>sara@hardcastlecpa.com</v>
      </c>
      <c r="G19" s="1898">
        <v>102200400</v>
      </c>
    </row>
    <row r="20" spans="1:7" ht="15" x14ac:dyDescent="0.25">
      <c r="A20" t="s">
        <v>881</v>
      </c>
      <c r="B20" s="135" t="str">
        <f>COVER!T19</f>
        <v>Salem</v>
      </c>
      <c r="G20" s="1898">
        <v>102200600</v>
      </c>
    </row>
    <row r="21" spans="1:7" ht="15" x14ac:dyDescent="0.25">
      <c r="A21" t="s">
        <v>476</v>
      </c>
      <c r="B21" s="135" t="str">
        <f>COVER!X19</f>
        <v>IL</v>
      </c>
      <c r="G21" s="1898">
        <v>102200800</v>
      </c>
    </row>
    <row r="22" spans="1:7" ht="15" x14ac:dyDescent="0.25">
      <c r="A22" t="s">
        <v>882</v>
      </c>
      <c r="B22" s="135">
        <f>COVER!Z19</f>
        <v>62881</v>
      </c>
      <c r="G22" s="1898">
        <v>102300300</v>
      </c>
    </row>
    <row r="23" spans="1:7" ht="15" x14ac:dyDescent="0.25">
      <c r="A23" t="s">
        <v>1142</v>
      </c>
      <c r="B23" s="135" t="str">
        <f>COVER!T21</f>
        <v>618-548-1002</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Yes</v>
      </c>
      <c r="G49" s="1898">
        <v>102540800</v>
      </c>
    </row>
    <row r="50" spans="1:7" ht="15" x14ac:dyDescent="0.25">
      <c r="A50" s="1" t="s">
        <v>1463</v>
      </c>
      <c r="B50" s="146">
        <f>'Aud Quest 2'!H53</f>
        <v>36161</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205800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782044</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735883</v>
      </c>
      <c r="D92" s="2" t="str">
        <f t="shared" si="0"/>
        <v>Error?</v>
      </c>
      <c r="G92" s="1898">
        <v>102640600</v>
      </c>
    </row>
    <row r="93" spans="1:7" ht="15" x14ac:dyDescent="0.25">
      <c r="A93" s="5">
        <v>32</v>
      </c>
      <c r="B93" s="1832">
        <f>'Assets-Liab 5-6'!C41</f>
        <v>782044</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56263</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56263</v>
      </c>
      <c r="D123" s="2" t="str">
        <f t="shared" si="0"/>
        <v>Error?</v>
      </c>
      <c r="G123" s="1898">
        <v>203000400</v>
      </c>
    </row>
    <row r="124" spans="1:7" ht="15" x14ac:dyDescent="0.25">
      <c r="A124" s="5">
        <v>63</v>
      </c>
      <c r="B124" s="1832">
        <f>'Assets-Liab 5-6'!D41</f>
        <v>56263</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v>
      </c>
      <c r="D140" s="2" t="str">
        <f t="shared" si="1"/>
        <v>Error?</v>
      </c>
    </row>
    <row r="141" spans="1:7" x14ac:dyDescent="0.2">
      <c r="A141" s="5">
        <v>80</v>
      </c>
      <c r="B141" s="1832">
        <f>'Assets-Liab 5-6'!E41</f>
        <v>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211598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211598</v>
      </c>
      <c r="D170" s="2" t="str">
        <f t="shared" si="1"/>
        <v>Error?</v>
      </c>
    </row>
    <row r="171" spans="1:4" x14ac:dyDescent="0.2">
      <c r="A171" s="5">
        <v>110</v>
      </c>
      <c r="B171" s="1832">
        <f>'Assets-Liab 5-6'!F41</f>
        <v>211598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165843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62332</v>
      </c>
      <c r="D189" s="2" t="str">
        <f t="shared" si="1"/>
        <v>Error?</v>
      </c>
    </row>
    <row r="190" spans="1:4" x14ac:dyDescent="0.2">
      <c r="A190" s="5">
        <v>129</v>
      </c>
      <c r="B190" s="1832">
        <f>'Assets-Liab 5-6'!G41</f>
        <v>165843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130052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130052</v>
      </c>
      <c r="D212" s="2" t="str">
        <f t="shared" si="2"/>
        <v>Error?</v>
      </c>
    </row>
    <row r="213" spans="1:4" x14ac:dyDescent="0.2">
      <c r="A213" s="12">
        <v>152</v>
      </c>
      <c r="B213" s="1832">
        <f>'Assets-Liab 5-6'!H41</f>
        <v>130052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1314</v>
      </c>
      <c r="D273" s="2" t="str">
        <f t="shared" si="3"/>
        <v>Error?</v>
      </c>
    </row>
    <row r="274" spans="1:4" x14ac:dyDescent="0.2">
      <c r="A274" s="5">
        <v>213</v>
      </c>
      <c r="B274" s="1832">
        <f>'Assets-Liab 5-6'!M17</f>
        <v>1027694</v>
      </c>
      <c r="D274" s="2" t="str">
        <f t="shared" si="3"/>
        <v>Error?</v>
      </c>
    </row>
    <row r="275" spans="1:4" x14ac:dyDescent="0.2">
      <c r="A275" s="5">
        <v>214</v>
      </c>
      <c r="B275" s="1832">
        <f>'Assets-Liab 5-6'!M18</f>
        <v>986174</v>
      </c>
      <c r="D275" s="2" t="str">
        <f t="shared" si="3"/>
        <v>Error?</v>
      </c>
    </row>
    <row r="276" spans="1:4" x14ac:dyDescent="0.2">
      <c r="A276" s="5">
        <v>215</v>
      </c>
      <c r="B276" s="1832">
        <f>'Assets-Liab 5-6'!M19</f>
        <v>735318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2750500</v>
      </c>
      <c r="C279" s="2" t="s">
        <v>569</v>
      </c>
      <c r="D279" s="2" t="str">
        <f t="shared" si="3"/>
        <v>Error?</v>
      </c>
    </row>
    <row r="280" spans="1:4" x14ac:dyDescent="0.2">
      <c r="A280" s="5">
        <v>219</v>
      </c>
      <c r="B280" s="1832">
        <f>'Assets-Liab 5-6'!M40</f>
        <v>2750500</v>
      </c>
      <c r="D280" s="2" t="str">
        <f t="shared" si="3"/>
        <v>Error?</v>
      </c>
    </row>
    <row r="281" spans="1:4" x14ac:dyDescent="0.2">
      <c r="A281" s="5">
        <v>220</v>
      </c>
      <c r="B281" s="1832">
        <f>'Assets-Liab 5-6'!M41</f>
        <v>2750500</v>
      </c>
      <c r="C281" s="2" t="s">
        <v>569</v>
      </c>
      <c r="D281" s="2" t="str">
        <f t="shared" si="3"/>
        <v>Error?</v>
      </c>
    </row>
    <row r="282" spans="1:4" x14ac:dyDescent="0.2">
      <c r="A282" s="5">
        <v>221</v>
      </c>
      <c r="B282" s="1832">
        <f>'Assets-Liab 5-6'!N21</f>
        <v>1</v>
      </c>
      <c r="D282" s="2" t="str">
        <f t="shared" si="3"/>
        <v>Error?</v>
      </c>
    </row>
    <row r="283" spans="1:4" x14ac:dyDescent="0.2">
      <c r="A283" s="5">
        <v>222</v>
      </c>
      <c r="B283" s="1832">
        <f>'Assets-Liab 5-6'!N22</f>
        <v>205799</v>
      </c>
      <c r="D283" s="2" t="str">
        <f t="shared" si="3"/>
        <v>Error?</v>
      </c>
    </row>
    <row r="284" spans="1:4" x14ac:dyDescent="0.2">
      <c r="A284" s="5">
        <v>223</v>
      </c>
      <c r="B284" s="1832">
        <f>'Assets-Liab 5-6'!N23</f>
        <v>205800</v>
      </c>
      <c r="C284" s="2" t="s">
        <v>569</v>
      </c>
      <c r="D284" s="2" t="str">
        <f t="shared" si="3"/>
        <v>Error?</v>
      </c>
    </row>
    <row r="285" spans="1:4" x14ac:dyDescent="0.2">
      <c r="A285" s="5">
        <v>224</v>
      </c>
      <c r="B285" s="1832">
        <f>'Assets-Liab 5-6'!N36</f>
        <v>205800</v>
      </c>
      <c r="D285" s="2" t="str">
        <f t="shared" si="3"/>
        <v>Error?</v>
      </c>
    </row>
    <row r="286" spans="1:4" x14ac:dyDescent="0.2">
      <c r="A286" s="10">
        <v>225</v>
      </c>
      <c r="B286" s="1832"/>
      <c r="D286" s="2" t="str">
        <f t="shared" si="3"/>
        <v>OK</v>
      </c>
    </row>
    <row r="287" spans="1:4" x14ac:dyDescent="0.2">
      <c r="A287" s="5">
        <v>226</v>
      </c>
      <c r="B287" s="1832">
        <f>'Assets-Liab 5-6'!N37</f>
        <v>205800</v>
      </c>
      <c r="C287" s="2" t="s">
        <v>569</v>
      </c>
      <c r="D287" s="2" t="str">
        <f t="shared" si="3"/>
        <v>Error?</v>
      </c>
    </row>
    <row r="288" spans="1:4" x14ac:dyDescent="0.2">
      <c r="A288" s="5">
        <v>227</v>
      </c>
      <c r="B288" s="1832">
        <f>'Assets-Liab 5-6'!N41</f>
        <v>205800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722712</v>
      </c>
      <c r="D705" s="2" t="str">
        <f t="shared" si="10"/>
        <v>Error?</v>
      </c>
    </row>
    <row r="706" spans="1:4" x14ac:dyDescent="0.2">
      <c r="A706" s="5">
        <v>645</v>
      </c>
      <c r="B706" s="1832">
        <f>'Expenditures 15-22'!C16</f>
        <v>1000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17406</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1063137</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10218</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1728</v>
      </c>
      <c r="D726" s="2" t="str">
        <f t="shared" si="10"/>
        <v>Error?</v>
      </c>
    </row>
    <row r="727" spans="1:4" x14ac:dyDescent="0.2">
      <c r="A727" s="5">
        <v>666</v>
      </c>
      <c r="B727" s="1832">
        <f>'Expenditures 15-22'!C42</f>
        <v>11946</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2588</v>
      </c>
      <c r="D732" s="2" t="str">
        <f t="shared" si="10"/>
        <v>Error?</v>
      </c>
    </row>
    <row r="733" spans="1:4" x14ac:dyDescent="0.2">
      <c r="A733" s="5">
        <v>672</v>
      </c>
      <c r="B733" s="1832">
        <f>'Expenditures 15-22'!C50</f>
        <v>98118</v>
      </c>
      <c r="D733" s="2" t="str">
        <f t="shared" si="10"/>
        <v>Error?</v>
      </c>
    </row>
    <row r="734" spans="1:4" x14ac:dyDescent="0.2">
      <c r="A734" s="5">
        <v>673</v>
      </c>
      <c r="B734" s="1832">
        <f>'Expenditures 15-22'!C53</f>
        <v>100706</v>
      </c>
      <c r="C734" s="2" t="s">
        <v>569</v>
      </c>
      <c r="D734" s="2" t="str">
        <f t="shared" si="10"/>
        <v>Error?</v>
      </c>
    </row>
    <row r="735" spans="1:4" x14ac:dyDescent="0.2">
      <c r="A735" s="5">
        <v>674</v>
      </c>
      <c r="B735" s="1832">
        <f>'Expenditures 15-22'!C55</f>
        <v>29426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29426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46879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50544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97423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239501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1302638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80403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109402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81</v>
      </c>
      <c r="D784" s="2" t="str">
        <f t="shared" si="11"/>
        <v>Error?</v>
      </c>
    </row>
    <row r="785" spans="1:4" x14ac:dyDescent="0.2">
      <c r="A785" s="5">
        <v>724</v>
      </c>
      <c r="B785" s="1832">
        <f>'Expenditures 15-22'!D42</f>
        <v>81</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12672</v>
      </c>
      <c r="D791" s="2" t="str">
        <f t="shared" si="11"/>
        <v>Error?</v>
      </c>
    </row>
    <row r="792" spans="1:4" x14ac:dyDescent="0.2">
      <c r="A792" s="5">
        <v>731</v>
      </c>
      <c r="B792" s="1832">
        <f>'Expenditures 15-22'!D53</f>
        <v>12672</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1437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1437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14190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123592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63845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3700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74124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377</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377</v>
      </c>
      <c r="C843" s="2" t="s">
        <v>569</v>
      </c>
      <c r="D843" s="2" t="str">
        <f t="shared" si="12"/>
        <v>Error?</v>
      </c>
    </row>
    <row r="844" spans="1:4" x14ac:dyDescent="0.2">
      <c r="A844" s="5">
        <v>783</v>
      </c>
      <c r="B844" s="1832">
        <f>'Expenditures 15-22'!E44</f>
        <v>13151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13151</v>
      </c>
      <c r="C847" s="2" t="s">
        <v>569</v>
      </c>
      <c r="D847" s="2" t="str">
        <f t="shared" si="12"/>
        <v>Error?</v>
      </c>
    </row>
    <row r="848" spans="1:4" x14ac:dyDescent="0.2">
      <c r="A848" s="5">
        <v>787</v>
      </c>
      <c r="B848" s="1832">
        <f>'Expenditures 15-22'!E49</f>
        <v>12479</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12623</v>
      </c>
      <c r="C850" s="2" t="s">
        <v>569</v>
      </c>
      <c r="D850" s="2" t="str">
        <f t="shared" si="12"/>
        <v>Error?</v>
      </c>
    </row>
    <row r="851" spans="1:4" x14ac:dyDescent="0.2">
      <c r="A851" s="5">
        <v>790</v>
      </c>
      <c r="B851" s="1832">
        <f>'Expenditures 15-22'!E55</f>
        <v>152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152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896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350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1246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27549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196516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48615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439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73302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965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965</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615</v>
      </c>
      <c r="D906" s="2" t="str">
        <f t="shared" si="13"/>
        <v>Error?</v>
      </c>
    </row>
    <row r="907" spans="1:4" x14ac:dyDescent="0.2">
      <c r="A907" s="5">
        <v>846</v>
      </c>
      <c r="B907" s="1832">
        <f>'Expenditures 15-22'!F50</f>
        <v>973</v>
      </c>
      <c r="D907" s="2" t="str">
        <f t="shared" si="13"/>
        <v>Error?</v>
      </c>
    </row>
    <row r="908" spans="1:4" x14ac:dyDescent="0.2">
      <c r="A908" s="5">
        <v>847</v>
      </c>
      <c r="B908" s="1832">
        <f>'Expenditures 15-22'!F53</f>
        <v>1588</v>
      </c>
      <c r="C908" s="2" t="s">
        <v>569</v>
      </c>
      <c r="D908" s="2" t="str">
        <f t="shared" si="13"/>
        <v>Error?</v>
      </c>
    </row>
    <row r="909" spans="1:4" x14ac:dyDescent="0.2">
      <c r="A909" s="5">
        <v>848</v>
      </c>
      <c r="B909" s="1832">
        <f>'Expenditures 15-22'!F55</f>
        <v>1315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1315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1598</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63270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64868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500</v>
      </c>
      <c r="D928" s="2" t="str">
        <f t="shared" si="13"/>
        <v>Error?</v>
      </c>
    </row>
    <row r="929" spans="1:4" x14ac:dyDescent="0.2">
      <c r="A929" s="5">
        <v>868</v>
      </c>
      <c r="B929" s="1832">
        <f>'Expenditures 15-22'!F74</f>
        <v>69236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142538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366</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350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716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7768</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7768</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7768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8484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915941</v>
      </c>
      <c r="C1093" s="2" t="s">
        <v>569</v>
      </c>
      <c r="D1093" s="2" t="str">
        <f t="shared" si="16"/>
        <v>Error?</v>
      </c>
    </row>
    <row r="1094" spans="1:4" x14ac:dyDescent="0.2">
      <c r="A1094" s="5">
        <v>1033</v>
      </c>
      <c r="B1094" s="1832">
        <f>'Expenditures 15-22'!K16</f>
        <v>1000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21913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1320681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11560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1809</v>
      </c>
      <c r="C1114" s="2" t="s">
        <v>569</v>
      </c>
      <c r="D1114" s="2" t="str">
        <f t="shared" si="16"/>
        <v>Error?</v>
      </c>
    </row>
    <row r="1115" spans="1:4" x14ac:dyDescent="0.2">
      <c r="A1115" s="5">
        <v>1054</v>
      </c>
      <c r="B1115" s="1832">
        <f>'Expenditures 15-22'!K42</f>
        <v>13369</v>
      </c>
      <c r="C1115" s="2" t="s">
        <v>569</v>
      </c>
      <c r="D1115" s="2" t="str">
        <f t="shared" si="16"/>
        <v>Error?</v>
      </c>
    </row>
    <row r="1116" spans="1:4" x14ac:dyDescent="0.2">
      <c r="A1116" s="5">
        <v>1055</v>
      </c>
      <c r="B1116" s="1832">
        <f>'Expenditures 15-22'!K44</f>
        <v>13151</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13151</v>
      </c>
      <c r="C1119" s="2" t="s">
        <v>569</v>
      </c>
      <c r="D1119" s="2" t="str">
        <f t="shared" si="16"/>
        <v>Error?</v>
      </c>
    </row>
    <row r="1120" spans="1:4" x14ac:dyDescent="0.2">
      <c r="A1120" s="5">
        <v>1059</v>
      </c>
      <c r="B1120" s="1832">
        <f>'Expenditures 15-22'!K49</f>
        <v>23450</v>
      </c>
      <c r="C1120" s="2" t="s">
        <v>569</v>
      </c>
      <c r="D1120" s="2" t="str">
        <f t="shared" si="16"/>
        <v>Error?</v>
      </c>
    </row>
    <row r="1121" spans="1:4" x14ac:dyDescent="0.2">
      <c r="A1121" s="5">
        <v>1060</v>
      </c>
      <c r="B1121" s="1832">
        <f>'Expenditures 15-22'!K50</f>
        <v>111763</v>
      </c>
      <c r="C1121" s="2" t="s">
        <v>569</v>
      </c>
      <c r="D1121" s="2" t="str">
        <f t="shared" si="16"/>
        <v>Error?</v>
      </c>
    </row>
    <row r="1122" spans="1:4" x14ac:dyDescent="0.2">
      <c r="A1122" s="5">
        <v>1061</v>
      </c>
      <c r="B1122" s="1832">
        <f>'Expenditures 15-22'!K53</f>
        <v>135357</v>
      </c>
      <c r="C1122" s="2" t="s">
        <v>569</v>
      </c>
      <c r="D1122" s="2" t="str">
        <f t="shared" si="16"/>
        <v>Error?</v>
      </c>
    </row>
    <row r="1123" spans="1:4" x14ac:dyDescent="0.2">
      <c r="A1123" s="5">
        <v>1062</v>
      </c>
      <c r="B1123" s="1832">
        <f>'Expenditures 15-22'!K55</f>
        <v>30893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30893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50810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114164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164974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500</v>
      </c>
      <c r="C1142" s="2" t="s">
        <v>569</v>
      </c>
      <c r="D1142" s="2" t="str">
        <f t="shared" si="16"/>
        <v>Error?</v>
      </c>
    </row>
    <row r="1143" spans="1:4" x14ac:dyDescent="0.2">
      <c r="A1143" s="5">
        <v>1082</v>
      </c>
      <c r="B1143" s="1832">
        <f>'Expenditures 15-22'!K74</f>
        <v>358244</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94843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1773768</v>
      </c>
      <c r="C1152" s="2" t="s">
        <v>569</v>
      </c>
      <c r="D1152" s="2" t="str">
        <f t="shared" si="17"/>
        <v>Error?</v>
      </c>
    </row>
    <row r="1153" spans="1:4" x14ac:dyDescent="0.2">
      <c r="A1153" s="5">
        <v>1092</v>
      </c>
      <c r="B1153" s="1832">
        <f>'Expenditures 15-22'!K115</f>
        <v>68878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80274</v>
      </c>
      <c r="D1221" s="2" t="str">
        <f t="shared" si="18"/>
        <v>Error?</v>
      </c>
    </row>
    <row r="1222" spans="1:4" x14ac:dyDescent="0.2">
      <c r="A1222" s="10">
        <v>1161</v>
      </c>
      <c r="B1222" s="1832"/>
      <c r="D1222" s="2" t="str">
        <f t="shared" si="18"/>
        <v>OK</v>
      </c>
    </row>
    <row r="1223" spans="1:4" x14ac:dyDescent="0.2">
      <c r="A1223" s="5">
        <v>1162</v>
      </c>
      <c r="B1223" s="1832">
        <f>'Expenditures 15-22'!C127</f>
        <v>80274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80274</v>
      </c>
      <c r="C1225" s="2" t="s">
        <v>569</v>
      </c>
      <c r="D1225" s="2" t="str">
        <f t="shared" si="18"/>
        <v>Error?</v>
      </c>
    </row>
    <row r="1226" spans="1:4" x14ac:dyDescent="0.2">
      <c r="A1226" s="5">
        <v>1165</v>
      </c>
      <c r="B1226" s="1832">
        <f>'Expenditures 15-22'!C151</f>
        <v>80274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31141</v>
      </c>
      <c r="D1237" s="2" t="str">
        <f t="shared" si="18"/>
        <v>Error?</v>
      </c>
    </row>
    <row r="1238" spans="1:4" x14ac:dyDescent="0.2">
      <c r="A1238" s="10">
        <v>1177</v>
      </c>
      <c r="B1238" s="1832"/>
      <c r="D1238" s="2" t="str">
        <f t="shared" si="18"/>
        <v>OK</v>
      </c>
    </row>
    <row r="1239" spans="1:4" x14ac:dyDescent="0.2">
      <c r="A1239" s="5">
        <v>1178</v>
      </c>
      <c r="B1239" s="1832">
        <f>'Expenditures 15-22'!E127</f>
        <v>31141</v>
      </c>
      <c r="C1239" s="2" t="s">
        <v>569</v>
      </c>
      <c r="D1239" s="2" t="str">
        <f t="shared" si="18"/>
        <v>Error?</v>
      </c>
    </row>
    <row r="1240" spans="1:4" x14ac:dyDescent="0.2">
      <c r="A1240" s="5">
        <v>1179</v>
      </c>
      <c r="B1240" s="1832">
        <f>'Expenditures 15-22'!E128</f>
        <v>1580</v>
      </c>
      <c r="D1240" s="2" t="str">
        <f t="shared" si="18"/>
        <v>Error?</v>
      </c>
    </row>
    <row r="1241" spans="1:4" x14ac:dyDescent="0.2">
      <c r="A1241" s="5">
        <v>1180</v>
      </c>
      <c r="B1241" s="1832">
        <f>'Expenditures 15-22'!E129</f>
        <v>32721</v>
      </c>
      <c r="C1241" s="2" t="s">
        <v>569</v>
      </c>
      <c r="D1241" s="2" t="str">
        <f t="shared" si="18"/>
        <v>Error?</v>
      </c>
    </row>
    <row r="1242" spans="1:4" x14ac:dyDescent="0.2">
      <c r="A1242" s="5">
        <v>1181</v>
      </c>
      <c r="B1242" s="1832">
        <f>'Expenditures 15-22'!E151</f>
        <v>32721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48381</v>
      </c>
      <c r="D1245" s="2" t="str">
        <f t="shared" si="18"/>
        <v>Error?</v>
      </c>
    </row>
    <row r="1246" spans="1:4" x14ac:dyDescent="0.2">
      <c r="A1246" s="10">
        <v>1185</v>
      </c>
      <c r="B1246" s="1832"/>
      <c r="D1246" s="2" t="str">
        <f t="shared" si="18"/>
        <v>OK</v>
      </c>
    </row>
    <row r="1247" spans="1:4" x14ac:dyDescent="0.2">
      <c r="A1247" s="5">
        <v>1186</v>
      </c>
      <c r="B1247" s="1832">
        <f>'Expenditures 15-22'!F127</f>
        <v>48381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48381</v>
      </c>
      <c r="C1249" s="2" t="s">
        <v>569</v>
      </c>
      <c r="D1249" s="2" t="str">
        <f t="shared" si="18"/>
        <v>Error?</v>
      </c>
    </row>
    <row r="1250" spans="1:4" x14ac:dyDescent="0.2">
      <c r="A1250" s="5">
        <v>1189</v>
      </c>
      <c r="B1250" s="1832">
        <f>'Expenditures 15-22'!F151</f>
        <v>48381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74241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74241</v>
      </c>
      <c r="C1256" s="2" t="s">
        <v>569</v>
      </c>
      <c r="D1256" s="2" t="str">
        <f t="shared" si="18"/>
        <v>Error?</v>
      </c>
    </row>
    <row r="1257" spans="1:4" x14ac:dyDescent="0.2">
      <c r="A1257" s="5">
        <v>1196</v>
      </c>
      <c r="B1257" s="1832">
        <f>'Expenditures 15-22'!G128</f>
        <v>1594</v>
      </c>
      <c r="D1257" s="2" t="str">
        <f t="shared" si="18"/>
        <v>Error?</v>
      </c>
    </row>
    <row r="1258" spans="1:4" x14ac:dyDescent="0.2">
      <c r="A1258" s="5">
        <v>1197</v>
      </c>
      <c r="B1258" s="1832">
        <f>'Expenditures 15-22'!G129</f>
        <v>75835</v>
      </c>
      <c r="C1258" s="2" t="s">
        <v>569</v>
      </c>
      <c r="D1258" s="2" t="str">
        <f t="shared" si="18"/>
        <v>Error?</v>
      </c>
    </row>
    <row r="1259" spans="1:4" x14ac:dyDescent="0.2">
      <c r="A1259" s="5">
        <v>1198</v>
      </c>
      <c r="B1259" s="1832">
        <f>'Expenditures 15-22'!G151</f>
        <v>75835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234037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234037</v>
      </c>
      <c r="C1279" s="2" t="s">
        <v>569</v>
      </c>
      <c r="D1279" s="2" t="str">
        <f t="shared" ref="D1279:D1342" si="19">IF(ISBLANK(B1279),"OK",IF(A1279-B1279=0,"OK","Error?"))</f>
        <v>Error?</v>
      </c>
    </row>
    <row r="1280" spans="1:4" x14ac:dyDescent="0.2">
      <c r="A1280" s="5">
        <v>1219</v>
      </c>
      <c r="B1280" s="1832">
        <f>'Expenditures 15-22'!K128</f>
        <v>3174</v>
      </c>
      <c r="C1280" s="2" t="s">
        <v>569</v>
      </c>
      <c r="D1280" s="2" t="str">
        <f t="shared" si="19"/>
        <v>Error?</v>
      </c>
    </row>
    <row r="1281" spans="1:4" x14ac:dyDescent="0.2">
      <c r="A1281" s="5">
        <v>1220</v>
      </c>
      <c r="B1281" s="1832">
        <f>'Expenditures 15-22'!K129</f>
        <v>237211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237211</v>
      </c>
      <c r="C1288" s="2" t="s">
        <v>569</v>
      </c>
      <c r="D1288" s="2" t="str">
        <f t="shared" si="19"/>
        <v>Error?</v>
      </c>
    </row>
    <row r="1289" spans="1:4" x14ac:dyDescent="0.2">
      <c r="A1289" s="5">
        <v>1228</v>
      </c>
      <c r="B1289" s="1832">
        <f>'Expenditures 15-22'!K152</f>
        <v>14059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6275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47300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53575</v>
      </c>
      <c r="C1317" s="2" t="s">
        <v>569</v>
      </c>
      <c r="D1317" s="2" t="str">
        <f t="shared" si="19"/>
        <v>Error?</v>
      </c>
    </row>
    <row r="1318" spans="1:4" x14ac:dyDescent="0.2">
      <c r="A1318" s="5">
        <v>1257</v>
      </c>
      <c r="B1318" s="1832">
        <f>'Expenditures 15-22'!H174</f>
        <v>53575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6275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47300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53575</v>
      </c>
      <c r="C1331" s="2" t="s">
        <v>569</v>
      </c>
      <c r="D1331" s="2" t="str">
        <f t="shared" si="19"/>
        <v>Error?</v>
      </c>
    </row>
    <row r="1332" spans="1:4" x14ac:dyDescent="0.2">
      <c r="A1332" s="5">
        <v>1271</v>
      </c>
      <c r="B1332" s="1832">
        <f>'Expenditures 15-22'!K174</f>
        <v>53575</v>
      </c>
      <c r="C1332" s="2" t="s">
        <v>569</v>
      </c>
      <c r="D1332" s="2" t="str">
        <f t="shared" si="19"/>
        <v>Error?</v>
      </c>
    </row>
    <row r="1333" spans="1:4" x14ac:dyDescent="0.2">
      <c r="A1333" s="5">
        <v>1272</v>
      </c>
      <c r="B1333" s="1832">
        <f>'Expenditures 15-22'!K175</f>
        <v>868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100864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100864</v>
      </c>
      <c r="C1339" s="2" t="s">
        <v>569</v>
      </c>
      <c r="D1339" s="2" t="str">
        <f t="shared" si="19"/>
        <v>Error?</v>
      </c>
    </row>
    <row r="1340" spans="1:4" x14ac:dyDescent="0.2">
      <c r="A1340" s="5">
        <v>1279</v>
      </c>
      <c r="B1340" s="1832">
        <f>'Expenditures 15-22'!C210</f>
        <v>100864</v>
      </c>
      <c r="C1340" s="2" t="s">
        <v>569</v>
      </c>
      <c r="D1340" s="2" t="str">
        <f t="shared" si="19"/>
        <v>Error?</v>
      </c>
    </row>
    <row r="1341" spans="1:4" x14ac:dyDescent="0.2">
      <c r="A1341" s="5">
        <v>1280</v>
      </c>
      <c r="B1341" s="1832">
        <f>'Expenditures 15-22'!D182</f>
        <v>794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794</v>
      </c>
      <c r="C1345" s="2" t="s">
        <v>569</v>
      </c>
      <c r="D1345" s="2" t="str">
        <f t="shared" si="20"/>
        <v>Error?</v>
      </c>
    </row>
    <row r="1346" spans="1:4" x14ac:dyDescent="0.2">
      <c r="A1346" s="5">
        <v>1285</v>
      </c>
      <c r="B1346" s="1832">
        <f>'Expenditures 15-22'!D210</f>
        <v>794</v>
      </c>
      <c r="C1346" s="2" t="s">
        <v>569</v>
      </c>
      <c r="D1346" s="2" t="str">
        <f t="shared" si="20"/>
        <v>Error?</v>
      </c>
    </row>
    <row r="1347" spans="1:4" x14ac:dyDescent="0.2">
      <c r="A1347" s="5">
        <v>1286</v>
      </c>
      <c r="B1347" s="1832">
        <f>'Expenditures 15-22'!E182</f>
        <v>11607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11607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11607</v>
      </c>
      <c r="C1353" s="2" t="s">
        <v>569</v>
      </c>
      <c r="D1353" s="2" t="str">
        <f t="shared" si="20"/>
        <v>Error?</v>
      </c>
    </row>
    <row r="1354" spans="1:4" x14ac:dyDescent="0.2">
      <c r="A1354" s="5">
        <v>1293</v>
      </c>
      <c r="B1354" s="1832">
        <f>'Expenditures 15-22'!F182</f>
        <v>15076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15076</v>
      </c>
      <c r="C1358" s="2" t="s">
        <v>569</v>
      </c>
      <c r="D1358" s="2" t="str">
        <f t="shared" si="20"/>
        <v>Error?</v>
      </c>
    </row>
    <row r="1359" spans="1:4" x14ac:dyDescent="0.2">
      <c r="A1359" s="5">
        <v>1298</v>
      </c>
      <c r="B1359" s="1832">
        <f>'Expenditures 15-22'!F210</f>
        <v>15076</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941</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941</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72806</v>
      </c>
      <c r="C1375" s="2" t="s">
        <v>569</v>
      </c>
      <c r="D1375" s="2" t="str">
        <f t="shared" si="20"/>
        <v>Error?</v>
      </c>
    </row>
    <row r="1376" spans="1:4" x14ac:dyDescent="0.2">
      <c r="A1376" s="5">
        <v>1315</v>
      </c>
      <c r="B1376" s="1832">
        <f>'Expenditures 15-22'!H210</f>
        <v>73747</v>
      </c>
      <c r="C1376" s="2" t="s">
        <v>569</v>
      </c>
      <c r="D1376" s="2" t="str">
        <f t="shared" si="20"/>
        <v>Error?</v>
      </c>
    </row>
    <row r="1377" spans="1:4" x14ac:dyDescent="0.2">
      <c r="A1377" s="5">
        <v>1316</v>
      </c>
      <c r="B1377" s="1832">
        <f>'Expenditures 15-22'!K182</f>
        <v>129282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129282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72806</v>
      </c>
      <c r="C1387" s="2" t="s">
        <v>569</v>
      </c>
      <c r="D1387" s="2" t="str">
        <f t="shared" si="20"/>
        <v>Error?</v>
      </c>
    </row>
    <row r="1388" spans="1:4" x14ac:dyDescent="0.2">
      <c r="A1388" s="5">
        <v>1327</v>
      </c>
      <c r="B1388" s="1832">
        <f>'Expenditures 15-22'!K210</f>
        <v>202088</v>
      </c>
      <c r="C1388" s="2" t="s">
        <v>569</v>
      </c>
      <c r="D1388" s="2" t="str">
        <f t="shared" si="20"/>
        <v>Error?</v>
      </c>
    </row>
    <row r="1389" spans="1:4" x14ac:dyDescent="0.2">
      <c r="A1389" s="5">
        <v>1328</v>
      </c>
      <c r="B1389" s="1832">
        <f>'Expenditures 15-22'!K211</f>
        <v>524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77</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2458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38998</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2536</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248</v>
      </c>
      <c r="D1416" s="2" t="str">
        <f t="shared" si="21"/>
        <v>Error?</v>
      </c>
    </row>
    <row r="1417" spans="1:4" x14ac:dyDescent="0.2">
      <c r="A1417" s="5">
        <v>1356</v>
      </c>
      <c r="B1417" s="1832">
        <f>'Expenditures 15-22'!D238</f>
        <v>2784</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629</v>
      </c>
      <c r="D1422" s="2" t="str">
        <f t="shared" si="21"/>
        <v>Error?</v>
      </c>
    </row>
    <row r="1423" spans="1:4" x14ac:dyDescent="0.2">
      <c r="A1423" s="5">
        <v>1362</v>
      </c>
      <c r="B1423" s="1832">
        <f>'Expenditures 15-22'!D246</f>
        <v>1403</v>
      </c>
      <c r="D1423" s="2" t="str">
        <f t="shared" si="21"/>
        <v>Error?</v>
      </c>
    </row>
    <row r="1424" spans="1:4" x14ac:dyDescent="0.2">
      <c r="A1424" s="5">
        <v>1363</v>
      </c>
      <c r="B1424" s="1832">
        <f>'Expenditures 15-22'!D257</f>
        <v>6250</v>
      </c>
      <c r="C1424" s="2" t="s">
        <v>569</v>
      </c>
      <c r="D1424" s="2" t="str">
        <f t="shared" si="21"/>
        <v>Error?</v>
      </c>
    </row>
    <row r="1425" spans="1:4" x14ac:dyDescent="0.2">
      <c r="A1425" s="5">
        <v>1364</v>
      </c>
      <c r="B1425" s="1832">
        <f>'Expenditures 15-22'!D259</f>
        <v>7262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7262</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11068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16971</v>
      </c>
      <c r="D1431" s="2" t="str">
        <f t="shared" si="21"/>
        <v>Error?</v>
      </c>
    </row>
    <row r="1432" spans="1:4" x14ac:dyDescent="0.2">
      <c r="A1432" s="5">
        <v>1371</v>
      </c>
      <c r="B1432" s="1832">
        <f>'Expenditures 15-22'!D267</f>
        <v>9297</v>
      </c>
      <c r="D1432" s="2" t="str">
        <f t="shared" si="21"/>
        <v>Error?</v>
      </c>
    </row>
    <row r="1433" spans="1:4" x14ac:dyDescent="0.2">
      <c r="A1433" s="5">
        <v>1372</v>
      </c>
      <c r="B1433" s="1832">
        <f>'Expenditures 15-22'!D268</f>
        <v>12435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49771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66067</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105065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77</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2458</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38998</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2536</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248</v>
      </c>
      <c r="C1480" s="2" t="s">
        <v>569</v>
      </c>
      <c r="D1480" s="2" t="str">
        <f t="shared" si="22"/>
        <v>Error?</v>
      </c>
    </row>
    <row r="1481" spans="1:4" x14ac:dyDescent="0.2">
      <c r="A1481" s="5">
        <v>1420</v>
      </c>
      <c r="B1481" s="1832">
        <f>'Expenditures 15-22'!K238</f>
        <v>2784</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629</v>
      </c>
      <c r="C1486" s="2" t="s">
        <v>569</v>
      </c>
      <c r="D1486" s="2" t="str">
        <f t="shared" si="22"/>
        <v>Error?</v>
      </c>
    </row>
    <row r="1487" spans="1:4" x14ac:dyDescent="0.2">
      <c r="A1487" s="5">
        <v>1426</v>
      </c>
      <c r="B1487" s="1832">
        <f>'Expenditures 15-22'!K246</f>
        <v>1403</v>
      </c>
      <c r="C1487" s="2" t="s">
        <v>569</v>
      </c>
      <c r="D1487" s="2" t="str">
        <f t="shared" si="22"/>
        <v>Error?</v>
      </c>
    </row>
    <row r="1488" spans="1:4" x14ac:dyDescent="0.2">
      <c r="A1488" s="5">
        <v>1427</v>
      </c>
      <c r="B1488" s="1832">
        <f>'Expenditures 15-22'!K257</f>
        <v>6250</v>
      </c>
      <c r="C1488" s="2" t="s">
        <v>569</v>
      </c>
      <c r="D1488" s="2" t="str">
        <f t="shared" si="22"/>
        <v>Error?</v>
      </c>
    </row>
    <row r="1489" spans="1:4" x14ac:dyDescent="0.2">
      <c r="A1489" s="5">
        <v>1428</v>
      </c>
      <c r="B1489" s="1832">
        <f>'Expenditures 15-22'!K259</f>
        <v>7262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7262</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11068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16971</v>
      </c>
      <c r="C1495" s="2" t="s">
        <v>569</v>
      </c>
      <c r="D1495" s="2" t="str">
        <f t="shared" si="22"/>
        <v>Error?</v>
      </c>
    </row>
    <row r="1496" spans="1:4" x14ac:dyDescent="0.2">
      <c r="A1496" s="5">
        <v>1435</v>
      </c>
      <c r="B1496" s="1832">
        <f>'Expenditures 15-22'!K267</f>
        <v>9297</v>
      </c>
      <c r="C1496" s="2" t="s">
        <v>569</v>
      </c>
      <c r="D1496" s="2" t="str">
        <f t="shared" si="22"/>
        <v>Error?</v>
      </c>
    </row>
    <row r="1497" spans="1:4" x14ac:dyDescent="0.2">
      <c r="A1497" s="5">
        <v>1436</v>
      </c>
      <c r="B1497" s="1832">
        <f>'Expenditures 15-22'!K268</f>
        <v>12435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49771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66067</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105065</v>
      </c>
      <c r="C1517" s="2" t="s">
        <v>569</v>
      </c>
      <c r="D1517" s="2" t="str">
        <f t="shared" si="22"/>
        <v>Error?</v>
      </c>
    </row>
    <row r="1518" spans="1:4" x14ac:dyDescent="0.2">
      <c r="A1518" s="5">
        <v>1457</v>
      </c>
      <c r="B1518" s="1832">
        <f>'Expenditures 15-22'!K296</f>
        <v>-2126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50052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713166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782044</v>
      </c>
      <c r="C1630" s="2" t="s">
        <v>569</v>
      </c>
      <c r="D1630" s="2" t="str">
        <f t="shared" si="24"/>
        <v>Error?</v>
      </c>
    </row>
    <row r="1631" spans="1:4" x14ac:dyDescent="0.2">
      <c r="A1631" s="5">
        <v>1570</v>
      </c>
      <c r="B1631" s="1832">
        <f>'Acct Summary 7-8'!D79</f>
        <v>19917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56263</v>
      </c>
      <c r="C1644" s="2" t="s">
        <v>569</v>
      </c>
      <c r="D1644" s="2" t="str">
        <f t="shared" si="24"/>
        <v>Error?</v>
      </c>
    </row>
    <row r="1645" spans="1:4" x14ac:dyDescent="0.2">
      <c r="A1645" s="5">
        <v>1584</v>
      </c>
      <c r="B1645" s="1832">
        <f>'Acct Summary 7-8'!E79</f>
        <v>21420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v>
      </c>
      <c r="C1658" s="2" t="s">
        <v>569</v>
      </c>
      <c r="D1658" s="2" t="str">
        <f t="shared" si="24"/>
        <v>Error?</v>
      </c>
    </row>
    <row r="1659" spans="1:4" x14ac:dyDescent="0.2">
      <c r="A1659" s="5">
        <v>1598</v>
      </c>
      <c r="B1659" s="1832">
        <f>'Acct Summary 7-8'!F79</f>
        <v>211074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211598</v>
      </c>
      <c r="C1672" s="2" t="s">
        <v>569</v>
      </c>
      <c r="D1672" s="2" t="str">
        <f t="shared" si="25"/>
        <v>Error?</v>
      </c>
    </row>
    <row r="1673" spans="1:4" x14ac:dyDescent="0.2">
      <c r="A1673" s="5">
        <v>1612</v>
      </c>
      <c r="B1673" s="1832">
        <f>'Acct Summary 7-8'!G79</f>
        <v>167969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165843</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130052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412361</v>
      </c>
      <c r="C1744" s="2" t="s">
        <v>569</v>
      </c>
      <c r="D1744" s="2" t="str">
        <f t="shared" si="26"/>
        <v>Error?</v>
      </c>
    </row>
    <row r="1745" spans="1:5" x14ac:dyDescent="0.2">
      <c r="A1745" s="5">
        <v>1684</v>
      </c>
      <c r="B1745" s="1832">
        <f>'Tax Sched 23'!B5</f>
        <v>85882</v>
      </c>
      <c r="C1745" s="2" t="s">
        <v>569</v>
      </c>
      <c r="D1745" s="2" t="str">
        <f t="shared" si="26"/>
        <v>Error?</v>
      </c>
    </row>
    <row r="1746" spans="1:5" x14ac:dyDescent="0.2">
      <c r="A1746" s="5">
        <v>1685</v>
      </c>
      <c r="B1746" s="1832">
        <f>'Tax Sched 23'!B6</f>
        <v>53575</v>
      </c>
      <c r="C1746" s="2" t="s">
        <v>569</v>
      </c>
      <c r="D1746" s="2" t="str">
        <f t="shared" si="26"/>
        <v>Error?</v>
      </c>
    </row>
    <row r="1747" spans="1:5" x14ac:dyDescent="0.2">
      <c r="A1747" s="5">
        <v>1686</v>
      </c>
      <c r="B1747" s="1832">
        <f>'Tax Sched 23'!B7</f>
        <v>59253</v>
      </c>
      <c r="C1747" s="2" t="s">
        <v>569</v>
      </c>
      <c r="D1747" s="2" t="str">
        <f t="shared" si="26"/>
        <v>Error?</v>
      </c>
    </row>
    <row r="1748" spans="1:5" x14ac:dyDescent="0.2">
      <c r="A1748" s="5">
        <v>1687</v>
      </c>
      <c r="B1748" s="1832">
        <f>'Tax Sched 23'!B8</f>
        <v>39028</v>
      </c>
      <c r="C1748" s="2" t="s">
        <v>569</v>
      </c>
      <c r="D1748" s="2" t="str">
        <f t="shared" si="26"/>
        <v>Error?</v>
      </c>
    </row>
    <row r="1749" spans="1:5" x14ac:dyDescent="0.2">
      <c r="A1749" s="5">
        <v>1688</v>
      </c>
      <c r="B1749" s="1832">
        <f>'Tax Sched 23'!B10</f>
        <v>10254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60903</v>
      </c>
      <c r="C1752" s="2" t="s">
        <v>569</v>
      </c>
      <c r="D1752" s="2" t="str">
        <f t="shared" si="26"/>
        <v>Error?</v>
      </c>
    </row>
    <row r="1753" spans="1:5" x14ac:dyDescent="0.2">
      <c r="A1753" s="5">
        <v>1692</v>
      </c>
      <c r="B1753" s="1832">
        <f>'Tax Sched 23'!B12</f>
        <v>10254</v>
      </c>
      <c r="C1753" s="2" t="s">
        <v>569</v>
      </c>
      <c r="D1753" s="2" t="str">
        <f t="shared" si="26"/>
        <v>Error?</v>
      </c>
    </row>
    <row r="1754" spans="1:5" x14ac:dyDescent="0.2">
      <c r="A1754" s="5">
        <v>1693</v>
      </c>
      <c r="B1754" s="1832">
        <f>'Tax Sched 23'!B14</f>
        <v>4216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798390</v>
      </c>
      <c r="C1759" s="2" t="s">
        <v>569</v>
      </c>
      <c r="D1759" s="2" t="str">
        <f t="shared" si="26"/>
        <v>Error?</v>
      </c>
    </row>
    <row r="1760" spans="1:5" x14ac:dyDescent="0.2">
      <c r="A1760" s="5">
        <v>1699</v>
      </c>
      <c r="B1760" s="1832">
        <f>'Tax Sched 23'!D4</f>
        <v>412361</v>
      </c>
      <c r="C1760" s="2" t="s">
        <v>569</v>
      </c>
      <c r="D1760" s="2" t="str">
        <f t="shared" si="26"/>
        <v>Error?</v>
      </c>
    </row>
    <row r="1761" spans="1:7" x14ac:dyDescent="0.2">
      <c r="A1761" s="5">
        <v>1700</v>
      </c>
      <c r="B1761" s="1832">
        <f>'Tax Sched 23'!D5</f>
        <v>85882</v>
      </c>
      <c r="C1761" s="2" t="s">
        <v>569</v>
      </c>
      <c r="D1761" s="2" t="str">
        <f t="shared" si="26"/>
        <v>Error?</v>
      </c>
    </row>
    <row r="1762" spans="1:7" s="8" customFormat="1" x14ac:dyDescent="0.2">
      <c r="A1762" s="5">
        <v>1701</v>
      </c>
      <c r="B1762" s="1832">
        <f>'Tax Sched 23'!D6</f>
        <v>53575</v>
      </c>
      <c r="C1762" s="2" t="s">
        <v>569</v>
      </c>
      <c r="D1762" s="2" t="str">
        <f t="shared" si="26"/>
        <v>Error?</v>
      </c>
      <c r="E1762" s="9"/>
      <c r="G1762"/>
    </row>
    <row r="1763" spans="1:7" x14ac:dyDescent="0.2">
      <c r="A1763" s="5">
        <v>1702</v>
      </c>
      <c r="B1763" s="1832">
        <f>'Tax Sched 23'!D7</f>
        <v>59253</v>
      </c>
      <c r="C1763" s="2" t="s">
        <v>569</v>
      </c>
      <c r="D1763" s="2" t="str">
        <f t="shared" si="26"/>
        <v>Error?</v>
      </c>
    </row>
    <row r="1764" spans="1:7" x14ac:dyDescent="0.2">
      <c r="A1764" s="5">
        <v>1703</v>
      </c>
      <c r="B1764" s="1832">
        <f>'Tax Sched 23'!D8</f>
        <v>39028</v>
      </c>
      <c r="C1764" s="2" t="s">
        <v>569</v>
      </c>
      <c r="D1764" s="2" t="str">
        <f t="shared" si="26"/>
        <v>Error?</v>
      </c>
    </row>
    <row r="1765" spans="1:7" x14ac:dyDescent="0.2">
      <c r="A1765" s="5">
        <v>1704</v>
      </c>
      <c r="B1765" s="1832">
        <f>'Tax Sched 23'!D10</f>
        <v>10254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60903</v>
      </c>
      <c r="C1768" s="2" t="s">
        <v>569</v>
      </c>
      <c r="D1768" s="2" t="str">
        <f t="shared" si="26"/>
        <v>Error?</v>
      </c>
    </row>
    <row r="1769" spans="1:7" x14ac:dyDescent="0.2">
      <c r="A1769" s="5">
        <v>1708</v>
      </c>
      <c r="B1769" s="1832">
        <f>'Tax Sched 23'!D12</f>
        <v>10254</v>
      </c>
      <c r="C1769" s="2" t="s">
        <v>569</v>
      </c>
      <c r="D1769" s="2" t="str">
        <f t="shared" si="26"/>
        <v>Error?</v>
      </c>
    </row>
    <row r="1770" spans="1:7" x14ac:dyDescent="0.2">
      <c r="A1770" s="5">
        <v>1709</v>
      </c>
      <c r="B1770" s="1832">
        <f>'Tax Sched 23'!D14</f>
        <v>4216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798390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415101</v>
      </c>
      <c r="C1792" s="2" t="s">
        <v>569</v>
      </c>
      <c r="D1792" s="2" t="str">
        <f t="shared" si="27"/>
        <v>Error?</v>
      </c>
    </row>
    <row r="1793" spans="1:4" x14ac:dyDescent="0.2">
      <c r="A1793" s="5">
        <v>1732</v>
      </c>
      <c r="B1793" s="1832">
        <f>'Tax Sched 23'!F5</f>
        <v>117000</v>
      </c>
      <c r="C1793" s="2" t="s">
        <v>569</v>
      </c>
      <c r="D1793" s="2" t="str">
        <f t="shared" si="27"/>
        <v>Error?</v>
      </c>
    </row>
    <row r="1794" spans="1:4" x14ac:dyDescent="0.2">
      <c r="A1794" s="5">
        <v>1733</v>
      </c>
      <c r="B1794" s="1832">
        <f>'Tax Sched 23'!F6</f>
        <v>54306</v>
      </c>
      <c r="C1794" s="2" t="s">
        <v>569</v>
      </c>
      <c r="D1794" s="2" t="str">
        <f t="shared" si="27"/>
        <v>Error?</v>
      </c>
    </row>
    <row r="1795" spans="1:4" x14ac:dyDescent="0.2">
      <c r="A1795" s="5">
        <v>1734</v>
      </c>
      <c r="B1795" s="1832">
        <f>'Tax Sched 23'!F7</f>
        <v>60027</v>
      </c>
      <c r="C1795" s="2" t="s">
        <v>569</v>
      </c>
      <c r="D1795" s="2" t="str">
        <f t="shared" si="27"/>
        <v>Error?</v>
      </c>
    </row>
    <row r="1796" spans="1:4" x14ac:dyDescent="0.2">
      <c r="A1796" s="5">
        <v>1735</v>
      </c>
      <c r="B1796" s="1832">
        <f>'Tax Sched 23'!F8</f>
        <v>29541</v>
      </c>
      <c r="C1796" s="2" t="s">
        <v>569</v>
      </c>
      <c r="D1796" s="2" t="str">
        <f t="shared" si="27"/>
        <v>Error?</v>
      </c>
    </row>
    <row r="1797" spans="1:4" x14ac:dyDescent="0.2">
      <c r="A1797" s="5">
        <v>1736</v>
      </c>
      <c r="B1797" s="1832">
        <f>'Tax Sched 23'!F10</f>
        <v>10388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51704</v>
      </c>
      <c r="C1800" s="2" t="s">
        <v>569</v>
      </c>
      <c r="D1800" s="2" t="str">
        <f t="shared" si="27"/>
        <v>Error?</v>
      </c>
    </row>
    <row r="1801" spans="1:4" x14ac:dyDescent="0.2">
      <c r="A1801" s="5">
        <v>1740</v>
      </c>
      <c r="B1801" s="1832">
        <f>'Tax Sched 23'!F12</f>
        <v>10388</v>
      </c>
      <c r="C1801" s="2" t="s">
        <v>569</v>
      </c>
      <c r="D1801" s="2" t="str">
        <f t="shared" si="27"/>
        <v>Error?</v>
      </c>
    </row>
    <row r="1802" spans="1:4" x14ac:dyDescent="0.2">
      <c r="A1802" s="5">
        <v>1741</v>
      </c>
      <c r="B1802" s="1832">
        <f>'Tax Sched 23'!F14</f>
        <v>4273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806213</v>
      </c>
      <c r="C1807" s="2" t="s">
        <v>569</v>
      </c>
      <c r="D1807" s="2" t="str">
        <f t="shared" si="27"/>
        <v>Error?</v>
      </c>
    </row>
    <row r="1808" spans="1:4" x14ac:dyDescent="0.2">
      <c r="A1808" s="5">
        <v>1747</v>
      </c>
      <c r="B1808" s="1832">
        <f>'Tax Sched 23'!E4</f>
        <v>415101</v>
      </c>
      <c r="D1808" s="2" t="str">
        <f t="shared" si="27"/>
        <v>Error?</v>
      </c>
    </row>
    <row r="1809" spans="1:4" x14ac:dyDescent="0.2">
      <c r="A1809" s="5">
        <v>1748</v>
      </c>
      <c r="B1809" s="1832">
        <f>'Tax Sched 23'!E5</f>
        <v>117000</v>
      </c>
      <c r="D1809" s="2" t="str">
        <f t="shared" si="27"/>
        <v>Error?</v>
      </c>
    </row>
    <row r="1810" spans="1:4" x14ac:dyDescent="0.2">
      <c r="A1810" s="5">
        <v>1749</v>
      </c>
      <c r="B1810" s="1832">
        <f>'Tax Sched 23'!E6</f>
        <v>54306</v>
      </c>
      <c r="D1810" s="2" t="str">
        <f t="shared" si="27"/>
        <v>Error?</v>
      </c>
    </row>
    <row r="1811" spans="1:4" x14ac:dyDescent="0.2">
      <c r="A1811" s="5">
        <v>1750</v>
      </c>
      <c r="B1811" s="1832">
        <f>'Tax Sched 23'!E7</f>
        <v>60027</v>
      </c>
      <c r="D1811" s="2" t="str">
        <f t="shared" si="27"/>
        <v>Error?</v>
      </c>
    </row>
    <row r="1812" spans="1:4" x14ac:dyDescent="0.2">
      <c r="A1812" s="5">
        <v>1751</v>
      </c>
      <c r="B1812" s="1832">
        <f>'Tax Sched 23'!E8</f>
        <v>29541</v>
      </c>
      <c r="D1812" s="2" t="str">
        <f t="shared" si="27"/>
        <v>Error?</v>
      </c>
    </row>
    <row r="1813" spans="1:4" x14ac:dyDescent="0.2">
      <c r="A1813" s="5">
        <v>1752</v>
      </c>
      <c r="B1813" s="1832">
        <f>'Tax Sched 23'!E10</f>
        <v>10388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51704</v>
      </c>
      <c r="D1816" s="2" t="str">
        <f t="shared" si="27"/>
        <v>Error?</v>
      </c>
    </row>
    <row r="1817" spans="1:4" x14ac:dyDescent="0.2">
      <c r="A1817" s="5">
        <v>1756</v>
      </c>
      <c r="B1817" s="1832">
        <f>'Tax Sched 23'!E12</f>
        <v>10388</v>
      </c>
      <c r="D1817" s="2" t="str">
        <f t="shared" si="27"/>
        <v>Error?</v>
      </c>
    </row>
    <row r="1818" spans="1:4" x14ac:dyDescent="0.2">
      <c r="A1818" s="5">
        <v>1757</v>
      </c>
      <c r="B1818" s="1832">
        <f>'Tax Sched 23'!E14</f>
        <v>4273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806213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323351</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4216</v>
      </c>
      <c r="D1972" s="2" t="str">
        <f t="shared" si="29"/>
        <v>Error?</v>
      </c>
    </row>
    <row r="1973" spans="1:5" x14ac:dyDescent="0.2">
      <c r="A1973" s="5">
        <v>1912</v>
      </c>
      <c r="B1973" s="1832">
        <f>'Rest Tax Levies-Tort Im 25'!H6</f>
        <v>58</v>
      </c>
      <c r="D1973" s="2" t="str">
        <f t="shared" si="29"/>
        <v>Error?</v>
      </c>
    </row>
    <row r="1974" spans="1:5" x14ac:dyDescent="0.2">
      <c r="A1974" s="5">
        <v>1913</v>
      </c>
      <c r="B1974" s="1832">
        <f>'Rest Tax Levies-Tort Im 25'!H10</f>
        <v>19308</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23582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23582</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23582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1314</v>
      </c>
      <c r="D2008" s="2" t="str">
        <f t="shared" si="30"/>
        <v>Error?</v>
      </c>
    </row>
    <row r="2009" spans="1:4" x14ac:dyDescent="0.2">
      <c r="A2009" s="5">
        <v>1948</v>
      </c>
      <c r="B2009" s="1832">
        <f>'Cap Outlay Deprec 26'!C8</f>
        <v>1027694</v>
      </c>
      <c r="D2009" s="2" t="str">
        <f t="shared" si="30"/>
        <v>Error?</v>
      </c>
    </row>
    <row r="2010" spans="1:4" x14ac:dyDescent="0.2">
      <c r="A2010" s="5">
        <v>1949</v>
      </c>
      <c r="B2010" s="1832">
        <f>'Cap Outlay Deprec 26'!C10</f>
        <v>955933</v>
      </c>
      <c r="D2010" s="2" t="str">
        <f t="shared" si="30"/>
        <v>Error?</v>
      </c>
    </row>
    <row r="2011" spans="1:4" x14ac:dyDescent="0.2">
      <c r="A2011" s="5">
        <v>1950</v>
      </c>
      <c r="B2011" s="1832">
        <f>'Cap Outlay Deprec 26'!C12</f>
        <v>361783</v>
      </c>
      <c r="D2011" s="2" t="str">
        <f t="shared" si="30"/>
        <v>Error?</v>
      </c>
    </row>
    <row r="2012" spans="1:4" x14ac:dyDescent="0.2">
      <c r="A2012" s="5">
        <v>1951</v>
      </c>
      <c r="B2012" s="1832">
        <f>'Cap Outlay Deprec 26'!C13</f>
        <v>344896</v>
      </c>
      <c r="D2012" s="2" t="str">
        <f t="shared" si="30"/>
        <v>Error?</v>
      </c>
    </row>
    <row r="2013" spans="1:4" x14ac:dyDescent="0.2">
      <c r="A2013" s="5">
        <v>1952</v>
      </c>
      <c r="B2013" s="1832">
        <f>'Cap Outlay Deprec 26'!C16</f>
        <v>2691620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30241</v>
      </c>
      <c r="D2016" s="2" t="str">
        <f t="shared" si="30"/>
        <v>Error?</v>
      </c>
    </row>
    <row r="2017" spans="1:4" x14ac:dyDescent="0.2">
      <c r="A2017" s="5">
        <v>1956</v>
      </c>
      <c r="B2017" s="1832">
        <f>'Cap Outlay Deprec 26'!D12</f>
        <v>73369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103610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44730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44730</v>
      </c>
      <c r="C2025" s="2" t="s">
        <v>569</v>
      </c>
      <c r="D2025" s="2" t="str">
        <f t="shared" si="30"/>
        <v>Error?</v>
      </c>
    </row>
    <row r="2026" spans="1:4" x14ac:dyDescent="0.2">
      <c r="A2026" s="5">
        <v>1965</v>
      </c>
      <c r="B2026" s="1832">
        <f>'Cap Outlay Deprec 26'!F5</f>
        <v>1314</v>
      </c>
      <c r="C2026" s="2" t="s">
        <v>569</v>
      </c>
      <c r="D2026" s="2" t="str">
        <f t="shared" si="30"/>
        <v>Error?</v>
      </c>
    </row>
    <row r="2027" spans="1:4" x14ac:dyDescent="0.2">
      <c r="A2027" s="5">
        <v>1966</v>
      </c>
      <c r="B2027" s="1832">
        <f>'Cap Outlay Deprec 26'!F8</f>
        <v>1027694</v>
      </c>
      <c r="C2027" s="2" t="s">
        <v>569</v>
      </c>
      <c r="D2027" s="2" t="str">
        <f t="shared" si="30"/>
        <v>Error?</v>
      </c>
    </row>
    <row r="2028" spans="1:4" x14ac:dyDescent="0.2">
      <c r="A2028" s="5">
        <v>1967</v>
      </c>
      <c r="B2028" s="1832">
        <f>'Cap Outlay Deprec 26'!F10</f>
        <v>986174</v>
      </c>
      <c r="C2028" s="2" t="s">
        <v>569</v>
      </c>
      <c r="D2028" s="2" t="str">
        <f t="shared" si="30"/>
        <v>Error?</v>
      </c>
    </row>
    <row r="2029" spans="1:4" x14ac:dyDescent="0.2">
      <c r="A2029" s="5">
        <v>1968</v>
      </c>
      <c r="B2029" s="1832">
        <f>'Cap Outlay Deprec 26'!F12</f>
        <v>390422</v>
      </c>
      <c r="C2029" s="2" t="s">
        <v>569</v>
      </c>
      <c r="D2029" s="2" t="str">
        <f t="shared" si="30"/>
        <v>Error?</v>
      </c>
    </row>
    <row r="2030" spans="1:4" x14ac:dyDescent="0.2">
      <c r="A2030" s="5">
        <v>1969</v>
      </c>
      <c r="B2030" s="1832">
        <f>'Cap Outlay Deprec 26'!F13</f>
        <v>344896</v>
      </c>
      <c r="C2030" s="2" t="s">
        <v>569</v>
      </c>
      <c r="D2030" s="2" t="str">
        <f t="shared" si="30"/>
        <v>Error?</v>
      </c>
    </row>
    <row r="2031" spans="1:4" x14ac:dyDescent="0.2">
      <c r="A2031" s="5">
        <v>1970</v>
      </c>
      <c r="B2031" s="1832">
        <f>'Cap Outlay Deprec 26'!F16</f>
        <v>2750500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742177</v>
      </c>
      <c r="D2033" s="2" t="str">
        <f t="shared" si="30"/>
        <v>Error?</v>
      </c>
    </row>
    <row r="2034" spans="1:4" x14ac:dyDescent="0.2">
      <c r="A2034" s="5">
        <v>1973</v>
      </c>
      <c r="B2034" s="1832">
        <f>'Cap Outlay Deprec 26'!H10</f>
        <v>537142</v>
      </c>
      <c r="D2034" s="2" t="str">
        <f t="shared" si="30"/>
        <v>Error?</v>
      </c>
    </row>
    <row r="2035" spans="1:4" x14ac:dyDescent="0.2">
      <c r="A2035" s="5">
        <v>1974</v>
      </c>
      <c r="B2035" s="1832">
        <f>'Cap Outlay Deprec 26'!H12</f>
        <v>260003</v>
      </c>
      <c r="D2035" s="2" t="str">
        <f t="shared" si="30"/>
        <v>Error?</v>
      </c>
    </row>
    <row r="2036" spans="1:4" x14ac:dyDescent="0.2">
      <c r="A2036" s="5">
        <v>1975</v>
      </c>
      <c r="B2036" s="1832">
        <f>'Cap Outlay Deprec 26'!H13</f>
        <v>265299</v>
      </c>
      <c r="D2036" s="2" t="str">
        <f t="shared" si="30"/>
        <v>Error?</v>
      </c>
    </row>
    <row r="2037" spans="1:4" x14ac:dyDescent="0.2">
      <c r="A2037" s="5">
        <v>1976</v>
      </c>
      <c r="B2037" s="1832">
        <f>'Cap Outlay Deprec 26'!H16</f>
        <v>1804621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13275</v>
      </c>
      <c r="D2039" s="2" t="str">
        <f t="shared" si="30"/>
        <v>Error?</v>
      </c>
    </row>
    <row r="2040" spans="1:4" x14ac:dyDescent="0.2">
      <c r="A2040" s="5">
        <v>1979</v>
      </c>
      <c r="B2040" s="1832">
        <f>'Cap Outlay Deprec 26'!I10</f>
        <v>32162</v>
      </c>
      <c r="D2040" s="2" t="str">
        <f t="shared" si="30"/>
        <v>Error?</v>
      </c>
    </row>
    <row r="2041" spans="1:4" x14ac:dyDescent="0.2">
      <c r="A2041" s="5">
        <v>1980</v>
      </c>
      <c r="B2041" s="1832">
        <f>'Cap Outlay Deprec 26'!I12</f>
        <v>24462</v>
      </c>
      <c r="D2041" s="2" t="str">
        <f t="shared" si="30"/>
        <v>Error?</v>
      </c>
    </row>
    <row r="2042" spans="1:4" x14ac:dyDescent="0.2">
      <c r="A2042" s="5">
        <v>1981</v>
      </c>
      <c r="B2042" s="1832">
        <f>'Cap Outlay Deprec 26'!I13</f>
        <v>67870</v>
      </c>
      <c r="D2042" s="2" t="str">
        <f t="shared" si="30"/>
        <v>Error?</v>
      </c>
    </row>
    <row r="2043" spans="1:4" x14ac:dyDescent="0.2">
      <c r="A2043" s="5">
        <v>1982</v>
      </c>
      <c r="B2043" s="1832">
        <f>'Cap Outlay Deprec 26'!I16</f>
        <v>137769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44730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44730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755452</v>
      </c>
      <c r="C2051" s="2" t="s">
        <v>569</v>
      </c>
      <c r="D2051" s="2" t="str">
        <f t="shared" si="31"/>
        <v>Error?</v>
      </c>
    </row>
    <row r="2052" spans="1:4" x14ac:dyDescent="0.2">
      <c r="A2052" s="5">
        <v>1991</v>
      </c>
      <c r="B2052" s="1832">
        <f>'Cap Outlay Deprec 26'!K10</f>
        <v>569304</v>
      </c>
      <c r="C2052" s="2" t="s">
        <v>569</v>
      </c>
      <c r="D2052" s="2" t="str">
        <f t="shared" si="31"/>
        <v>Error?</v>
      </c>
    </row>
    <row r="2053" spans="1:4" x14ac:dyDescent="0.2">
      <c r="A2053" s="5">
        <v>1992</v>
      </c>
      <c r="B2053" s="1832">
        <f>'Cap Outlay Deprec 26'!K12</f>
        <v>239735</v>
      </c>
      <c r="C2053" s="2" t="s">
        <v>569</v>
      </c>
      <c r="D2053" s="2" t="str">
        <f t="shared" si="31"/>
        <v>Error?</v>
      </c>
    </row>
    <row r="2054" spans="1:4" x14ac:dyDescent="0.2">
      <c r="A2054" s="5">
        <v>1993</v>
      </c>
      <c r="B2054" s="1832">
        <f>'Cap Outlay Deprec 26'!K13</f>
        <v>333169</v>
      </c>
      <c r="C2054" s="2" t="s">
        <v>569</v>
      </c>
      <c r="D2054" s="2" t="str">
        <f t="shared" si="31"/>
        <v>Error?</v>
      </c>
    </row>
    <row r="2055" spans="1:4" x14ac:dyDescent="0.2">
      <c r="A2055" s="5">
        <v>1994</v>
      </c>
      <c r="B2055" s="1832">
        <f>'Cap Outlay Deprec 26'!K16</f>
        <v>1897660</v>
      </c>
      <c r="C2055" s="2" t="s">
        <v>569</v>
      </c>
      <c r="D2055" s="2" t="str">
        <f t="shared" si="31"/>
        <v>Error?</v>
      </c>
    </row>
    <row r="2056" spans="1:4" x14ac:dyDescent="0.2">
      <c r="A2056" s="5">
        <v>1995</v>
      </c>
      <c r="B2056" s="1832">
        <f>'Cap Outlay Deprec 26'!L5</f>
        <v>1314</v>
      </c>
      <c r="C2056" s="2" t="s">
        <v>569</v>
      </c>
      <c r="D2056" s="2" t="str">
        <f t="shared" si="31"/>
        <v>Error?</v>
      </c>
    </row>
    <row r="2057" spans="1:4" x14ac:dyDescent="0.2">
      <c r="A2057" s="5">
        <v>1996</v>
      </c>
      <c r="B2057" s="1832">
        <f>'Cap Outlay Deprec 26'!L8</f>
        <v>272242</v>
      </c>
      <c r="C2057" s="2" t="s">
        <v>569</v>
      </c>
      <c r="D2057" s="2" t="str">
        <f t="shared" si="31"/>
        <v>Error?</v>
      </c>
    </row>
    <row r="2058" spans="1:4" x14ac:dyDescent="0.2">
      <c r="A2058" s="5">
        <v>1997</v>
      </c>
      <c r="B2058" s="1832">
        <f>'Cap Outlay Deprec 26'!L10</f>
        <v>416870</v>
      </c>
      <c r="C2058" s="2" t="s">
        <v>569</v>
      </c>
      <c r="D2058" s="2" t="str">
        <f t="shared" si="31"/>
        <v>Error?</v>
      </c>
    </row>
    <row r="2059" spans="1:4" x14ac:dyDescent="0.2">
      <c r="A2059" s="5">
        <v>1998</v>
      </c>
      <c r="B2059" s="1832">
        <f>'Cap Outlay Deprec 26'!L12</f>
        <v>150687</v>
      </c>
      <c r="C2059" s="2" t="s">
        <v>569</v>
      </c>
      <c r="D2059" s="2" t="str">
        <f t="shared" si="31"/>
        <v>Error?</v>
      </c>
    </row>
    <row r="2060" spans="1:4" x14ac:dyDescent="0.2">
      <c r="A2060" s="5">
        <v>1999</v>
      </c>
      <c r="B2060" s="1832">
        <f>'Cap Outlay Deprec 26'!L13</f>
        <v>11727</v>
      </c>
      <c r="C2060" s="2" t="s">
        <v>569</v>
      </c>
      <c r="D2060" s="2" t="str">
        <f t="shared" si="31"/>
        <v>Error?</v>
      </c>
    </row>
    <row r="2061" spans="1:4" x14ac:dyDescent="0.2">
      <c r="A2061" s="5">
        <v>2000</v>
      </c>
      <c r="B2061" s="1832">
        <f>'Cap Outlay Deprec 26'!L16</f>
        <v>852840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94843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80000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46161</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103511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540034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1013457</v>
      </c>
      <c r="C2553" s="2" t="s">
        <v>569</v>
      </c>
      <c r="D2553" s="2" t="str">
        <f t="shared" si="38"/>
        <v>Error?</v>
      </c>
    </row>
    <row r="2554" spans="1:4" x14ac:dyDescent="0.2">
      <c r="A2554" s="5">
        <v>2493</v>
      </c>
      <c r="B2554" s="1832">
        <f>'Acct Summary 7-8'!C7</f>
        <v>289155</v>
      </c>
      <c r="C2554" s="2" t="s">
        <v>569</v>
      </c>
      <c r="D2554" s="2" t="str">
        <f t="shared" si="38"/>
        <v>Error?</v>
      </c>
    </row>
    <row r="2555" spans="1:4" x14ac:dyDescent="0.2">
      <c r="A2555" s="5">
        <v>2494</v>
      </c>
      <c r="B2555" s="1832">
        <f>'Acct Summary 7-8'!C8</f>
        <v>1842646</v>
      </c>
      <c r="C2555" s="2" t="s">
        <v>569</v>
      </c>
      <c r="D2555" s="2" t="str">
        <f t="shared" si="38"/>
        <v>Error?</v>
      </c>
    </row>
    <row r="2556" spans="1:4" x14ac:dyDescent="0.2">
      <c r="A2556" s="5">
        <v>2495</v>
      </c>
      <c r="B2556" s="1832">
        <f>'Acct Summary 7-8'!C12</f>
        <v>1320681</v>
      </c>
      <c r="C2556" s="2" t="s">
        <v>569</v>
      </c>
      <c r="D2556" s="2" t="str">
        <f t="shared" si="38"/>
        <v>Error?</v>
      </c>
    </row>
    <row r="2557" spans="1:4" x14ac:dyDescent="0.2">
      <c r="A2557" s="5">
        <v>2496</v>
      </c>
      <c r="B2557" s="1832">
        <f>'Acct Summary 7-8'!C13</f>
        <v>358244</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94843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1773768</v>
      </c>
      <c r="C2561" s="2" t="s">
        <v>569</v>
      </c>
      <c r="D2561" s="2" t="str">
        <f t="shared" si="39"/>
        <v>Error?</v>
      </c>
    </row>
    <row r="2562" spans="1:4" x14ac:dyDescent="0.2">
      <c r="A2562" s="5">
        <v>2501</v>
      </c>
      <c r="B2562" s="1832">
        <f>'Acct Summary 7-8'!C20</f>
        <v>68878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122781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128489</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251270</v>
      </c>
      <c r="C2568" s="2" t="s">
        <v>569</v>
      </c>
      <c r="D2568" s="2" t="str">
        <f t="shared" si="39"/>
        <v>Error?</v>
      </c>
    </row>
    <row r="2569" spans="1:4" x14ac:dyDescent="0.2">
      <c r="A2569" s="5">
        <v>2508</v>
      </c>
      <c r="B2569" s="1832">
        <f>'Acct Summary 7-8'!D13</f>
        <v>237211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237211</v>
      </c>
      <c r="C2573" s="2" t="s">
        <v>569</v>
      </c>
      <c r="D2573" s="2" t="str">
        <f t="shared" si="39"/>
        <v>Error?</v>
      </c>
    </row>
    <row r="2574" spans="1:4" x14ac:dyDescent="0.2">
      <c r="A2574" s="5">
        <v>2513</v>
      </c>
      <c r="B2574" s="1832">
        <f>'Acct Summary 7-8'!D20</f>
        <v>14059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66462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136150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202612</v>
      </c>
      <c r="C2595" s="2" t="s">
        <v>569</v>
      </c>
      <c r="D2595" s="2" t="str">
        <f t="shared" si="39"/>
        <v>Error?</v>
      </c>
    </row>
    <row r="2596" spans="1:4" x14ac:dyDescent="0.2">
      <c r="A2596" s="5">
        <v>2535</v>
      </c>
      <c r="B2596" s="1832">
        <f>'Acct Summary 7-8'!F13</f>
        <v>129282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72806</v>
      </c>
      <c r="C2599" s="2" t="s">
        <v>569</v>
      </c>
      <c r="D2599" s="2" t="str">
        <f t="shared" si="39"/>
        <v>Error?</v>
      </c>
    </row>
    <row r="2600" spans="1:4" x14ac:dyDescent="0.2">
      <c r="A2600" s="5">
        <v>2539</v>
      </c>
      <c r="B2600" s="1832">
        <f>'Acct Summary 7-8'!F17</f>
        <v>202088</v>
      </c>
      <c r="C2600" s="2" t="s">
        <v>569</v>
      </c>
      <c r="D2600" s="2" t="str">
        <f t="shared" si="39"/>
        <v>Error?</v>
      </c>
    </row>
    <row r="2601" spans="1:4" x14ac:dyDescent="0.2">
      <c r="A2601" s="5">
        <v>2540</v>
      </c>
      <c r="B2601" s="1832">
        <f>'Acct Summary 7-8'!F20</f>
        <v>524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102939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102939</v>
      </c>
      <c r="C2606" s="2" t="s">
        <v>569</v>
      </c>
      <c r="D2606" s="2" t="str">
        <f t="shared" si="39"/>
        <v>Error?</v>
      </c>
    </row>
    <row r="2607" spans="1:4" x14ac:dyDescent="0.2">
      <c r="A2607" s="5">
        <v>2546</v>
      </c>
      <c r="B2607" s="1832">
        <f>'Acct Summary 7-8'!G12</f>
        <v>38998</v>
      </c>
      <c r="C2607" s="2" t="s">
        <v>569</v>
      </c>
      <c r="D2607" s="2" t="str">
        <f t="shared" si="39"/>
        <v>Error?</v>
      </c>
    </row>
    <row r="2608" spans="1:4" x14ac:dyDescent="0.2">
      <c r="A2608" s="5">
        <v>2547</v>
      </c>
      <c r="B2608" s="1832">
        <f>'Acct Summary 7-8'!G13</f>
        <v>66067</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105065</v>
      </c>
      <c r="C2612" s="2" t="s">
        <v>569</v>
      </c>
      <c r="D2612" s="2" t="str">
        <f t="shared" si="39"/>
        <v>Error?</v>
      </c>
    </row>
    <row r="2613" spans="1:4" x14ac:dyDescent="0.2">
      <c r="A2613" s="5">
        <v>2552</v>
      </c>
      <c r="B2613" s="1832">
        <f>'Acct Summary 7-8'!G20</f>
        <v>-2126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54443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54443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53575</v>
      </c>
      <c r="C2634" s="2" t="s">
        <v>569</v>
      </c>
      <c r="D2634" s="2" t="str">
        <f t="shared" si="40"/>
        <v>Error?</v>
      </c>
    </row>
    <row r="2635" spans="1:4" x14ac:dyDescent="0.2">
      <c r="A2635" s="5">
        <v>2574</v>
      </c>
      <c r="B2635" s="1832">
        <f>'Acct Summary 7-8'!E17</f>
        <v>53575</v>
      </c>
      <c r="C2635" s="2" t="s">
        <v>569</v>
      </c>
      <c r="D2635" s="2" t="str">
        <f t="shared" si="40"/>
        <v>Error?</v>
      </c>
    </row>
    <row r="2636" spans="1:4" x14ac:dyDescent="0.2">
      <c r="A2636" s="5">
        <v>2575</v>
      </c>
      <c r="B2636" s="1832">
        <f>'Acct Summary 7-8'!E20</f>
        <v>868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52</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50052</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50052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144</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144</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94843</v>
      </c>
      <c r="C2789" s="2" t="s">
        <v>569</v>
      </c>
      <c r="D2789" s="2" t="str">
        <f t="shared" si="42"/>
        <v>Error?</v>
      </c>
    </row>
    <row r="2790" spans="1:4" x14ac:dyDescent="0.2">
      <c r="A2790" s="5">
        <v>2729</v>
      </c>
      <c r="B2790" s="1832">
        <f>'Expenditures 15-22'!E102</f>
        <v>94843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267397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20216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267397</v>
      </c>
      <c r="D2912" s="2" t="str">
        <f t="shared" si="44"/>
        <v>Error?</v>
      </c>
    </row>
    <row r="2913" spans="1:4" x14ac:dyDescent="0.2">
      <c r="A2913" s="5">
        <v>2852</v>
      </c>
      <c r="B2913" s="1832">
        <f>'Assets-Liab 5-6'!I41</f>
        <v>267397</v>
      </c>
      <c r="C2913" s="2" t="s">
        <v>569</v>
      </c>
      <c r="D2913" s="2" t="str">
        <f t="shared" si="44"/>
        <v>Error?</v>
      </c>
    </row>
    <row r="2914" spans="1:4" x14ac:dyDescent="0.2">
      <c r="A2914" s="5">
        <v>2853</v>
      </c>
      <c r="B2914" s="1832">
        <f>'Assets-Liab 5-6'!L33</f>
        <v>20216</v>
      </c>
      <c r="D2914" s="2" t="str">
        <f t="shared" si="44"/>
        <v>Error?</v>
      </c>
    </row>
    <row r="2915" spans="1:4" x14ac:dyDescent="0.2">
      <c r="A2915" s="10">
        <v>2854</v>
      </c>
      <c r="B2915" s="1832"/>
      <c r="D2915" s="2" t="str">
        <f t="shared" si="44"/>
        <v>OK</v>
      </c>
    </row>
    <row r="2916" spans="1:4" x14ac:dyDescent="0.2">
      <c r="A2916" s="5">
        <v>2855</v>
      </c>
      <c r="B2916" s="1832">
        <f>'Assets-Liab 5-6'!L34</f>
        <v>20216</v>
      </c>
      <c r="C2916" s="2" t="s">
        <v>569</v>
      </c>
      <c r="D2916" s="2" t="str">
        <f t="shared" si="44"/>
        <v>Error?</v>
      </c>
    </row>
    <row r="2917" spans="1:4" x14ac:dyDescent="0.2">
      <c r="A2917" s="5">
        <v>2856</v>
      </c>
      <c r="B2917" s="1832">
        <f>'Assets-Liab 5-6'!L41</f>
        <v>20216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94843</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94843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44262</v>
      </c>
      <c r="D3055" s="2" t="str">
        <f t="shared" si="46"/>
        <v>Error?</v>
      </c>
    </row>
    <row r="3056" spans="1:4" x14ac:dyDescent="0.2">
      <c r="A3056" s="5">
        <v>2995</v>
      </c>
      <c r="B3056" s="1832">
        <f>'Expenditures 15-22'!D10</f>
        <v>6771</v>
      </c>
      <c r="D3056" s="2" t="str">
        <f t="shared" si="46"/>
        <v>Error?</v>
      </c>
    </row>
    <row r="3057" spans="1:4" x14ac:dyDescent="0.2">
      <c r="A3057" s="5">
        <v>2996</v>
      </c>
      <c r="B3057" s="1832">
        <f>'Expenditures 15-22'!E10</f>
        <v>6579</v>
      </c>
      <c r="D3057" s="2" t="str">
        <f t="shared" si="46"/>
        <v>Error?</v>
      </c>
    </row>
    <row r="3058" spans="1:4" x14ac:dyDescent="0.2">
      <c r="A3058" s="5">
        <v>2997</v>
      </c>
      <c r="B3058" s="1832">
        <f>'Expenditures 15-22'!F10</f>
        <v>24138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81750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3996</v>
      </c>
      <c r="D3064" s="2" t="str">
        <f t="shared" si="46"/>
        <v>Error?</v>
      </c>
    </row>
    <row r="3065" spans="1:4" x14ac:dyDescent="0.2">
      <c r="A3065" s="5">
        <v>3004</v>
      </c>
      <c r="B3065" s="1832">
        <f>'Expenditures 15-22'!K219</f>
        <v>3996</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15421</v>
      </c>
      <c r="C3225" s="2" t="s">
        <v>569</v>
      </c>
      <c r="D3225" s="2" t="str">
        <f t="shared" si="49"/>
        <v>Error?</v>
      </c>
    </row>
    <row r="3226" spans="1:4" x14ac:dyDescent="0.2">
      <c r="A3226" s="5">
        <v>3165</v>
      </c>
      <c r="B3226" s="1832">
        <f>'Acct Summary 7-8'!I8</f>
        <v>15421</v>
      </c>
      <c r="C3226" s="2" t="s">
        <v>569</v>
      </c>
      <c r="D3226" s="2" t="str">
        <f t="shared" si="49"/>
        <v>Error?</v>
      </c>
    </row>
    <row r="3227" spans="1:4" x14ac:dyDescent="0.2">
      <c r="A3227" s="5">
        <v>3166</v>
      </c>
      <c r="B3227" s="1832">
        <f>'Acct Summary 7-8'!I20</f>
        <v>15421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68878</v>
      </c>
      <c r="C3233" s="2" t="s">
        <v>569</v>
      </c>
      <c r="D3233" s="2" t="str">
        <f t="shared" si="49"/>
        <v>Error?</v>
      </c>
    </row>
    <row r="3234" spans="1:4" x14ac:dyDescent="0.2">
      <c r="A3234" s="5">
        <v>3173</v>
      </c>
      <c r="B3234" s="1832">
        <f>'Acct Summary 7-8'!D43</f>
        <v>22287</v>
      </c>
      <c r="D3234" s="2" t="str">
        <f t="shared" si="49"/>
        <v>Error?</v>
      </c>
    </row>
    <row r="3235" spans="1:4" x14ac:dyDescent="0.2">
      <c r="A3235" s="5">
        <v>3174</v>
      </c>
      <c r="B3235" s="1832">
        <f>'Acct Summary 7-8'!D44</f>
        <v>22287</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22287</v>
      </c>
      <c r="C3238" s="2" t="s">
        <v>569</v>
      </c>
      <c r="D3238" s="2" t="str">
        <f t="shared" si="49"/>
        <v>Error?</v>
      </c>
    </row>
    <row r="3239" spans="1:4" x14ac:dyDescent="0.2">
      <c r="A3239" s="5">
        <v>3178</v>
      </c>
      <c r="B3239" s="1832">
        <f>'Acct Summary 7-8'!D78</f>
        <v>36346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524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-2126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22287</v>
      </c>
      <c r="D3275" s="2" t="str">
        <f t="shared" si="50"/>
        <v>Error?</v>
      </c>
    </row>
    <row r="3276" spans="1:4" x14ac:dyDescent="0.2">
      <c r="A3276" s="5">
        <v>3215</v>
      </c>
      <c r="B3276" s="1832">
        <f>'Acct Summary 7-8'!E76</f>
        <v>22287</v>
      </c>
      <c r="C3276" s="2" t="s">
        <v>569</v>
      </c>
      <c r="D3276" s="2" t="str">
        <f t="shared" si="50"/>
        <v>Error?</v>
      </c>
    </row>
    <row r="3277" spans="1:4" x14ac:dyDescent="0.2">
      <c r="A3277" s="5">
        <v>3216</v>
      </c>
      <c r="B3277" s="1832">
        <f>'Acct Summary 7-8'!E77</f>
        <v>-22287</v>
      </c>
      <c r="C3277" s="2" t="s">
        <v>569</v>
      </c>
      <c r="D3277" s="2" t="str">
        <f t="shared" si="50"/>
        <v>Error?</v>
      </c>
    </row>
    <row r="3278" spans="1:4" x14ac:dyDescent="0.2">
      <c r="A3278" s="5">
        <v>3217</v>
      </c>
      <c r="B3278" s="1832">
        <f>'Acct Summary 7-8'!E78</f>
        <v>-21419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80000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80000</v>
      </c>
      <c r="C3299" s="2" t="s">
        <v>569</v>
      </c>
      <c r="D3299" s="2" t="str">
        <f t="shared" si="50"/>
        <v>Error?</v>
      </c>
    </row>
    <row r="3300" spans="1:4" x14ac:dyDescent="0.2">
      <c r="A3300" s="5">
        <v>3239</v>
      </c>
      <c r="B3300" s="1832">
        <f>'Acct Summary 7-8'!H78</f>
        <v>130052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80000</v>
      </c>
      <c r="C3318" s="2" t="s">
        <v>569</v>
      </c>
      <c r="D3318" s="2" t="str">
        <f t="shared" si="50"/>
        <v>Error?</v>
      </c>
    </row>
    <row r="3319" spans="1:4" x14ac:dyDescent="0.2">
      <c r="A3319" s="5">
        <v>3258</v>
      </c>
      <c r="B3319" s="1832">
        <f>'Acct Summary 7-8'!I77</f>
        <v>-80000</v>
      </c>
      <c r="C3319" s="2" t="s">
        <v>569</v>
      </c>
      <c r="D3319" s="2" t="str">
        <f t="shared" si="50"/>
        <v>Error?</v>
      </c>
    </row>
    <row r="3320" spans="1:4" x14ac:dyDescent="0.2">
      <c r="A3320" s="5">
        <v>3259</v>
      </c>
      <c r="B3320" s="1832">
        <f>'Acct Summary 7-8'!I78</f>
        <v>-64579</v>
      </c>
      <c r="C3320" s="2" t="s">
        <v>569</v>
      </c>
      <c r="D3320" s="2" t="str">
        <f t="shared" si="50"/>
        <v>Error?</v>
      </c>
    </row>
    <row r="3321" spans="1:4" x14ac:dyDescent="0.2">
      <c r="A3321" s="5">
        <v>3260</v>
      </c>
      <c r="B3321" s="1832">
        <f>'Acct Summary 7-8'!I79</f>
        <v>331976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267397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246738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19027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110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265875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11706</v>
      </c>
      <c r="D3387" s="2" t="str">
        <f t="shared" si="51"/>
        <v>Error?</v>
      </c>
    </row>
    <row r="3388" spans="1:4" x14ac:dyDescent="0.2">
      <c r="A3388" s="5">
        <v>3327</v>
      </c>
      <c r="B3388" s="1832">
        <f>'Expenditures 15-22'!D217</f>
        <v>19585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11706</v>
      </c>
      <c r="C3390" s="2" t="s">
        <v>569</v>
      </c>
      <c r="D3390" s="2" t="str">
        <f t="shared" si="51"/>
        <v>Error?</v>
      </c>
    </row>
    <row r="3391" spans="1:4" x14ac:dyDescent="0.2">
      <c r="A3391" s="5">
        <v>3330</v>
      </c>
      <c r="B3391" s="1832">
        <f>'Expenditures 15-22'!K217</f>
        <v>19585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576244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56263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v>
      </c>
      <c r="D3417" s="2" t="str">
        <f t="shared" si="52"/>
        <v>Error?</v>
      </c>
    </row>
    <row r="3418" spans="1:4" x14ac:dyDescent="0.2">
      <c r="A3418" s="10">
        <v>3357</v>
      </c>
      <c r="B3418" s="1832"/>
      <c r="D3418" s="2" t="str">
        <f t="shared" si="52"/>
        <v>OK</v>
      </c>
    </row>
    <row r="3419" spans="1:4" x14ac:dyDescent="0.2">
      <c r="A3419" s="5">
        <v>3358</v>
      </c>
      <c r="B3419" s="1832">
        <f>'Assets-Liab 5-6'!F4</f>
        <v>211598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165843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130052</v>
      </c>
      <c r="D3425" s="2" t="str">
        <f t="shared" si="52"/>
        <v>Error?</v>
      </c>
    </row>
    <row r="3426" spans="1:4" x14ac:dyDescent="0.2">
      <c r="A3426" s="10">
        <v>3365</v>
      </c>
      <c r="B3426" s="1832"/>
      <c r="D3426" s="2" t="str">
        <f t="shared" si="52"/>
        <v>OK</v>
      </c>
    </row>
    <row r="3427" spans="1:4" x14ac:dyDescent="0.2">
      <c r="A3427" s="5">
        <v>3366</v>
      </c>
      <c r="B3427" s="1832">
        <f>'Assets-Liab 5-6'!I4</f>
        <v>267397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20216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52410</v>
      </c>
      <c r="C3446" s="2" t="s">
        <v>569</v>
      </c>
      <c r="D3446" s="2" t="str">
        <f t="shared" si="52"/>
        <v>Error?</v>
      </c>
    </row>
    <row r="3447" spans="1:4" x14ac:dyDescent="0.2">
      <c r="A3447" s="5">
        <v>3386</v>
      </c>
      <c r="B3447" s="1832">
        <f>'Tax Sched 23'!D16</f>
        <v>52410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43097</v>
      </c>
      <c r="C3449" s="2" t="s">
        <v>569</v>
      </c>
      <c r="D3449" s="2" t="str">
        <f t="shared" si="52"/>
        <v>Error?</v>
      </c>
    </row>
    <row r="3450" spans="1:4" x14ac:dyDescent="0.2">
      <c r="A3450" s="5">
        <v>3389</v>
      </c>
      <c r="B3450" s="1832">
        <f>'Tax Sched 23'!E16</f>
        <v>43097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11691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11691</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11691</v>
      </c>
      <c r="D3567" s="2" t="str">
        <f t="shared" si="54"/>
        <v>Error?</v>
      </c>
    </row>
    <row r="3568" spans="1:4" x14ac:dyDescent="0.2">
      <c r="A3568" s="5">
        <v>3507</v>
      </c>
      <c r="B3568" s="1832">
        <f>'Assets-Liab 5-6'!K41</f>
        <v>11691</v>
      </c>
      <c r="C3568" s="2" t="s">
        <v>569</v>
      </c>
      <c r="D3568" s="2" t="str">
        <f t="shared" si="54"/>
        <v>Error?</v>
      </c>
    </row>
    <row r="3569" spans="1:4" x14ac:dyDescent="0.2">
      <c r="A3569" s="5">
        <v>3508</v>
      </c>
      <c r="B3569" s="1832">
        <f>'Acct Summary 7-8'!K4</f>
        <v>10382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10382</v>
      </c>
      <c r="C3571" s="2" t="s">
        <v>569</v>
      </c>
      <c r="D3571" s="2" t="str">
        <f t="shared" si="54"/>
        <v>Error?</v>
      </c>
    </row>
    <row r="3572" spans="1:4" x14ac:dyDescent="0.2">
      <c r="A3572" s="5">
        <v>3511</v>
      </c>
      <c r="B3572" s="1832">
        <f>'Acct Summary 7-8'!K13</f>
        <v>27775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27775</v>
      </c>
      <c r="C3575" s="2" t="s">
        <v>569</v>
      </c>
      <c r="D3575" s="2" t="str">
        <f t="shared" si="54"/>
        <v>Error?</v>
      </c>
    </row>
    <row r="3576" spans="1:4" x14ac:dyDescent="0.2">
      <c r="A3576" s="5">
        <v>3515</v>
      </c>
      <c r="B3576" s="1832">
        <f>'Acct Summary 7-8'!K20</f>
        <v>-17393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-17393</v>
      </c>
      <c r="C3588" s="2" t="s">
        <v>569</v>
      </c>
      <c r="D3588" s="2" t="str">
        <f t="shared" si="55"/>
        <v>Error?</v>
      </c>
    </row>
    <row r="3589" spans="1:4" x14ac:dyDescent="0.2">
      <c r="A3589" s="5">
        <v>3528</v>
      </c>
      <c r="B3589" s="1832">
        <f>'Acct Summary 7-8'!K79</f>
        <v>29084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11691</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27775</v>
      </c>
      <c r="D3646" s="2" t="str">
        <f t="shared" si="55"/>
        <v>Error?</v>
      </c>
    </row>
    <row r="3647" spans="1:4" x14ac:dyDescent="0.2">
      <c r="A3647" s="5">
        <v>3586</v>
      </c>
      <c r="B3647" s="1832">
        <f>'Expenditures 15-22'!G350</f>
        <v>27775</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27775</v>
      </c>
      <c r="C3649" s="2" t="s">
        <v>569</v>
      </c>
      <c r="D3649" s="2" t="str">
        <f t="shared" si="56"/>
        <v>Error?</v>
      </c>
    </row>
    <row r="3650" spans="1:4" x14ac:dyDescent="0.2">
      <c r="A3650" s="5">
        <v>3589</v>
      </c>
      <c r="B3650" s="1832">
        <f>'Expenditures 15-22'!G367</f>
        <v>27775</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27775</v>
      </c>
      <c r="C3669" s="2" t="s">
        <v>569</v>
      </c>
      <c r="D3669" s="2" t="str">
        <f t="shared" si="56"/>
        <v>Error?</v>
      </c>
    </row>
    <row r="3670" spans="1:4" x14ac:dyDescent="0.2">
      <c r="A3670" s="5">
        <v>3609</v>
      </c>
      <c r="B3670" s="1832">
        <f>'Expenditures 15-22'!K350</f>
        <v>27775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27775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27775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-17393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10254</v>
      </c>
      <c r="C3725" s="2" t="s">
        <v>569</v>
      </c>
      <c r="D3725" s="2" t="str">
        <f t="shared" si="57"/>
        <v>Error?</v>
      </c>
    </row>
    <row r="3726" spans="1:4" x14ac:dyDescent="0.2">
      <c r="A3726" s="5">
        <v>3665</v>
      </c>
      <c r="B3726" s="1832">
        <f>'Tax Sched 23'!D13</f>
        <v>10254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10388</v>
      </c>
      <c r="C3728" s="2" t="s">
        <v>569</v>
      </c>
      <c r="D3728" s="2" t="str">
        <f t="shared" si="57"/>
        <v>Error?</v>
      </c>
    </row>
    <row r="3729" spans="1:4" x14ac:dyDescent="0.2">
      <c r="A3729" s="5">
        <v>3668</v>
      </c>
      <c r="B3729" s="1832">
        <f>'Tax Sched 23'!E13</f>
        <v>10388</v>
      </c>
      <c r="D3729" s="2" t="str">
        <f t="shared" si="57"/>
        <v>Error?</v>
      </c>
    </row>
    <row r="3730" spans="1:4" x14ac:dyDescent="0.2">
      <c r="A3730" s="5">
        <v>3669</v>
      </c>
      <c r="B3730" s="1832">
        <f>'ICR Computation 30'!E10</f>
        <v>63270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136217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1978863</v>
      </c>
      <c r="C4122" s="2" t="s">
        <v>569</v>
      </c>
      <c r="D4122" s="2" t="str">
        <f t="shared" si="63"/>
        <v>Error?</v>
      </c>
    </row>
    <row r="4123" spans="1:4" x14ac:dyDescent="0.2">
      <c r="A4123" s="5">
        <v>4062</v>
      </c>
      <c r="B4123" s="1832">
        <f>'Acct Summary 7-8'!D10</f>
        <v>251270</v>
      </c>
      <c r="C4123" s="2" t="s">
        <v>569</v>
      </c>
      <c r="D4123" s="2" t="str">
        <f t="shared" si="63"/>
        <v>Error?</v>
      </c>
    </row>
    <row r="4124" spans="1:4" x14ac:dyDescent="0.2">
      <c r="A4124" s="5">
        <v>4063</v>
      </c>
      <c r="B4124" s="1832">
        <f>'Acct Summary 7-8'!E10</f>
        <v>54443</v>
      </c>
      <c r="C4124" s="2" t="s">
        <v>569</v>
      </c>
      <c r="D4124" s="2" t="str">
        <f t="shared" si="63"/>
        <v>Error?</v>
      </c>
    </row>
    <row r="4125" spans="1:4" x14ac:dyDescent="0.2">
      <c r="A4125" s="5">
        <v>4064</v>
      </c>
      <c r="B4125" s="1832">
        <f>'Acct Summary 7-8'!F10</f>
        <v>202612</v>
      </c>
      <c r="C4125" s="2" t="s">
        <v>569</v>
      </c>
      <c r="D4125" s="2" t="str">
        <f t="shared" si="63"/>
        <v>Error?</v>
      </c>
    </row>
    <row r="4126" spans="1:4" x14ac:dyDescent="0.2">
      <c r="A4126" s="5">
        <v>4065</v>
      </c>
      <c r="B4126" s="1832">
        <f>'Acct Summary 7-8'!G10</f>
        <v>102939</v>
      </c>
      <c r="C4126" s="2" t="s">
        <v>569</v>
      </c>
      <c r="D4126" s="2" t="str">
        <f t="shared" si="63"/>
        <v>Error?</v>
      </c>
    </row>
    <row r="4127" spans="1:4" x14ac:dyDescent="0.2">
      <c r="A4127" s="5">
        <v>4066</v>
      </c>
      <c r="B4127" s="1832">
        <f>'Acct Summary 7-8'!H10</f>
        <v>50052</v>
      </c>
      <c r="C4127" s="2" t="s">
        <v>569</v>
      </c>
      <c r="D4127" s="2" t="str">
        <f t="shared" si="63"/>
        <v>Error?</v>
      </c>
    </row>
    <row r="4128" spans="1:4" x14ac:dyDescent="0.2">
      <c r="A4128" s="5">
        <v>4067</v>
      </c>
      <c r="B4128" s="1832">
        <f>'Acct Summary 7-8'!I10</f>
        <v>15421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10382</v>
      </c>
      <c r="C4130" s="2" t="s">
        <v>569</v>
      </c>
      <c r="D4130" s="2" t="str">
        <f t="shared" si="63"/>
        <v>Error?</v>
      </c>
    </row>
    <row r="4131" spans="1:4" x14ac:dyDescent="0.2">
      <c r="A4131" s="5">
        <v>4070</v>
      </c>
      <c r="B4131" s="1832">
        <f>'Acct Summary 7-8'!C18</f>
        <v>136217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1909985</v>
      </c>
      <c r="C4136" s="2" t="s">
        <v>569</v>
      </c>
      <c r="D4136" s="2" t="str">
        <f t="shared" si="63"/>
        <v>Error?</v>
      </c>
    </row>
    <row r="4137" spans="1:4" x14ac:dyDescent="0.2">
      <c r="A4137" s="5">
        <v>4076</v>
      </c>
      <c r="B4137" s="1832">
        <f>'Acct Summary 7-8'!D19</f>
        <v>237211</v>
      </c>
      <c r="C4137" s="2" t="s">
        <v>569</v>
      </c>
      <c r="D4137" s="2" t="str">
        <f t="shared" si="63"/>
        <v>Error?</v>
      </c>
    </row>
    <row r="4138" spans="1:4" x14ac:dyDescent="0.2">
      <c r="A4138" s="5">
        <v>4077</v>
      </c>
      <c r="B4138" s="1832">
        <f>'Acct Summary 7-8'!E19</f>
        <v>53575</v>
      </c>
      <c r="C4138" s="2" t="s">
        <v>569</v>
      </c>
      <c r="D4138" s="2" t="str">
        <f t="shared" si="63"/>
        <v>Error?</v>
      </c>
    </row>
    <row r="4139" spans="1:4" x14ac:dyDescent="0.2">
      <c r="A4139" s="5">
        <v>4078</v>
      </c>
      <c r="B4139" s="1832">
        <f>'Acct Summary 7-8'!F19</f>
        <v>202088</v>
      </c>
      <c r="C4139" s="2" t="s">
        <v>569</v>
      </c>
      <c r="D4139" s="2" t="str">
        <f t="shared" si="63"/>
        <v>Error?</v>
      </c>
    </row>
    <row r="4140" spans="1:4" x14ac:dyDescent="0.2">
      <c r="A4140" s="5">
        <v>4079</v>
      </c>
      <c r="B4140" s="1832">
        <f>'Acct Summary 7-8'!G19</f>
        <v>105065</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27775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205800</v>
      </c>
      <c r="C4171" s="2" t="s">
        <v>569</v>
      </c>
      <c r="D4171" s="2" t="str">
        <f t="shared" si="64"/>
        <v>Error?</v>
      </c>
    </row>
    <row r="4172" spans="1:4" x14ac:dyDescent="0.2">
      <c r="A4172" s="5">
        <v>4111</v>
      </c>
      <c r="B4172" s="1832">
        <f>'Short-Term Long-Term Debt 24'!J49</f>
        <v>205799</v>
      </c>
      <c r="C4172" s="2" t="s">
        <v>569</v>
      </c>
      <c r="D4172" s="2" t="str">
        <f t="shared" si="64"/>
        <v>Error?</v>
      </c>
    </row>
    <row r="4173" spans="1:4" x14ac:dyDescent="0.2">
      <c r="A4173" s="5">
        <v>4112</v>
      </c>
      <c r="B4173" s="1832">
        <f>'Short-Term Long-Term Debt 24'!H49</f>
        <v>117550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-1</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70250</v>
      </c>
      <c r="D4210" s="2" t="str">
        <f t="shared" si="64"/>
        <v>Error?</v>
      </c>
    </row>
    <row r="4211" spans="1:4" x14ac:dyDescent="0.2">
      <c r="A4211" s="5">
        <v>4150</v>
      </c>
      <c r="B4211" s="1832">
        <f>'Expenditures 15-22'!K206</f>
        <v>70250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1172.47</v>
      </c>
      <c r="C4265" s="2" t="s">
        <v>569</v>
      </c>
      <c r="D4265" s="2" t="str">
        <f t="shared" si="65"/>
        <v>Error?</v>
      </c>
      <c r="E4265" s="125"/>
    </row>
    <row r="4266" spans="1:5" x14ac:dyDescent="0.2">
      <c r="A4266" s="12">
        <v>4205</v>
      </c>
      <c r="B4266" s="1832">
        <f>('FP Info 3'!F10)*100000</f>
        <v>330.46999999999997</v>
      </c>
      <c r="C4266" s="2" t="s">
        <v>569</v>
      </c>
      <c r="D4266" s="2" t="str">
        <f t="shared" si="65"/>
        <v>Error?</v>
      </c>
      <c r="E4266" s="125"/>
    </row>
    <row r="4267" spans="1:5" x14ac:dyDescent="0.2">
      <c r="A4267" s="12">
        <v>4206</v>
      </c>
      <c r="B4267" s="1832">
        <f>('FP Info 3'!H10)*100000</f>
        <v>169.54999999999998</v>
      </c>
      <c r="C4267" s="2" t="s">
        <v>569</v>
      </c>
      <c r="D4267" s="2" t="str">
        <f t="shared" si="65"/>
        <v>Error?</v>
      </c>
      <c r="E4267" s="125"/>
    </row>
    <row r="4268" spans="1:5" x14ac:dyDescent="0.2">
      <c r="A4268" s="12">
        <v>4207</v>
      </c>
      <c r="B4268" s="1832">
        <f>('FP Info 3'!J10)*100000</f>
        <v>1671.9999999999998</v>
      </c>
      <c r="C4268" s="2" t="s">
        <v>569</v>
      </c>
      <c r="D4268" s="2" t="str">
        <f t="shared" si="65"/>
        <v>Error?</v>
      </c>
    </row>
    <row r="4269" spans="1:5" x14ac:dyDescent="0.2">
      <c r="A4269" s="12">
        <v>4208</v>
      </c>
      <c r="B4269" s="1832">
        <f>'FP Info 3'!J16</f>
        <v>1317302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3598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21026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29.339999999999996</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9000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29824</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35409529</v>
      </c>
      <c r="D4995" s="2" t="str">
        <f t="shared" si="77"/>
        <v>Error?</v>
      </c>
    </row>
    <row r="4996" spans="1:4" x14ac:dyDescent="0.2">
      <c r="A4996" s="12">
        <v>4935</v>
      </c>
      <c r="B4996" s="1832">
        <f>'FP Info 3'!H31</f>
        <v>2443257.5010000002</v>
      </c>
      <c r="D4996" s="2" t="str">
        <f t="shared" si="77"/>
        <v>Error?</v>
      </c>
    </row>
    <row r="4997" spans="1:4" x14ac:dyDescent="0.2">
      <c r="A4997" s="12">
        <v>4936</v>
      </c>
      <c r="B4997" s="1832">
        <f>'FP Info 3'!H37</f>
        <v>205800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10254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412361</v>
      </c>
      <c r="D5061" s="2" t="str">
        <f t="shared" si="78"/>
        <v>Error?</v>
      </c>
    </row>
    <row r="5062" spans="1:4" x14ac:dyDescent="0.2">
      <c r="A5062" s="10">
        <v>5001</v>
      </c>
      <c r="B5062" s="1832"/>
      <c r="D5062" s="2" t="str">
        <f t="shared" si="78"/>
        <v>OK</v>
      </c>
    </row>
    <row r="5063" spans="1:4" x14ac:dyDescent="0.2">
      <c r="A5063" s="5">
        <v>5002</v>
      </c>
      <c r="B5063" s="1832">
        <f>'Revenues 9-14'!C7</f>
        <v>4216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426831</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37567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37567</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28676</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28676</v>
      </c>
      <c r="C5087" s="2" t="s">
        <v>569</v>
      </c>
      <c r="D5087" s="2" t="str">
        <f t="shared" si="78"/>
        <v>Error?</v>
      </c>
    </row>
    <row r="5088" spans="1:4" x14ac:dyDescent="0.2">
      <c r="A5088" s="5">
        <v>5027</v>
      </c>
      <c r="B5088" s="1832">
        <f>'Revenues 9-14'!C65</f>
        <v>13797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13797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1071</v>
      </c>
      <c r="D5094" s="2" t="str">
        <f t="shared" si="78"/>
        <v>Error?</v>
      </c>
    </row>
    <row r="5095" spans="1:4" x14ac:dyDescent="0.2">
      <c r="A5095" s="5">
        <v>5034</v>
      </c>
      <c r="B5095" s="1832">
        <f>'Revenues 9-14'!C74</f>
        <v>56</v>
      </c>
      <c r="D5095" s="2" t="str">
        <f t="shared" si="78"/>
        <v>Error?</v>
      </c>
    </row>
    <row r="5096" spans="1:4" x14ac:dyDescent="0.2">
      <c r="A5096" s="5">
        <v>5035</v>
      </c>
      <c r="B5096" s="1832">
        <f>'Revenues 9-14'!C75</f>
        <v>1169</v>
      </c>
      <c r="C5096" s="2" t="s">
        <v>569</v>
      </c>
      <c r="D5096" s="2" t="str">
        <f t="shared" si="78"/>
        <v>Error?</v>
      </c>
    </row>
    <row r="5097" spans="1:4" x14ac:dyDescent="0.2">
      <c r="A5097" s="5">
        <v>5036</v>
      </c>
      <c r="B5097" s="1832">
        <f>'Revenues 9-14'!C77</f>
        <v>4832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4832</v>
      </c>
      <c r="C5102" s="2" t="s">
        <v>569</v>
      </c>
      <c r="D5102" s="2" t="str">
        <f t="shared" si="78"/>
        <v>Error?</v>
      </c>
    </row>
    <row r="5103" spans="1:4" x14ac:dyDescent="0.2">
      <c r="A5103" s="5">
        <v>5042</v>
      </c>
      <c r="B5103" s="1832">
        <f>'Revenues 9-14'!C84</f>
        <v>4550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4550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22612</v>
      </c>
      <c r="D5119" s="2" t="str">
        <f t="shared" ref="D5119:D5182" si="79">IF(ISBLANK(B5119),"OK",IF(A5119-B5119=0,"OK","Error?"))</f>
        <v>Error?</v>
      </c>
    </row>
    <row r="5120" spans="1:4" x14ac:dyDescent="0.2">
      <c r="A5120" s="5">
        <v>5059</v>
      </c>
      <c r="B5120" s="1832">
        <f>'Revenues 9-14'!C108</f>
        <v>22612</v>
      </c>
      <c r="C5120" s="2" t="s">
        <v>569</v>
      </c>
      <c r="D5120" s="2" t="str">
        <f t="shared" si="79"/>
        <v>Error?</v>
      </c>
    </row>
    <row r="5121" spans="1:4" x14ac:dyDescent="0.2">
      <c r="A5121" s="5">
        <v>5060</v>
      </c>
      <c r="B5121" s="1832">
        <f>'Revenues 9-14'!C109</f>
        <v>540034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992212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992212</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19308</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19308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1937</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21245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1013457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76234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33657</v>
      </c>
      <c r="D5241" s="2" t="str">
        <f t="shared" si="80"/>
        <v>Error?</v>
      </c>
    </row>
    <row r="5242" spans="1:4" x14ac:dyDescent="0.2">
      <c r="A5242" s="5">
        <v>5181</v>
      </c>
      <c r="B5242" s="1832">
        <f>'Revenues 9-14'!C194</f>
        <v>18754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128645</v>
      </c>
      <c r="C5246" s="2" t="s">
        <v>569</v>
      </c>
      <c r="D5246" s="2" t="str">
        <f t="shared" si="80"/>
        <v>Error?</v>
      </c>
    </row>
    <row r="5247" spans="1:4" x14ac:dyDescent="0.2">
      <c r="A5247" s="5">
        <v>5186</v>
      </c>
      <c r="B5247" s="1832">
        <f>'Revenues 9-14'!C200</f>
        <v>87319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87319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3370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15373</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18743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289155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289155</v>
      </c>
      <c r="C5326" s="2" t="s">
        <v>569</v>
      </c>
      <c r="D5326" s="2" t="str">
        <f t="shared" si="82"/>
        <v>Error?</v>
      </c>
    </row>
    <row r="5327" spans="1:5" x14ac:dyDescent="0.2">
      <c r="A5327" s="5">
        <v>5266</v>
      </c>
      <c r="B5327" s="1832">
        <f>'Revenues 9-14'!C268</f>
        <v>1842646</v>
      </c>
      <c r="C5327" s="2" t="s">
        <v>569</v>
      </c>
      <c r="D5327" s="2" t="str">
        <f t="shared" si="82"/>
        <v>Error?</v>
      </c>
    </row>
    <row r="5328" spans="1:5" x14ac:dyDescent="0.2">
      <c r="A5328" s="5">
        <v>5267</v>
      </c>
      <c r="B5328" s="1832">
        <f>'Revenues 9-14'!D5</f>
        <v>85882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85882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829</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829</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36070</v>
      </c>
      <c r="D5354" s="2" t="str">
        <f t="shared" si="82"/>
        <v>Error?</v>
      </c>
    </row>
    <row r="5355" spans="1:4" x14ac:dyDescent="0.2">
      <c r="A5355" s="5">
        <v>5294</v>
      </c>
      <c r="B5355" s="1832">
        <f>'Revenues 9-14'!D108</f>
        <v>36070</v>
      </c>
      <c r="C5355" s="2" t="s">
        <v>569</v>
      </c>
      <c r="D5355" s="2" t="str">
        <f t="shared" si="82"/>
        <v>Error?</v>
      </c>
    </row>
    <row r="5356" spans="1:4" x14ac:dyDescent="0.2">
      <c r="A5356" s="5">
        <v>5295</v>
      </c>
      <c r="B5356" s="1832">
        <f>'Revenues 9-14'!D109</f>
        <v>122781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119489</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119489</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9000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128489</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251270</v>
      </c>
      <c r="C5508" s="2" t="s">
        <v>569</v>
      </c>
      <c r="D5508" s="2" t="str">
        <f t="shared" si="85"/>
        <v>Error?</v>
      </c>
    </row>
    <row r="5509" spans="1:4" x14ac:dyDescent="0.2">
      <c r="A5509" s="5">
        <v>5448</v>
      </c>
      <c r="B5509" s="1832">
        <f>'Revenues 9-14'!E5</f>
        <v>53575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53575</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868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868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54443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54443</v>
      </c>
      <c r="C5552" s="2" t="s">
        <v>569</v>
      </c>
      <c r="D5552" s="2" t="str">
        <f t="shared" si="85"/>
        <v>Error?</v>
      </c>
    </row>
    <row r="5553" spans="1:4" x14ac:dyDescent="0.2">
      <c r="A5553" s="5">
        <v>5492</v>
      </c>
      <c r="B5553" s="1832">
        <f>'Revenues 9-14'!F5</f>
        <v>59253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59253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2720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2720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4489</v>
      </c>
      <c r="D5586" s="2" t="str">
        <f t="shared" si="86"/>
        <v>Error?</v>
      </c>
    </row>
    <row r="5587" spans="1:4" x14ac:dyDescent="0.2">
      <c r="A5587" s="5">
        <v>5526</v>
      </c>
      <c r="B5587" s="1832">
        <f>'Revenues 9-14'!F108</f>
        <v>4489</v>
      </c>
      <c r="C5587" s="2" t="s">
        <v>569</v>
      </c>
      <c r="D5587" s="2" t="str">
        <f t="shared" si="86"/>
        <v>Error?</v>
      </c>
    </row>
    <row r="5588" spans="1:4" x14ac:dyDescent="0.2">
      <c r="A5588" s="5">
        <v>5527</v>
      </c>
      <c r="B5588" s="1832">
        <f>'Revenues 9-14'!F109</f>
        <v>66462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104450</v>
      </c>
      <c r="D5615" s="2" t="str">
        <f t="shared" si="86"/>
        <v>Error?</v>
      </c>
    </row>
    <row r="5616" spans="1:4" x14ac:dyDescent="0.2">
      <c r="A5616" s="10">
        <v>5555</v>
      </c>
      <c r="B5616" s="1832"/>
      <c r="D5616" s="2" t="str">
        <f t="shared" si="86"/>
        <v>OK</v>
      </c>
    </row>
    <row r="5617" spans="1:5" x14ac:dyDescent="0.2">
      <c r="A5617" s="5">
        <v>5556</v>
      </c>
      <c r="B5617" s="1832">
        <f>'Revenues 9-14'!F153</f>
        <v>31700</v>
      </c>
      <c r="D5617" s="2" t="str">
        <f t="shared" si="86"/>
        <v>Error?</v>
      </c>
    </row>
    <row r="5618" spans="1:5" x14ac:dyDescent="0.2">
      <c r="A5618" s="5">
        <v>5557</v>
      </c>
      <c r="B5618" s="1832">
        <f>'Revenues 9-14'!F155</f>
        <v>136150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136150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136150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202612</v>
      </c>
      <c r="C5720" s="2" t="s">
        <v>569</v>
      </c>
      <c r="D5720" s="2" t="str">
        <f t="shared" si="88"/>
        <v>Error?</v>
      </c>
    </row>
    <row r="5721" spans="1:4" x14ac:dyDescent="0.2">
      <c r="A5721" s="5">
        <v>5660</v>
      </c>
      <c r="B5721" s="1832">
        <f>'Revenues 9-14'!G5</f>
        <v>39028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52410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91438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8500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8500</v>
      </c>
      <c r="C5730" s="2" t="s">
        <v>569</v>
      </c>
      <c r="D5730" s="2" t="str">
        <f t="shared" si="88"/>
        <v>Error?</v>
      </c>
    </row>
    <row r="5731" spans="1:4" x14ac:dyDescent="0.2">
      <c r="A5731" s="5">
        <v>5670</v>
      </c>
      <c r="B5731" s="1832">
        <f>'Revenues 9-14'!G65</f>
        <v>3001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3001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102939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52</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52</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50052</v>
      </c>
      <c r="C5915" s="2" t="s">
        <v>569</v>
      </c>
      <c r="D5915" s="2" t="str">
        <f t="shared" si="91"/>
        <v>Error?</v>
      </c>
    </row>
    <row r="5916" spans="1:4" x14ac:dyDescent="0.2">
      <c r="A5916" s="5">
        <v>5855</v>
      </c>
      <c r="B5916" s="1832">
        <f>'Revenues 9-14'!I5</f>
        <v>10254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10254</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5167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5167</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15421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10254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10254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128</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128</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10382</v>
      </c>
      <c r="C6023" s="2" t="s">
        <v>569</v>
      </c>
      <c r="D6023" s="2" t="str">
        <f t="shared" si="93"/>
        <v>Error?</v>
      </c>
    </row>
    <row r="6024" spans="1:5" x14ac:dyDescent="0.2">
      <c r="A6024" s="5">
        <v>5963</v>
      </c>
      <c r="B6024" s="1832">
        <f>'Revenues 9-14'!G109</f>
        <v>102939</v>
      </c>
      <c r="C6024" s="2" t="s">
        <v>569</v>
      </c>
      <c r="D6024" s="2" t="str">
        <f t="shared" si="93"/>
        <v>Error?</v>
      </c>
    </row>
    <row r="6025" spans="1:5" x14ac:dyDescent="0.2">
      <c r="A6025" s="5">
        <v>5964</v>
      </c>
      <c r="B6025" s="1832">
        <f>'Revenues 9-14'!H109</f>
        <v>52</v>
      </c>
      <c r="C6025" s="2" t="s">
        <v>569</v>
      </c>
      <c r="D6025" s="2" t="str">
        <f t="shared" si="93"/>
        <v>Error?</v>
      </c>
    </row>
    <row r="6026" spans="1:5" x14ac:dyDescent="0.2">
      <c r="A6026" s="5">
        <v>5965</v>
      </c>
      <c r="B6026" s="1832">
        <f>'Revenues 9-14'!I109</f>
        <v>15421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10382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13158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228.3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102253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102253</v>
      </c>
      <c r="D6215" s="2" t="str">
        <f t="shared" si="96"/>
        <v>Error?</v>
      </c>
      <c r="E6215" s="2" t="s">
        <v>189</v>
      </c>
    </row>
    <row r="6216" spans="1:5" x14ac:dyDescent="0.2">
      <c r="A6216">
        <v>6155</v>
      </c>
      <c r="B6216" s="1832">
        <f>'Assets-Liab 5-6'!J41</f>
        <v>102253</v>
      </c>
      <c r="D6216" s="2" t="str">
        <f t="shared" si="96"/>
        <v>Error?</v>
      </c>
      <c r="E6216" s="2" t="s">
        <v>189</v>
      </c>
    </row>
    <row r="6217" spans="1:5" x14ac:dyDescent="0.2">
      <c r="A6217">
        <v>6156</v>
      </c>
      <c r="B6217" s="1832">
        <f>'Assets-Liab 5-6'!J4</f>
        <v>102253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62339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62339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62339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59092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59092</v>
      </c>
      <c r="D6229" s="2" t="str">
        <f t="shared" si="96"/>
        <v>Error?</v>
      </c>
      <c r="E6229" s="2" t="s">
        <v>189</v>
      </c>
    </row>
    <row r="6230" spans="1:5" x14ac:dyDescent="0.2">
      <c r="A6230">
        <v>6169</v>
      </c>
      <c r="B6230" s="1832">
        <f>'Acct Summary 7-8'!J20</f>
        <v>3247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3247</v>
      </c>
      <c r="D6263" s="2" t="str">
        <f t="shared" si="96"/>
        <v>Error?</v>
      </c>
      <c r="E6263" s="2" t="s">
        <v>189</v>
      </c>
    </row>
    <row r="6264" spans="1:5" x14ac:dyDescent="0.2">
      <c r="A6264">
        <v>6203</v>
      </c>
      <c r="B6264" s="1832">
        <f>'Acct Summary 7-8'!J79</f>
        <v>99006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102253</v>
      </c>
      <c r="D6266" s="2" t="str">
        <f t="shared" si="96"/>
        <v>Error?</v>
      </c>
      <c r="E6266" s="2" t="s">
        <v>189</v>
      </c>
    </row>
    <row r="6267" spans="1:5" x14ac:dyDescent="0.2">
      <c r="A6267">
        <v>6206</v>
      </c>
      <c r="B6267" s="1832">
        <f>'Acct Summary 7-8'!C82</f>
        <v>68878</v>
      </c>
      <c r="D6267" s="2" t="str">
        <f t="shared" si="96"/>
        <v>Error?</v>
      </c>
      <c r="E6267" s="2" t="s">
        <v>189</v>
      </c>
    </row>
    <row r="6268" spans="1:5" x14ac:dyDescent="0.2">
      <c r="A6268">
        <v>6207</v>
      </c>
      <c r="B6268" s="1832">
        <f>'Acct Summary 7-8'!D82</f>
        <v>36346</v>
      </c>
      <c r="D6268" s="2" t="str">
        <f t="shared" si="96"/>
        <v>Error?</v>
      </c>
      <c r="E6268" s="2" t="s">
        <v>189</v>
      </c>
    </row>
    <row r="6269" spans="1:5" x14ac:dyDescent="0.2">
      <c r="A6269">
        <v>6208</v>
      </c>
      <c r="B6269" s="1832">
        <f>'Acct Summary 7-8'!E82</f>
        <v>-21419</v>
      </c>
      <c r="D6269" s="2" t="str">
        <f t="shared" si="96"/>
        <v>Error?</v>
      </c>
      <c r="E6269" s="2" t="s">
        <v>189</v>
      </c>
    </row>
    <row r="6270" spans="1:5" x14ac:dyDescent="0.2">
      <c r="A6270">
        <v>6209</v>
      </c>
      <c r="B6270" s="1832">
        <f>'Acct Summary 7-8'!F82</f>
        <v>524</v>
      </c>
      <c r="D6270" s="2" t="str">
        <f t="shared" si="96"/>
        <v>Error?</v>
      </c>
      <c r="E6270" s="2" t="s">
        <v>189</v>
      </c>
    </row>
    <row r="6271" spans="1:5" x14ac:dyDescent="0.2">
      <c r="A6271">
        <v>6210</v>
      </c>
      <c r="B6271" s="1832">
        <f>'Acct Summary 7-8'!G82</f>
        <v>-2126</v>
      </c>
      <c r="D6271" s="2" t="str">
        <f t="shared" ref="D6271:D6334" si="97">IF(ISBLANK(B6271),"OK",IF(A6271-B6271=0,"OK","Error?"))</f>
        <v>Error?</v>
      </c>
      <c r="E6271" s="2" t="s">
        <v>189</v>
      </c>
    </row>
    <row r="6272" spans="1:5" x14ac:dyDescent="0.2">
      <c r="A6272">
        <v>6211</v>
      </c>
      <c r="B6272" s="1832">
        <f>'Acct Summary 7-8'!H82</f>
        <v>130052</v>
      </c>
      <c r="D6272" s="2" t="str">
        <f t="shared" si="97"/>
        <v>Error?</v>
      </c>
      <c r="E6272" s="2" t="s">
        <v>189</v>
      </c>
    </row>
    <row r="6273" spans="1:5" x14ac:dyDescent="0.2">
      <c r="A6273">
        <v>6212</v>
      </c>
      <c r="B6273" s="1832">
        <f>'Acct Summary 7-8'!I82</f>
        <v>-64579</v>
      </c>
      <c r="D6273" s="2" t="str">
        <f t="shared" si="97"/>
        <v>Error?</v>
      </c>
      <c r="E6273" s="2" t="s">
        <v>189</v>
      </c>
    </row>
    <row r="6274" spans="1:5" x14ac:dyDescent="0.2">
      <c r="A6274">
        <v>6213</v>
      </c>
      <c r="B6274" s="1832">
        <f>'Acct Summary 7-8'!J82</f>
        <v>3247</v>
      </c>
      <c r="D6274" s="2" t="str">
        <f t="shared" si="97"/>
        <v>Error?</v>
      </c>
      <c r="E6274" s="2" t="s">
        <v>189</v>
      </c>
    </row>
    <row r="6275" spans="1:5" x14ac:dyDescent="0.2">
      <c r="A6275">
        <v>6214</v>
      </c>
      <c r="B6275" s="1832">
        <f>'Acct Summary 7-8'!K82</f>
        <v>-17393</v>
      </c>
      <c r="D6275" s="2" t="str">
        <f t="shared" si="97"/>
        <v>Error?</v>
      </c>
      <c r="E6275" s="2" t="s">
        <v>189</v>
      </c>
    </row>
    <row r="6276" spans="1:5" x14ac:dyDescent="0.2">
      <c r="A6276">
        <v>6215</v>
      </c>
      <c r="B6276" s="1832">
        <f>'Acct Summary 7-8'!C83</f>
        <v>8.8074328298663504E-2</v>
      </c>
      <c r="D6276" s="2" t="str">
        <f t="shared" si="97"/>
        <v>Error?</v>
      </c>
      <c r="E6276" s="2" t="s">
        <v>189</v>
      </c>
    </row>
    <row r="6277" spans="1:5" x14ac:dyDescent="0.2">
      <c r="A6277">
        <v>6216</v>
      </c>
      <c r="B6277" s="1832">
        <f>'Acct Summary 7-8'!D83</f>
        <v>0.64600181291434866</v>
      </c>
      <c r="D6277" s="2" t="str">
        <f t="shared" si="97"/>
        <v>Error?</v>
      </c>
      <c r="E6277" s="2" t="s">
        <v>189</v>
      </c>
    </row>
    <row r="6278" spans="1:5" x14ac:dyDescent="0.2">
      <c r="A6278">
        <v>6217</v>
      </c>
      <c r="B6278" s="1832">
        <f>'Acct Summary 7-8'!E83</f>
        <v>-21419</v>
      </c>
      <c r="D6278" s="2" t="str">
        <f t="shared" si="97"/>
        <v>Error?</v>
      </c>
      <c r="E6278" s="2" t="s">
        <v>189</v>
      </c>
    </row>
    <row r="6279" spans="1:5" x14ac:dyDescent="0.2">
      <c r="A6279">
        <v>6218</v>
      </c>
      <c r="B6279" s="1832">
        <f>'Acct Summary 7-8'!F83</f>
        <v>2.4763939167666989E-3</v>
      </c>
      <c r="D6279" s="2" t="str">
        <f t="shared" si="97"/>
        <v>Error?</v>
      </c>
      <c r="E6279" s="2" t="s">
        <v>189</v>
      </c>
    </row>
    <row r="6280" spans="1:5" x14ac:dyDescent="0.2">
      <c r="A6280">
        <v>6219</v>
      </c>
      <c r="B6280" s="1832">
        <f>'Acct Summary 7-8'!G83</f>
        <v>-1.2819353243730517E-2</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f>'Acct Summary 7-8'!I83</f>
        <v>-0.24150981499418467</v>
      </c>
      <c r="D6282" s="2" t="str">
        <f t="shared" si="97"/>
        <v>Error?</v>
      </c>
      <c r="E6282" s="2" t="s">
        <v>189</v>
      </c>
    </row>
    <row r="6283" spans="1:5" x14ac:dyDescent="0.2">
      <c r="A6283">
        <v>6222</v>
      </c>
      <c r="B6283" s="1832">
        <f>'Acct Summary 7-8'!J83</f>
        <v>3.1754569548081722E-2</v>
      </c>
      <c r="D6283" s="2" t="str">
        <f t="shared" si="97"/>
        <v>Error?</v>
      </c>
      <c r="E6283" s="2" t="s">
        <v>189</v>
      </c>
    </row>
    <row r="6284" spans="1:5" x14ac:dyDescent="0.2">
      <c r="A6284">
        <v>6223</v>
      </c>
      <c r="B6284" s="1832">
        <f>'Acct Summary 7-8'!K83</f>
        <v>-1.4877256008895732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60903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60903</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1436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1436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62339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34202</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59092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62339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2556</v>
      </c>
      <c r="D7067" s="2" t="str">
        <f t="shared" si="109"/>
        <v>Error?</v>
      </c>
    </row>
    <row r="7068" spans="1:4" x14ac:dyDescent="0.2">
      <c r="A7068">
        <v>7007</v>
      </c>
      <c r="B7068" s="1832">
        <f>'Expenditures 15-22'!K205</f>
        <v>2556</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752</v>
      </c>
      <c r="D7073" s="2" t="str">
        <f t="shared" si="109"/>
        <v>Error?</v>
      </c>
    </row>
    <row r="7074" spans="1:4" x14ac:dyDescent="0.2">
      <c r="A7074">
        <v>7013</v>
      </c>
      <c r="B7074" s="1832">
        <f>'Expenditures 15-22'!K216</f>
        <v>752</v>
      </c>
      <c r="D7074" s="2" t="str">
        <f t="shared" si="109"/>
        <v>Error?</v>
      </c>
    </row>
    <row r="7075" spans="1:4" x14ac:dyDescent="0.2">
      <c r="A7075">
        <v>7014</v>
      </c>
      <c r="B7075" s="1832">
        <f>'Expenditures 15-22'!D218</f>
        <v>424</v>
      </c>
      <c r="D7075" s="2" t="str">
        <f t="shared" si="109"/>
        <v>Error?</v>
      </c>
    </row>
    <row r="7076" spans="1:4" x14ac:dyDescent="0.2">
      <c r="A7076">
        <v>7015</v>
      </c>
      <c r="B7076" s="1832">
        <f>'Expenditures 15-22'!K218</f>
        <v>424</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4218</v>
      </c>
      <c r="D7085" s="2" t="str">
        <f t="shared" si="109"/>
        <v>Error?</v>
      </c>
    </row>
    <row r="7086" spans="1:4" x14ac:dyDescent="0.2">
      <c r="A7086">
        <v>7025</v>
      </c>
      <c r="B7086" s="1832">
        <f>'Expenditures 15-22'!K250</f>
        <v>4218</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824</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824</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39135</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39135</v>
      </c>
      <c r="D7153" s="2" t="str">
        <f t="shared" si="110"/>
        <v>Error?</v>
      </c>
    </row>
    <row r="7154" spans="1:4" x14ac:dyDescent="0.2">
      <c r="A7154">
        <v>7093</v>
      </c>
      <c r="B7154" s="1832">
        <f>'Expenditures 15-22'!C323</f>
        <v>17030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17030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2103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2103</v>
      </c>
      <c r="D7198" s="2" t="str">
        <f t="shared" si="111"/>
        <v>Error?</v>
      </c>
    </row>
    <row r="7199" spans="1:4" x14ac:dyDescent="0.2">
      <c r="A7199">
        <v>7138</v>
      </c>
      <c r="B7199" s="1832">
        <f>'Expenditures 15-22'!C330</f>
        <v>17030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42062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59092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17030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42062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59092</v>
      </c>
      <c r="D7224" s="2" t="str">
        <f t="shared" si="111"/>
        <v>Error?</v>
      </c>
    </row>
    <row r="7225" spans="1:4" x14ac:dyDescent="0.2">
      <c r="A7225">
        <v>7164</v>
      </c>
      <c r="B7225" s="1832">
        <f>'Expenditures 15-22'!K343</f>
        <v>3247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31019</v>
      </c>
      <c r="D7251" s="2" t="str">
        <f t="shared" si="112"/>
        <v>Error?</v>
      </c>
    </row>
    <row r="7252" spans="1:4" x14ac:dyDescent="0.2">
      <c r="A7252">
        <f t="shared" si="113"/>
        <v>7191</v>
      </c>
      <c r="B7252" s="1832">
        <f>'Expenditures 15-22'!D9</f>
        <v>3183</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137769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80000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592450</v>
      </c>
      <c r="D7817" s="2" t="str">
        <f t="shared" si="128"/>
        <v>Error?</v>
      </c>
      <c r="E7817" s="4" t="s">
        <v>1966</v>
      </c>
    </row>
    <row r="7818" spans="1:5" x14ac:dyDescent="0.2">
      <c r="A7818">
        <v>7757</v>
      </c>
      <c r="B7818" s="1832">
        <f>'PCTC-OEPP 27-28'!F172</f>
        <v>91139</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2430799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34202</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323606</v>
      </c>
      <c r="D7834" s="2" t="str">
        <f t="shared" si="129"/>
        <v>Error?</v>
      </c>
      <c r="E7834" s="4" t="s">
        <v>1998</v>
      </c>
    </row>
    <row r="7835" spans="1:5" x14ac:dyDescent="0.2">
      <c r="A7835">
        <v>7774</v>
      </c>
      <c r="B7835" s="1832">
        <f>'PCTC-OEPP 27-28'!F78</f>
        <v>2107193</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9229.929916776171</v>
      </c>
      <c r="D7837" s="2" t="str">
        <f t="shared" si="129"/>
        <v>Error?</v>
      </c>
      <c r="E7837" s="4" t="s">
        <v>1998</v>
      </c>
    </row>
    <row r="7838" spans="1:5" x14ac:dyDescent="0.2">
      <c r="A7838">
        <v>7777</v>
      </c>
      <c r="B7838" s="1832">
        <f>'PCTC-OEPP 27-28'!F96</f>
        <v>4832</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19308</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136150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9000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128645</v>
      </c>
      <c r="D7858" s="2" t="str">
        <f t="shared" si="129"/>
        <v>Error?</v>
      </c>
      <c r="E7858" s="4" t="s">
        <v>1998</v>
      </c>
    </row>
    <row r="7859" spans="1:5" x14ac:dyDescent="0.2">
      <c r="A7859">
        <v>7798</v>
      </c>
      <c r="B7859" s="1832">
        <f>'PCTC-OEPP 27-28'!F127</f>
        <v>87319</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15373</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3598</v>
      </c>
      <c r="D7874" s="2" t="str">
        <f t="shared" si="129"/>
        <v>Error?</v>
      </c>
      <c r="E7874" s="4" t="s">
        <v>1998</v>
      </c>
    </row>
    <row r="7875" spans="1:5" x14ac:dyDescent="0.2">
      <c r="A7875">
        <v>7814</v>
      </c>
      <c r="B7875" s="1832">
        <f>'PCTC-OEPP 27-28'!F170</f>
        <v>21026</v>
      </c>
      <c r="D7875" s="2" t="str">
        <f t="shared" si="129"/>
        <v>Error?</v>
      </c>
      <c r="E7875" s="4" t="s">
        <v>1998</v>
      </c>
    </row>
    <row r="7876" spans="1:5" x14ac:dyDescent="0.2">
      <c r="A7876">
        <v>7815</v>
      </c>
      <c r="B7876" s="1832">
        <f>'PCTC-OEPP 27-28'!F171</f>
        <v>29824</v>
      </c>
      <c r="D7876" s="2" t="str">
        <f t="shared" si="129"/>
        <v>Error?</v>
      </c>
      <c r="E7876" s="4" t="s">
        <v>1998</v>
      </c>
    </row>
    <row r="7877" spans="1:5" x14ac:dyDescent="0.2">
      <c r="A7877">
        <v>7816</v>
      </c>
      <c r="B7877" s="1832">
        <f>'PCTC-OEPP 27-28'!F175</f>
        <v>553870</v>
      </c>
      <c r="D7877" s="2" t="str">
        <f t="shared" si="129"/>
        <v>Error?</v>
      </c>
      <c r="E7877" s="4" t="s">
        <v>1998</v>
      </c>
    </row>
    <row r="7878" spans="1:5" x14ac:dyDescent="0.2">
      <c r="A7878">
        <v>7817</v>
      </c>
      <c r="B7878" s="1832">
        <f>'PCTC-OEPP 27-28'!F176</f>
        <v>1553323</v>
      </c>
      <c r="D7878" s="2" t="str">
        <f t="shared" si="129"/>
        <v>Error?</v>
      </c>
      <c r="E7878" s="4" t="s">
        <v>1998</v>
      </c>
    </row>
    <row r="7879" spans="1:5" x14ac:dyDescent="0.2">
      <c r="A7879">
        <v>7818</v>
      </c>
      <c r="B7879" s="1832">
        <f>'PCTC-OEPP 27-28'!F178</f>
        <v>1691092</v>
      </c>
      <c r="D7879" s="2" t="str">
        <f t="shared" si="129"/>
        <v>Error?</v>
      </c>
      <c r="E7879" s="4" t="s">
        <v>1998</v>
      </c>
    </row>
    <row r="7880" spans="1:5" x14ac:dyDescent="0.2">
      <c r="A7880">
        <v>7819</v>
      </c>
      <c r="B7880" s="1832">
        <f>'PCTC-OEPP 27-28'!F180</f>
        <v>7407.3236968900565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20" t="s">
        <v>1180</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4" t="str">
        <f>COVER!A17</f>
        <v xml:space="preserve">  Raccoon Cons SD 1</v>
      </c>
      <c r="B7" s="2515"/>
      <c r="C7" s="2515"/>
      <c r="D7" s="2553"/>
      <c r="E7" s="2554">
        <f>COVER!A13</f>
        <v>13058001003</v>
      </c>
      <c r="F7" s="2555"/>
      <c r="G7" s="2521" t="str">
        <f>COVER!T23</f>
        <v>066-005231</v>
      </c>
      <c r="H7" s="2522"/>
      <c r="I7" s="2522"/>
      <c r="J7" s="2522"/>
      <c r="K7" s="2522"/>
      <c r="L7" s="252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4"/>
      <c r="B9" s="2525"/>
      <c r="C9" s="2525"/>
      <c r="D9" s="2525"/>
      <c r="E9" s="2525"/>
      <c r="F9" s="2526"/>
      <c r="G9" s="2527" t="str">
        <f>COVER!T13</f>
        <v>Leymone Hardcastle &amp; Co., Ltd.</v>
      </c>
      <c r="H9" s="2528"/>
      <c r="I9" s="2528"/>
      <c r="J9" s="2528"/>
      <c r="K9" s="2528"/>
      <c r="L9" s="2529"/>
    </row>
    <row r="10" spans="1:29" ht="13.5" customHeight="1" x14ac:dyDescent="0.2">
      <c r="A10" s="2511" t="str">
        <f>COVER!A38</f>
        <v>Misty Johannes</v>
      </c>
      <c r="B10" s="2512"/>
      <c r="C10" s="2512"/>
      <c r="D10" s="2512"/>
      <c r="E10" s="2512"/>
      <c r="F10" s="2513"/>
      <c r="G10" s="2527" t="str">
        <f>COVER!T17</f>
        <v>200 West Main Street</v>
      </c>
      <c r="H10" s="2540"/>
      <c r="I10" s="2540"/>
      <c r="J10" s="2540"/>
      <c r="K10" s="2540"/>
      <c r="L10" s="2541"/>
    </row>
    <row r="11" spans="1:29" ht="13.5" customHeight="1" x14ac:dyDescent="0.2">
      <c r="A11" s="963" t="s">
        <v>1502</v>
      </c>
      <c r="B11" s="964"/>
      <c r="C11" s="965"/>
      <c r="D11" s="970"/>
      <c r="E11" s="965"/>
      <c r="F11" s="969"/>
      <c r="G11" s="2527" t="str">
        <f>COVER!T19</f>
        <v>Salem</v>
      </c>
      <c r="H11" s="2540"/>
      <c r="I11" s="2540"/>
      <c r="J11" s="2540"/>
      <c r="K11" s="2540"/>
      <c r="L11" s="2541"/>
    </row>
    <row r="12" spans="1:29" ht="13.5" customHeight="1" x14ac:dyDescent="0.2">
      <c r="A12" s="2545" t="s">
        <v>1501</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1503</v>
      </c>
      <c r="H13" s="2536"/>
      <c r="I13" s="2548" t="str">
        <f>COVER!T25</f>
        <v>sara@hardcastlecpa.com</v>
      </c>
      <c r="J13" s="2549"/>
      <c r="K13" s="2549"/>
      <c r="L13" s="2550"/>
    </row>
    <row r="14" spans="1:29" ht="13.5" customHeight="1" x14ac:dyDescent="0.2">
      <c r="A14" s="2527" t="str">
        <f>COVER!A19</f>
        <v>3601 State Route 161</v>
      </c>
      <c r="B14" s="2540"/>
      <c r="C14" s="2540"/>
      <c r="D14" s="2540"/>
      <c r="E14" s="2540"/>
      <c r="F14" s="2541"/>
      <c r="G14" s="974" t="s">
        <v>1175</v>
      </c>
      <c r="H14" s="972"/>
      <c r="I14" s="972"/>
      <c r="J14" s="972"/>
      <c r="K14" s="972"/>
      <c r="L14" s="973"/>
    </row>
    <row r="15" spans="1:29" ht="13.5" customHeight="1" x14ac:dyDescent="0.2">
      <c r="A15" s="2527" t="str">
        <f>COVER!A21</f>
        <v>Centralia</v>
      </c>
      <c r="B15" s="2540"/>
      <c r="C15" s="2540"/>
      <c r="D15" s="2540"/>
      <c r="E15" s="2540"/>
      <c r="F15" s="2541"/>
      <c r="G15" s="2537" t="str">
        <f>COVER!T15</f>
        <v>Sara E. Hanks</v>
      </c>
      <c r="H15" s="2538"/>
      <c r="I15" s="2538"/>
      <c r="J15" s="2538"/>
      <c r="K15" s="2538"/>
      <c r="L15" s="2539"/>
    </row>
    <row r="16" spans="1:29" ht="12.2" customHeight="1" x14ac:dyDescent="0.2">
      <c r="A16" s="2517">
        <f>COVER!A25</f>
        <v>62801</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4" t="s">
        <v>1174</v>
      </c>
      <c r="H17" s="972"/>
      <c r="I17" s="972"/>
      <c r="J17" s="972"/>
      <c r="K17" s="976" t="s">
        <v>1173</v>
      </c>
      <c r="L17" s="969"/>
      <c r="M17" s="962"/>
    </row>
    <row r="18" spans="1:13" ht="12.2" customHeight="1" x14ac:dyDescent="0.2">
      <c r="A18" s="2511"/>
      <c r="B18" s="2512"/>
      <c r="C18" s="2512"/>
      <c r="D18" s="2512"/>
      <c r="E18" s="2512"/>
      <c r="F18" s="2513"/>
      <c r="G18" s="2514" t="str">
        <f>COVER!T21</f>
        <v>618-548-1002</v>
      </c>
      <c r="H18" s="2515"/>
      <c r="I18" s="2515"/>
      <c r="J18" s="2515"/>
      <c r="K18" s="2514" t="str">
        <f>COVER!X21</f>
        <v>618-548-1018</v>
      </c>
      <c r="L18" s="251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5"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 xml:space="preserve">  Raccoon Cons SD 1</v>
      </c>
      <c r="B1" s="2557"/>
      <c r="C1" s="2557"/>
      <c r="D1" s="2557"/>
    </row>
    <row r="2" spans="1:11" s="991" customFormat="1" ht="12.75" x14ac:dyDescent="0.2">
      <c r="A2" s="2558">
        <f>'Single Audit Cover'!E7</f>
        <v>13058001003</v>
      </c>
      <c r="B2" s="2559"/>
      <c r="C2" s="2559"/>
      <c r="D2" s="2559"/>
    </row>
    <row r="3" spans="1:11" s="991" customFormat="1" ht="12.75" x14ac:dyDescent="0.2">
      <c r="A3" s="2556" t="s">
        <v>1496</v>
      </c>
      <c r="B3" s="2557"/>
      <c r="C3" s="2557"/>
      <c r="D3" s="255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2" right="0" top="0.66" bottom="0.56999999999999995" header="0.3" footer="0.31"/>
  <pageSetup scale="92" firstPageNumber="36" fitToHeight="0" orientation="portrait" r:id="rId5"/>
  <headerFooter alignWithMargins="0">
    <oddFooter>&amp;C&amp;12-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 xml:space="preserve">  Raccoon Cons SD 1</v>
      </c>
      <c r="B1" s="2561"/>
      <c r="C1" s="2561"/>
      <c r="D1" s="2561"/>
      <c r="E1" s="2561"/>
    </row>
    <row r="2" spans="1:5" x14ac:dyDescent="0.2">
      <c r="A2" s="2562">
        <f>'Single Audit Cover'!E7</f>
        <v>13058001003</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6" t="s">
        <v>1232</v>
      </c>
    </row>
    <row r="10" spans="1:5" x14ac:dyDescent="0.2">
      <c r="A10" s="1037" t="s">
        <v>1231</v>
      </c>
      <c r="B10" s="1038" t="s">
        <v>1230</v>
      </c>
      <c r="C10" s="1038"/>
      <c r="D10" s="1039">
        <f>SUM('Acct Summary 7-8'!C7:K7)</f>
        <v>289155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13158</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-21026</v>
      </c>
    </row>
    <row r="19" spans="1:4" ht="13.5" thickBot="1" x14ac:dyDescent="0.25">
      <c r="A19" s="1041" t="s">
        <v>1224</v>
      </c>
      <c r="D19" s="1042">
        <f>SUM(D10:D17)</f>
        <v>281287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1222</v>
      </c>
      <c r="D32" s="1039">
        <f>SUM(D19:D30)</f>
        <v>281287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1216</v>
      </c>
      <c r="C47" s="1048"/>
      <c r="D47" s="1049">
        <f>SUM(D35:D45)</f>
        <v>0</v>
      </c>
    </row>
    <row r="49" spans="2:4" x14ac:dyDescent="0.2">
      <c r="B49" s="1048" t="s">
        <v>1215</v>
      </c>
      <c r="C49" s="1048"/>
      <c r="D49" s="1049">
        <f>D32-D47</f>
        <v>281287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71" header="0.5" footer="0.38"/>
  <pageSetup firstPageNumber="37" orientation="portrait" r:id="rId1"/>
  <headerFooter alignWithMargins="0">
    <oddFooter>&amp;C&amp;12-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Raccoon Cons SD 1</v>
      </c>
      <c r="C1" s="2565"/>
      <c r="D1" s="2565"/>
      <c r="E1" s="2565"/>
      <c r="F1" s="2565"/>
      <c r="G1" s="2565"/>
      <c r="H1" s="2565"/>
      <c r="I1" s="2565"/>
      <c r="J1" s="2565"/>
      <c r="K1" s="2565"/>
      <c r="L1" s="2565"/>
      <c r="M1" s="2565"/>
    </row>
    <row r="2" spans="2:14" ht="15" x14ac:dyDescent="0.2">
      <c r="B2" s="2566">
        <f>'Single Audit Cover'!E7</f>
        <v>13058001003</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3"/>
      <c r="J5" s="1913"/>
    </row>
    <row r="6" spans="2:14" x14ac:dyDescent="0.2">
      <c r="B6" s="1079"/>
      <c r="C6" s="1080"/>
      <c r="D6" s="1081" t="s">
        <v>1254</v>
      </c>
      <c r="E6" s="1082" t="s">
        <v>524</v>
      </c>
      <c r="F6" s="1083"/>
      <c r="G6" s="1084" t="s">
        <v>1711</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46" right="0" top="0.54" bottom="0.5" header="0.25" footer="0.25"/>
  <pageSetup scale="80" firstPageNumber="38" orientation="landscape" r:id="rId1"/>
  <headerFooter alignWithMargins="0">
    <oddFooter>&amp;C&amp;14-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 xml:space="preserve">  Raccoon Cons SD 1</v>
      </c>
      <c r="B1" s="2570"/>
      <c r="C1" s="2570"/>
      <c r="D1" s="2570"/>
      <c r="E1" s="2570"/>
      <c r="F1" s="2570"/>
    </row>
    <row r="2" spans="1:7" ht="13.5" customHeight="1" x14ac:dyDescent="0.2">
      <c r="A2" s="2566">
        <f>'Single Audit Cover'!E7</f>
        <v>13058001003</v>
      </c>
      <c r="B2" s="2566"/>
      <c r="C2" s="2566"/>
      <c r="D2" s="2566"/>
      <c r="E2" s="2566"/>
      <c r="F2" s="2566"/>
      <c r="G2" s="1051"/>
    </row>
    <row r="3" spans="1:7" ht="15.75" customHeight="1" x14ac:dyDescent="0.2">
      <c r="A3" s="2571" t="s">
        <v>1260</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2" t="s">
        <v>1705</v>
      </c>
      <c r="C6" s="295"/>
      <c r="D6" s="295"/>
    </row>
    <row r="7" spans="1:7" ht="60.95" customHeight="1" x14ac:dyDescent="0.2">
      <c r="A7" s="2569" t="s">
        <v>1706</v>
      </c>
      <c r="B7" s="2569"/>
      <c r="C7" s="2569"/>
      <c r="D7" s="2569"/>
      <c r="E7" s="2569"/>
      <c r="F7" s="256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69" t="s">
        <v>1708</v>
      </c>
      <c r="B13" s="2569"/>
      <c r="C13" s="2569"/>
      <c r="D13" s="2569"/>
      <c r="E13" s="2569"/>
      <c r="F13" s="2569"/>
    </row>
    <row r="14" spans="1:7" ht="9.75" customHeight="1" x14ac:dyDescent="0.2">
      <c r="C14" s="1036"/>
      <c r="D14" s="1036"/>
    </row>
    <row r="15" spans="1:7" ht="13.5" customHeight="1" x14ac:dyDescent="0.2">
      <c r="C15" s="1476" t="s">
        <v>1259</v>
      </c>
      <c r="D15" s="2574" t="s">
        <v>1258</v>
      </c>
      <c r="E15" s="2574"/>
      <c r="F15" s="2574"/>
    </row>
    <row r="16" spans="1:7" ht="13.5" customHeight="1" x14ac:dyDescent="0.2">
      <c r="A16" s="1058"/>
      <c r="B16" s="1052" t="s">
        <v>1257</v>
      </c>
      <c r="C16" s="1476" t="s">
        <v>1256</v>
      </c>
      <c r="D16" s="2575" t="s">
        <v>1571</v>
      </c>
      <c r="E16" s="2575"/>
      <c r="F16" s="2575"/>
    </row>
    <row r="17" spans="1:6" ht="20.45" customHeight="1" x14ac:dyDescent="0.2">
      <c r="A17" s="1059"/>
      <c r="B17" s="1060"/>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7" t="s">
        <v>1709</v>
      </c>
      <c r="B32" s="2577"/>
      <c r="C32" s="2577"/>
      <c r="D32" s="2577"/>
      <c r="E32" s="2577"/>
      <c r="F32" s="2577"/>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8">
        <f>+C33+C34</f>
        <v>0</v>
      </c>
      <c r="F34" s="2579"/>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0" t="s">
        <v>1573</v>
      </c>
      <c r="C49" s="2580"/>
      <c r="D49" s="2580"/>
      <c r="E49" s="1168"/>
    </row>
    <row r="50" spans="1:5" s="1076" customFormat="1" ht="3.75" customHeight="1" x14ac:dyDescent="0.2">
      <c r="A50" s="1075"/>
      <c r="B50" s="1475"/>
      <c r="C50" s="1475"/>
      <c r="D50" s="1475"/>
      <c r="E50" s="1168"/>
    </row>
    <row r="51" spans="1:5" s="1076" customFormat="1" ht="20.25" customHeight="1" x14ac:dyDescent="0.2">
      <c r="A51" s="1077">
        <v>6</v>
      </c>
      <c r="B51" s="2576" t="s">
        <v>1534</v>
      </c>
      <c r="C51" s="2576"/>
      <c r="D51" s="2576"/>
    </row>
    <row r="52" spans="1:5" ht="14.25" customHeight="1" x14ac:dyDescent="0.2">
      <c r="A52" s="1077"/>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22"/>
  <pageSetup scale="90" firstPageNumber="39" orientation="portrait" r:id="rId1"/>
  <headerFooter alignWithMargins="0">
    <oddFooter>&amp;C&amp;12-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3"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36161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5" t="s">
        <v>1989</v>
      </c>
      <c r="B88" s="2186"/>
      <c r="C88" s="2186"/>
      <c r="D88" s="2187"/>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2052</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34" right="0.16" top="0.81" bottom="0.78" header="0.53" footer="0.4"/>
  <pageSetup scale="85" firstPageNumber="63" orientation="portrait" useFirstPageNumber="1" r:id="rId1"/>
  <headerFooter differentOddEven="1" alignWithMargins="0">
    <oddHeader xml:space="preserve">&amp;CRaccoon Consolidated School District 1 </oddHeader>
    <oddFooter>&amp;C&amp;14- &amp;P -</oddFooter>
    <evenHeader xml:space="preserve">&amp;CRaccoon Consolidated School District 1 </evenHeader>
    <evenFooter>&amp;C&amp;14- &amp;P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 xml:space="preserve">  Raccoon Cons SD 1</v>
      </c>
      <c r="C1" s="2586"/>
      <c r="D1" s="2586"/>
      <c r="E1" s="2586"/>
      <c r="F1" s="2586"/>
      <c r="G1" s="2586"/>
      <c r="H1" s="2586"/>
      <c r="I1" s="2586"/>
      <c r="J1" s="1178"/>
    </row>
    <row r="2" spans="2:10" s="295" customFormat="1" ht="12.75" customHeight="1" x14ac:dyDescent="0.2">
      <c r="B2" s="2587">
        <f>'Single Audit Cover'!E7</f>
        <v>13058001003</v>
      </c>
      <c r="C2" s="2588"/>
      <c r="D2" s="2588"/>
      <c r="E2" s="2588"/>
      <c r="F2" s="2588"/>
      <c r="G2" s="2588"/>
      <c r="H2" s="2588"/>
      <c r="I2" s="2588"/>
      <c r="J2" s="1178"/>
    </row>
    <row r="3" spans="2:10" s="295" customFormat="1" ht="12.75" customHeight="1" x14ac:dyDescent="0.2">
      <c r="B3" s="2589" t="s">
        <v>1274</v>
      </c>
      <c r="C3" s="2590"/>
      <c r="D3" s="2590"/>
      <c r="E3" s="2590"/>
      <c r="F3" s="2590"/>
      <c r="G3" s="2590"/>
      <c r="H3" s="2590"/>
      <c r="I3" s="2590"/>
      <c r="J3" s="1179"/>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9" t="s">
        <v>1273</v>
      </c>
      <c r="C7" s="2590"/>
      <c r="D7" s="2590"/>
      <c r="E7" s="2590"/>
      <c r="F7" s="2590"/>
      <c r="G7" s="2590"/>
      <c r="H7" s="2590"/>
      <c r="I7" s="259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1"/>
      <c r="D11" s="259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2"/>
      <c r="E29" s="2592"/>
      <c r="F29" s="2592"/>
      <c r="G29" s="2592"/>
      <c r="H29" s="2592"/>
      <c r="I29" s="259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3" t="s">
        <v>1728</v>
      </c>
      <c r="D37" s="2594"/>
      <c r="E37" s="2594"/>
      <c r="F37" s="2595"/>
      <c r="G37" s="2593" t="s">
        <v>1575</v>
      </c>
      <c r="H37" s="2594"/>
      <c r="I37" s="2595"/>
    </row>
    <row r="38" spans="2:9" ht="16.5" customHeight="1" x14ac:dyDescent="0.2">
      <c r="B38" s="1200"/>
      <c r="C38" s="2581"/>
      <c r="D38" s="2582"/>
      <c r="E38" s="2582"/>
      <c r="F38" s="2583"/>
      <c r="G38" s="2596"/>
      <c r="H38" s="2597"/>
      <c r="I38" s="2598"/>
    </row>
    <row r="39" spans="2:9" ht="16.5" customHeight="1" x14ac:dyDescent="0.2">
      <c r="B39" s="1200"/>
      <c r="C39" s="2581"/>
      <c r="D39" s="2582"/>
      <c r="E39" s="2582"/>
      <c r="F39" s="2583"/>
      <c r="G39" s="2584"/>
      <c r="H39" s="2584"/>
      <c r="I39" s="2584"/>
    </row>
    <row r="40" spans="2:9" ht="16.5" customHeight="1" x14ac:dyDescent="0.2">
      <c r="B40" s="1200"/>
      <c r="C40" s="2581"/>
      <c r="D40" s="2582"/>
      <c r="E40" s="2582"/>
      <c r="F40" s="2583"/>
      <c r="G40" s="2584"/>
      <c r="H40" s="2584"/>
      <c r="I40" s="2584"/>
    </row>
    <row r="41" spans="2:9" ht="16.5" customHeight="1" x14ac:dyDescent="0.2">
      <c r="B41" s="1200"/>
      <c r="C41" s="2581"/>
      <c r="D41" s="2582"/>
      <c r="E41" s="2582"/>
      <c r="F41" s="2583"/>
      <c r="G41" s="2584"/>
      <c r="H41" s="2584"/>
      <c r="I41" s="2584"/>
    </row>
    <row r="42" spans="2:9" ht="16.5" customHeight="1" x14ac:dyDescent="0.2">
      <c r="B42" s="1200"/>
      <c r="C42" s="2581"/>
      <c r="D42" s="2582"/>
      <c r="E42" s="2582"/>
      <c r="F42" s="2583"/>
      <c r="G42" s="2584"/>
      <c r="H42" s="2584"/>
      <c r="I42" s="2584"/>
    </row>
    <row r="43" spans="2:9" ht="16.5" customHeight="1" x14ac:dyDescent="0.2">
      <c r="B43" s="1200"/>
      <c r="C43" s="2599" t="s">
        <v>1576</v>
      </c>
      <c r="D43" s="2600"/>
      <c r="E43" s="2600"/>
      <c r="F43" s="2601"/>
      <c r="G43" s="2602">
        <f>SUM(G38:I42)</f>
        <v>0</v>
      </c>
      <c r="H43" s="2602"/>
      <c r="I43" s="2602"/>
    </row>
    <row r="44" spans="2:9" ht="12.75" customHeight="1" x14ac:dyDescent="0.2"/>
    <row r="45" spans="2:9" ht="12.75" customHeight="1" x14ac:dyDescent="0.2">
      <c r="B45" s="1915" t="str">
        <f>"Total Federal Expenditures for 7/1/"&amp;MID('AFR20'!E2,3,2)-1&amp;"-6/30/"&amp;MID('AFR20'!E2,3,2)</f>
        <v>Total Federal Expenditures for 7/1/19-6/30/20</v>
      </c>
      <c r="C45" s="1916"/>
      <c r="D45" s="2603">
        <v>0</v>
      </c>
      <c r="E45" s="2604"/>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5"/>
      <c r="F49" s="2605"/>
      <c r="G49" s="2605"/>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7" header="0.26" footer="0.28999999999999998"/>
  <pageSetup scale="98" firstPageNumber="40" orientation="portrait" r:id="rId1"/>
  <headerFooter alignWithMargins="0">
    <oddFooter>&amp;C&amp;12- &amp;P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K33" sqref="K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Raccoon Cons SD 1</v>
      </c>
      <c r="C1" s="2585"/>
      <c r="D1" s="2585"/>
      <c r="E1" s="2585"/>
      <c r="F1" s="2585"/>
      <c r="G1" s="2585"/>
      <c r="H1" s="2585"/>
      <c r="I1" s="2585"/>
      <c r="J1" s="2585"/>
      <c r="K1" s="2585"/>
      <c r="L1" s="1144"/>
      <c r="M1" s="1144"/>
    </row>
    <row r="2" spans="1:13" ht="12" customHeight="1" x14ac:dyDescent="0.2">
      <c r="B2" s="2587">
        <f>'Single Audit Cover'!E7</f>
        <v>13058001003</v>
      </c>
      <c r="C2" s="2587"/>
      <c r="D2" s="2587"/>
      <c r="E2" s="2587"/>
      <c r="F2" s="2587"/>
      <c r="G2" s="2587"/>
      <c r="H2" s="2587"/>
      <c r="I2" s="2587"/>
      <c r="J2" s="2587"/>
      <c r="K2" s="2587"/>
      <c r="L2" s="1145"/>
      <c r="M2" s="1146"/>
    </row>
    <row r="3" spans="1:13" ht="10.35" customHeight="1" x14ac:dyDescent="0.2">
      <c r="B3" s="2608" t="s">
        <v>1274</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7"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2007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t="s">
        <v>2088</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t="s">
        <v>2089</v>
      </c>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t="s">
        <v>2090</v>
      </c>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t="s">
        <v>2091</v>
      </c>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t="s">
        <v>2092</v>
      </c>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t="s">
        <v>2093</v>
      </c>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6" t="s">
        <v>2094</v>
      </c>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44" orientation="portrait" useFirstPageNumber="1" r:id="rId1"/>
  <headerFooter alignWithMargins="0">
    <oddFooter>&amp;C&amp;12- &amp;P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 xml:space="preserve">  Raccoon Cons SD 1</v>
      </c>
      <c r="C1" s="2612"/>
      <c r="D1" s="2612"/>
      <c r="E1" s="2612"/>
      <c r="F1" s="2612"/>
      <c r="G1" s="2612"/>
      <c r="H1" s="2612"/>
      <c r="I1" s="2612"/>
      <c r="J1" s="2612"/>
      <c r="K1" s="2612"/>
      <c r="L1" s="1221"/>
    </row>
    <row r="2" spans="1:12" ht="12.75" customHeight="1" x14ac:dyDescent="0.2">
      <c r="B2" s="2613">
        <f>'Single Audit Cover'!E7</f>
        <v>13058001003</v>
      </c>
      <c r="C2" s="2613"/>
      <c r="D2" s="2613"/>
      <c r="E2" s="2613"/>
      <c r="F2" s="2613"/>
      <c r="G2" s="2613"/>
      <c r="H2" s="2613"/>
      <c r="I2" s="2613"/>
      <c r="J2" s="2613"/>
      <c r="K2" s="2613"/>
      <c r="L2" s="1222"/>
    </row>
    <row r="3" spans="1:12" ht="12.75" customHeight="1" x14ac:dyDescent="0.2">
      <c r="B3" s="2608" t="s">
        <v>1274</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1159</v>
      </c>
      <c r="C5" s="1036"/>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7"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2"/>
      <c r="G12" s="2592"/>
      <c r="H12" s="2592"/>
      <c r="I12" s="2592"/>
      <c r="J12" s="2592"/>
      <c r="K12" s="259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r:id="rId1"/>
  <headerFooter alignWithMargins="0">
    <oddFooter>&amp;C&amp;12-&amp;P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5" t="str">
        <f>'Single Audit Cover'!A7</f>
        <v xml:space="preserve">  Raccoon Cons SD 1</v>
      </c>
      <c r="C1" s="2585"/>
      <c r="D1" s="2585"/>
      <c r="E1" s="1240"/>
    </row>
    <row r="2" spans="2:5" s="1058" customFormat="1" ht="12.75" customHeight="1" x14ac:dyDescent="0.2">
      <c r="B2" s="2587">
        <f>'Single Audit Cover'!E7</f>
        <v>13058001003</v>
      </c>
      <c r="C2" s="2587"/>
      <c r="D2" s="2587"/>
      <c r="E2" s="1241"/>
    </row>
    <row r="3" spans="2:5" ht="12.75" customHeight="1" x14ac:dyDescent="0.2">
      <c r="B3" s="2608" t="s">
        <v>1743</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83" bottom="0.57999999999999996" header="0.26" footer="0.26"/>
  <pageSetup firstPageNumber="43" orientation="portrait" r:id="rId1"/>
  <headerFooter alignWithMargins="0">
    <oddFooter>&amp;C&amp;12- &amp;P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35409529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1.1724699999999999E-2</v>
      </c>
      <c r="E10" s="333" t="s">
        <v>998</v>
      </c>
      <c r="F10" s="332">
        <v>3.3046999999999998E-3</v>
      </c>
      <c r="G10" s="333" t="s">
        <v>998</v>
      </c>
      <c r="H10" s="332">
        <v>1.6955E-3</v>
      </c>
      <c r="I10" s="333" t="s">
        <v>999</v>
      </c>
      <c r="J10" s="1424">
        <f>ROUND(D10+F10+H10,5)</f>
        <v>1.6719999999999999E-2</v>
      </c>
      <c r="K10" s="217"/>
      <c r="L10" s="332">
        <v>2.9339999999999998E-4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2311949</v>
      </c>
      <c r="E16" s="1547"/>
      <c r="F16" s="1546">
        <f>SUM('Acct Summary 7-8'!C17,'Acct Summary 7-8'!D17,'Acct Summary 7-8'!F17)</f>
        <v>2213067</v>
      </c>
      <c r="G16" s="1547"/>
      <c r="H16" s="1546">
        <f>SUM(D16-F16)</f>
        <v>98882</v>
      </c>
      <c r="I16" s="1548"/>
      <c r="J16" s="1546">
        <f>SUM('Acct Summary 7-8'!C81,'Acct Summary 7-8'!D81,'Acct Summary 7-8'!F81,'Acct Summary 7-8'!I81)</f>
        <v>1317302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2443257.5010000002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205800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ageMargins left="0.5" right="0.2" top="0.84" bottom="0.77" header="0.5" footer="0.42"/>
  <pageSetup scale="90" firstPageNumber="65" orientation="portrait" useFirstPageNumber="1" r:id="rId1"/>
  <headerFooter alignWithMargins="0">
    <oddHeader xml:space="preserve">&amp;C Raccoon Consolidated School District 1 </oddHeader>
    <oddFooter>&amp;C&amp;12-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Raccoon Cons SD 1</v>
      </c>
      <c r="E7" s="368"/>
      <c r="G7" s="247"/>
      <c r="H7" s="364"/>
      <c r="I7" s="364"/>
      <c r="J7" s="364"/>
      <c r="K7" s="364"/>
      <c r="L7" s="307"/>
      <c r="M7" s="307"/>
      <c r="N7" s="307"/>
      <c r="O7" s="307"/>
      <c r="P7" s="307"/>
    </row>
    <row r="8" spans="1:18" ht="12.75" x14ac:dyDescent="0.2">
      <c r="A8" s="307"/>
      <c r="B8" s="307"/>
      <c r="C8" s="366" t="s">
        <v>1115</v>
      </c>
      <c r="D8" s="369">
        <f>COVER!A13</f>
        <v>13058001003</v>
      </c>
      <c r="E8" s="370"/>
      <c r="G8" s="307"/>
      <c r="H8" s="307"/>
      <c r="I8" s="307"/>
      <c r="J8" s="307"/>
      <c r="K8" s="307"/>
      <c r="L8" s="307"/>
      <c r="M8" s="307"/>
      <c r="N8" s="307"/>
      <c r="O8" s="307"/>
      <c r="P8" s="307"/>
    </row>
    <row r="9" spans="1:18" ht="12.75" x14ac:dyDescent="0.2">
      <c r="A9" s="307"/>
      <c r="B9" s="307"/>
      <c r="C9" s="366" t="s">
        <v>708</v>
      </c>
      <c r="D9" s="371" t="str">
        <f>COVER!A15</f>
        <v>Marion - Jefferson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1317302</v>
      </c>
      <c r="I12" s="380"/>
      <c r="J12" s="380"/>
      <c r="K12" s="1559">
        <f>TRUNC((H12/H13*100000),5)/100000</f>
        <v>0.56977986969999994</v>
      </c>
      <c r="L12" s="381"/>
      <c r="M12" s="337" t="s">
        <v>1134</v>
      </c>
      <c r="N12" s="337"/>
      <c r="O12" s="1562">
        <v>0.35</v>
      </c>
      <c r="P12" s="213"/>
      <c r="Q12" s="213"/>
    </row>
    <row r="13" spans="1:18" s="382" customFormat="1" ht="12.75" x14ac:dyDescent="0.2">
      <c r="A13" s="213"/>
      <c r="B13" s="377"/>
      <c r="C13" s="2205" t="s">
        <v>1313</v>
      </c>
      <c r="D13" s="2206"/>
      <c r="E13" s="213"/>
      <c r="F13" s="383" t="s">
        <v>788</v>
      </c>
      <c r="G13" s="378"/>
      <c r="H13" s="1551">
        <f>SUM('Acct Summary 7-8'!C8+'Acct Summary 7-8'!D8+'Acct Summary 7-8'!F8+'Acct Summary 7-8'!I8)+H14</f>
        <v>2311949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2213067</v>
      </c>
      <c r="I17" s="380"/>
      <c r="J17" s="389"/>
      <c r="K17" s="1559">
        <f>TRUNC((H17/H18*100000),5)/100000</f>
        <v>0.95723002540000002</v>
      </c>
      <c r="L17" s="381"/>
      <c r="M17" s="390" t="s">
        <v>1161</v>
      </c>
      <c r="O17" s="1565" t="str">
        <f>IF(AND(O16="2", J20 &gt; 2),"1",IF(AND(O16 = "1", J20 &gt; 2),"2",IF(AND(O16="1", J20 &gt;1),"1","0")))</f>
        <v>0</v>
      </c>
      <c r="P17" s="213"/>
    </row>
    <row r="18" spans="1:18" s="382" customFormat="1" ht="11.25" x14ac:dyDescent="0.2">
      <c r="A18" s="213"/>
      <c r="B18" s="377"/>
      <c r="C18" s="2205" t="s">
        <v>1306</v>
      </c>
      <c r="D18" s="2206"/>
      <c r="E18" s="213"/>
      <c r="F18" s="391" t="s">
        <v>789</v>
      </c>
      <c r="G18" s="378"/>
      <c r="H18" s="1551">
        <f>SUM('Acct Summary 7-8'!C8+'Acct Summary 7-8'!D8+'Acct Summary 7-8'!F8+'Acct Summary 7-8'!I8)+H19</f>
        <v>2311949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2" t="s">
        <v>1395</v>
      </c>
      <c r="D24" s="2202"/>
      <c r="E24" s="213"/>
      <c r="F24" s="213" t="s">
        <v>442</v>
      </c>
      <c r="G24" s="378"/>
      <c r="H24" s="1551">
        <f>SUM('Assets-Liab 5-6'!C4+'Assets-Liab 5-6'!D4+'Assets-Liab 5-6'!F4+'Assets-Liab 5-6'!I4+'Assets-Liab 5-6'!C5+'Assets-Liab 5-6'!D5+'Assets-Liab 5-6'!F5+'Assets-Liab 5-6'!I5)</f>
        <v>1317302</v>
      </c>
      <c r="I24" s="394"/>
      <c r="J24" s="394"/>
      <c r="K24" s="1555">
        <f>TRUNC(((H24/H25*100000)/100000),2)</f>
        <v>214.28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6147.4083300000002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503240.22615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205800</v>
      </c>
      <c r="I32" s="392"/>
      <c r="J32" s="392"/>
      <c r="K32" s="1555">
        <f>TRUNC(100-((((H32/H33*100))*100)/100),2)</f>
        <v>91.57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2443257.5010000002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56999999999999995" right="0.47" top="0.8" bottom="0.65" header="0.47" footer="0.32"/>
  <pageSetup scale="85" firstPageNumber="66" orientation="landscape" useFirstPageNumber="1" r:id="rId3"/>
  <headerFooter alignWithMargins="0">
    <oddHeader xml:space="preserve">&amp;C Raccoon Consolidated School District 1 </oddHeader>
    <oddFooter>&amp;C&amp;14- &amp;P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6"/>
      <c r="D3" s="1307"/>
      <c r="E3" s="1307"/>
      <c r="F3" s="1307"/>
      <c r="G3" s="1307"/>
      <c r="H3" s="1307"/>
      <c r="I3" s="1307"/>
      <c r="J3" s="1307"/>
      <c r="K3" s="1307"/>
      <c r="L3" s="1307"/>
      <c r="M3" s="1308"/>
      <c r="N3" s="1309"/>
    </row>
    <row r="4" spans="1:14" ht="13.5" customHeight="1" x14ac:dyDescent="0.2">
      <c r="A4" s="427" t="s">
        <v>1632</v>
      </c>
      <c r="B4" s="428"/>
      <c r="C4" s="1572">
        <v>576244</v>
      </c>
      <c r="D4" s="1573">
        <v>56263</v>
      </c>
      <c r="E4" s="1573">
        <v>1</v>
      </c>
      <c r="F4" s="1573">
        <v>211598</v>
      </c>
      <c r="G4" s="1573">
        <v>165843</v>
      </c>
      <c r="H4" s="1573">
        <v>130052</v>
      </c>
      <c r="I4" s="1573">
        <v>267397</v>
      </c>
      <c r="J4" s="1574">
        <v>102253</v>
      </c>
      <c r="K4" s="1573">
        <v>11691</v>
      </c>
      <c r="L4" s="1573">
        <v>20216</v>
      </c>
      <c r="M4" s="1575"/>
      <c r="N4" s="1576"/>
    </row>
    <row r="5" spans="1:14" x14ac:dyDescent="0.2">
      <c r="A5" s="427" t="s">
        <v>985</v>
      </c>
      <c r="B5" s="429">
        <v>120</v>
      </c>
      <c r="C5" s="1572">
        <v>205800</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782044</v>
      </c>
      <c r="D13" s="1587">
        <f t="shared" ref="D13:L13" si="0">SUM(D4:D12)</f>
        <v>56263</v>
      </c>
      <c r="E13" s="1587">
        <f t="shared" si="0"/>
        <v>1</v>
      </c>
      <c r="F13" s="1587">
        <f t="shared" si="0"/>
        <v>211598</v>
      </c>
      <c r="G13" s="1587">
        <f t="shared" si="0"/>
        <v>165843</v>
      </c>
      <c r="H13" s="1587">
        <f t="shared" si="0"/>
        <v>130052</v>
      </c>
      <c r="I13" s="1587">
        <f t="shared" si="0"/>
        <v>267397</v>
      </c>
      <c r="J13" s="1587">
        <f t="shared" si="0"/>
        <v>102253</v>
      </c>
      <c r="K13" s="1587">
        <f t="shared" si="0"/>
        <v>11691</v>
      </c>
      <c r="L13" s="1587">
        <f t="shared" si="0"/>
        <v>20216</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1314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1027694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986174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735318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205799</v>
      </c>
    </row>
    <row r="23" spans="1:14" ht="13.5" customHeight="1" thickBot="1" x14ac:dyDescent="0.25">
      <c r="A23" s="1426" t="s">
        <v>638</v>
      </c>
      <c r="B23" s="1429"/>
      <c r="C23" s="1575"/>
      <c r="D23" s="1575"/>
      <c r="E23" s="1575"/>
      <c r="F23" s="1575"/>
      <c r="G23" s="1575"/>
      <c r="H23" s="1575"/>
      <c r="I23" s="1575"/>
      <c r="J23" s="1575"/>
      <c r="K23" s="1575"/>
      <c r="L23" s="1575"/>
      <c r="M23" s="1594">
        <f>SUM(M15:M22)</f>
        <v>2750500</v>
      </c>
      <c r="N23" s="1594">
        <f>SUM(N21:N22)</f>
        <v>205800</v>
      </c>
    </row>
    <row r="24" spans="1:14" ht="18" customHeight="1" thickTop="1" x14ac:dyDescent="0.2">
      <c r="A24" s="2216" t="s">
        <v>594</v>
      </c>
      <c r="B24" s="221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20216</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20216</v>
      </c>
      <c r="M34" s="1575"/>
      <c r="N34" s="1585"/>
    </row>
    <row r="35" spans="1:14" ht="18" customHeight="1" thickTop="1" x14ac:dyDescent="0.2">
      <c r="A35" s="2218" t="s">
        <v>526</v>
      </c>
      <c r="B35" s="221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205800</v>
      </c>
    </row>
    <row r="37" spans="1:14" ht="13.5" thickBot="1" x14ac:dyDescent="0.25">
      <c r="A37" s="1426" t="s">
        <v>648</v>
      </c>
      <c r="B37" s="1429"/>
      <c r="C37" s="1582"/>
      <c r="D37" s="1582"/>
      <c r="E37" s="1582"/>
      <c r="F37" s="1582"/>
      <c r="G37" s="1582"/>
      <c r="H37" s="1582"/>
      <c r="I37" s="1582"/>
      <c r="J37" s="1582"/>
      <c r="K37" s="1582"/>
      <c r="L37" s="1585"/>
      <c r="M37" s="1575"/>
      <c r="N37" s="1594">
        <f>SUM(N36:N36)</f>
        <v>205800</v>
      </c>
    </row>
    <row r="38" spans="1:14" s="307" customFormat="1" ht="13.5" customHeight="1" thickTop="1" x14ac:dyDescent="0.2">
      <c r="A38" s="438" t="s">
        <v>417</v>
      </c>
      <c r="B38" s="432">
        <v>714</v>
      </c>
      <c r="C38" s="1573">
        <v>46161</v>
      </c>
      <c r="D38" s="1573"/>
      <c r="E38" s="1573"/>
      <c r="F38" s="1573"/>
      <c r="G38" s="1573">
        <v>103511</v>
      </c>
      <c r="H38" s="1573"/>
      <c r="I38" s="1573"/>
      <c r="J38" s="1574"/>
      <c r="K38" s="1573"/>
      <c r="L38" s="1586"/>
      <c r="M38" s="1604"/>
      <c r="N38" s="1604"/>
    </row>
    <row r="39" spans="1:14" s="307" customFormat="1" ht="13.5" customHeight="1" x14ac:dyDescent="0.2">
      <c r="A39" s="438" t="s">
        <v>339</v>
      </c>
      <c r="B39" s="432">
        <v>730</v>
      </c>
      <c r="C39" s="1573">
        <v>735883</v>
      </c>
      <c r="D39" s="1573">
        <v>56263</v>
      </c>
      <c r="E39" s="1573">
        <v>1</v>
      </c>
      <c r="F39" s="1573">
        <v>211598</v>
      </c>
      <c r="G39" s="1573">
        <v>62332</v>
      </c>
      <c r="H39" s="1573">
        <v>130052</v>
      </c>
      <c r="I39" s="1573">
        <v>267397</v>
      </c>
      <c r="J39" s="1574">
        <v>102253</v>
      </c>
      <c r="K39" s="1573">
        <v>11691</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2750500</v>
      </c>
      <c r="N40" s="1604"/>
    </row>
    <row r="41" spans="1:14" ht="13.5" customHeight="1" thickBot="1" x14ac:dyDescent="0.25">
      <c r="A41" s="1426" t="s">
        <v>650</v>
      </c>
      <c r="B41" s="1405"/>
      <c r="C41" s="1594">
        <f>(SUM(C34,C37,C38,C39))</f>
        <v>782044</v>
      </c>
      <c r="D41" s="1594">
        <f t="shared" ref="D41:L41" si="2">SUM(D34,D37,D38:D39)</f>
        <v>56263</v>
      </c>
      <c r="E41" s="1594">
        <f t="shared" si="2"/>
        <v>1</v>
      </c>
      <c r="F41" s="1594">
        <f t="shared" si="2"/>
        <v>211598</v>
      </c>
      <c r="G41" s="1594">
        <f t="shared" si="2"/>
        <v>165843</v>
      </c>
      <c r="H41" s="1594">
        <f t="shared" si="2"/>
        <v>130052</v>
      </c>
      <c r="I41" s="1594">
        <f t="shared" si="2"/>
        <v>267397</v>
      </c>
      <c r="J41" s="1594">
        <f t="shared" si="2"/>
        <v>102253</v>
      </c>
      <c r="K41" s="1594">
        <f t="shared" si="2"/>
        <v>11691</v>
      </c>
      <c r="L41" s="1594">
        <f t="shared" si="2"/>
        <v>20216</v>
      </c>
      <c r="M41" s="1594">
        <f>SUM(M40)</f>
        <v>2750500</v>
      </c>
      <c r="N41" s="1594">
        <f>SUM(N37)</f>
        <v>205800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gridLinesSet="0"/>
  <pageMargins left="0.44" right="0.15" top="0.86" bottom="0.72" header="0.45" footer="0.36"/>
  <pageSetup scale="75" firstPageNumber="6" orientation="landscape" useFirstPageNumber="1" r:id="rId1"/>
  <headerFooter differentOddEven="1" alignWithMargins="0">
    <oddHeader xml:space="preserve">&amp;C&amp;"Arial,Bold"&amp;9Raccoon Consolidated School District 1 
STATEMENT OF ASSETS AND LIABILITIES ARISING FROM CASH TRANSACTIONS (ALL FUNDS)
AS OF JUNE 30, 2020
</oddHeader>
    <oddFooter>&amp;L&amp;11See accompanying notes to the financial statements.&amp;C&amp;14- &amp;P -</oddFooter>
    <evenHeader>&amp;C&amp;"Arial,Bold"&amp;9Raccoon Consolidated School District 1 
STATEMENT OF ASSETS AND LIABILITIES ARISING FROM CASH TRANSACTIONS (ALL FUNDS)
AS OF JUNE 30&amp;"Arial,Regular", 2020</evenHeader>
    <evenFooter>&amp;L&amp;11See accompanying notes to the financial statements.&amp;C&amp;14- &amp;P -</even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8" activePane="bottomLeft" state="frozen"/>
      <selection pane="bottomLeft" activeCell="I87" sqref="I8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1"/>
      <c r="D3" s="1312"/>
      <c r="E3" s="1312"/>
      <c r="F3" s="1312"/>
      <c r="G3" s="1312"/>
      <c r="H3" s="1312"/>
      <c r="I3" s="1312"/>
      <c r="J3" s="1312"/>
      <c r="K3" s="1313"/>
      <c r="L3" s="446"/>
    </row>
    <row r="4" spans="1:13" ht="15.75" customHeight="1" x14ac:dyDescent="0.2">
      <c r="A4" s="1537" t="s">
        <v>1482</v>
      </c>
      <c r="B4" s="1538">
        <v>1000</v>
      </c>
      <c r="C4" s="1606">
        <f>'Revenues 9-14'!C109</f>
        <v>540034</v>
      </c>
      <c r="D4" s="1606">
        <f>'Revenues 9-14'!D109</f>
        <v>122781</v>
      </c>
      <c r="E4" s="1606">
        <f>'Revenues 9-14'!E109</f>
        <v>54443</v>
      </c>
      <c r="F4" s="1606">
        <f>'Revenues 9-14'!F109</f>
        <v>66462</v>
      </c>
      <c r="G4" s="1606">
        <f>'Revenues 9-14'!G109</f>
        <v>102939</v>
      </c>
      <c r="H4" s="1606">
        <f>'Revenues 9-14'!H109</f>
        <v>52</v>
      </c>
      <c r="I4" s="1606">
        <f>'Revenues 9-14'!I109</f>
        <v>15421</v>
      </c>
      <c r="J4" s="1606">
        <f>'Revenues 9-14'!J109</f>
        <v>62339</v>
      </c>
      <c r="K4" s="1606">
        <f>'Revenues 9-14'!K109</f>
        <v>10382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1013457</v>
      </c>
      <c r="D6" s="1607">
        <f>'Revenues 9-14'!D170</f>
        <v>128489</v>
      </c>
      <c r="E6" s="1607">
        <f>'Revenues 9-14'!E170</f>
        <v>0</v>
      </c>
      <c r="F6" s="1607">
        <f>'Revenues 9-14'!F170</f>
        <v>136150</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289155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1842646</v>
      </c>
      <c r="D8" s="1594">
        <f t="shared" ref="D8:K8" si="0">SUM(D4:D7)</f>
        <v>251270</v>
      </c>
      <c r="E8" s="1594">
        <f t="shared" si="0"/>
        <v>54443</v>
      </c>
      <c r="F8" s="1594">
        <f t="shared" si="0"/>
        <v>202612</v>
      </c>
      <c r="G8" s="1594">
        <f t="shared" si="0"/>
        <v>102939</v>
      </c>
      <c r="H8" s="1594">
        <f t="shared" si="0"/>
        <v>50052</v>
      </c>
      <c r="I8" s="1594">
        <f t="shared" si="0"/>
        <v>15421</v>
      </c>
      <c r="J8" s="1594">
        <f t="shared" si="0"/>
        <v>62339</v>
      </c>
      <c r="K8" s="1594">
        <f t="shared" si="0"/>
        <v>10382</v>
      </c>
      <c r="L8" s="325"/>
    </row>
    <row r="9" spans="1:13" ht="15.75" thickTop="1" x14ac:dyDescent="0.2">
      <c r="A9" s="449" t="s">
        <v>1634</v>
      </c>
      <c r="B9" s="450">
        <v>3998</v>
      </c>
      <c r="C9" s="1586">
        <v>136217</v>
      </c>
      <c r="D9" s="1613"/>
      <c r="E9" s="1586"/>
      <c r="F9" s="1586"/>
      <c r="G9" s="1614"/>
      <c r="H9" s="1586"/>
      <c r="I9" s="1609" t="s">
        <v>1159</v>
      </c>
      <c r="J9" s="1583"/>
      <c r="K9" s="1586"/>
      <c r="L9" s="325"/>
    </row>
    <row r="10" spans="1:13" s="452" customFormat="1" ht="13.5" thickBot="1" x14ac:dyDescent="0.25">
      <c r="A10" s="1426" t="s">
        <v>1163</v>
      </c>
      <c r="B10" s="1407"/>
      <c r="C10" s="1594">
        <f>SUM(C8:C9)</f>
        <v>1978863</v>
      </c>
      <c r="D10" s="1594">
        <f t="shared" ref="D10:K10" si="1">SUM(D8:D9)</f>
        <v>251270</v>
      </c>
      <c r="E10" s="1594">
        <f t="shared" si="1"/>
        <v>54443</v>
      </c>
      <c r="F10" s="1594">
        <f t="shared" si="1"/>
        <v>202612</v>
      </c>
      <c r="G10" s="1594">
        <f t="shared" si="1"/>
        <v>102939</v>
      </c>
      <c r="H10" s="1594">
        <f t="shared" si="1"/>
        <v>50052</v>
      </c>
      <c r="I10" s="1594">
        <f t="shared" si="1"/>
        <v>15421</v>
      </c>
      <c r="J10" s="1594">
        <f t="shared" si="1"/>
        <v>62339</v>
      </c>
      <c r="K10" s="1594">
        <f t="shared" si="1"/>
        <v>10382</v>
      </c>
      <c r="L10" s="451"/>
    </row>
    <row r="11" spans="1:13" s="452" customFormat="1" ht="16.7" customHeight="1" thickTop="1" x14ac:dyDescent="0.2">
      <c r="A11" s="2214" t="s">
        <v>1166</v>
      </c>
      <c r="B11" s="2215"/>
      <c r="C11" s="1602"/>
      <c r="D11" s="1603"/>
      <c r="E11" s="1603"/>
      <c r="F11" s="1603"/>
      <c r="G11" s="1603"/>
      <c r="H11" s="1603"/>
      <c r="I11" s="1603"/>
      <c r="J11" s="1603"/>
      <c r="K11" s="1615"/>
      <c r="L11" s="451"/>
    </row>
    <row r="12" spans="1:13" ht="15.75" customHeight="1" x14ac:dyDescent="0.2">
      <c r="A12" s="1314" t="s">
        <v>453</v>
      </c>
      <c r="B12" s="1316">
        <v>1000</v>
      </c>
      <c r="C12" s="1606">
        <f>'Expenditures 15-22'!K33</f>
        <v>1320681</v>
      </c>
      <c r="D12" s="1616" t="s">
        <v>1159</v>
      </c>
      <c r="E12" s="1575" t="s">
        <v>1159</v>
      </c>
      <c r="F12" s="1575" t="s">
        <v>1159</v>
      </c>
      <c r="G12" s="1606">
        <f>'Expenditures 15-22'!K229</f>
        <v>38998</v>
      </c>
      <c r="H12" s="1617"/>
      <c r="I12" s="1575" t="s">
        <v>1159</v>
      </c>
      <c r="J12" s="1575" t="s">
        <v>1159</v>
      </c>
      <c r="K12" s="1617" t="s">
        <v>1159</v>
      </c>
      <c r="L12" s="325"/>
    </row>
    <row r="13" spans="1:13" ht="15.75" customHeight="1" x14ac:dyDescent="0.2">
      <c r="A13" s="1314" t="s">
        <v>454</v>
      </c>
      <c r="B13" s="1316">
        <v>2000</v>
      </c>
      <c r="C13" s="1607">
        <f>'Expenditures 15-22'!K74</f>
        <v>358244</v>
      </c>
      <c r="D13" s="1607">
        <f>'Expenditures 15-22'!K129</f>
        <v>237211</v>
      </c>
      <c r="E13" s="1576" t="s">
        <v>1159</v>
      </c>
      <c r="F13" s="1607">
        <f>'Expenditures 15-22'!K184</f>
        <v>129282</v>
      </c>
      <c r="G13" s="1607">
        <f>'Expenditures 15-22'!K279</f>
        <v>66067</v>
      </c>
      <c r="H13" s="1607">
        <f>'Expenditures 15-22'!K303</f>
        <v>0</v>
      </c>
      <c r="I13" s="1575" t="s">
        <v>1159</v>
      </c>
      <c r="J13" s="1607">
        <f>'Expenditures 15-22'!K330</f>
        <v>59092</v>
      </c>
      <c r="K13" s="1618">
        <f>'Expenditures 15-22'!K352</f>
        <v>27775</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94843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53575</v>
      </c>
      <c r="F16" s="1607">
        <f>'Expenditures 15-22'!K208</f>
        <v>72806</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1773768</v>
      </c>
      <c r="D17" s="1594">
        <f t="shared" si="2"/>
        <v>237211</v>
      </c>
      <c r="E17" s="1594">
        <f t="shared" si="2"/>
        <v>53575</v>
      </c>
      <c r="F17" s="1594">
        <f t="shared" si="2"/>
        <v>202088</v>
      </c>
      <c r="G17" s="1594">
        <f t="shared" si="2"/>
        <v>105065</v>
      </c>
      <c r="H17" s="1594">
        <f t="shared" si="2"/>
        <v>0</v>
      </c>
      <c r="I17" s="1575"/>
      <c r="J17" s="1594">
        <f>SUM(J12:J16)</f>
        <v>59092</v>
      </c>
      <c r="K17" s="1594">
        <f>SUM(K12:K16)</f>
        <v>27775</v>
      </c>
      <c r="L17" s="325"/>
    </row>
    <row r="18" spans="1:12" ht="15" customHeight="1" thickTop="1" x14ac:dyDescent="0.2">
      <c r="A18" s="1430" t="s">
        <v>1635</v>
      </c>
      <c r="B18" s="1431">
        <v>4180</v>
      </c>
      <c r="C18" s="1606">
        <f t="shared" ref="C18:H18" si="3">C9</f>
        <v>136217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1909985</v>
      </c>
      <c r="D19" s="1594">
        <f t="shared" si="4"/>
        <v>237211</v>
      </c>
      <c r="E19" s="1594">
        <f t="shared" si="4"/>
        <v>53575</v>
      </c>
      <c r="F19" s="1594">
        <f t="shared" si="4"/>
        <v>202088</v>
      </c>
      <c r="G19" s="1594">
        <f t="shared" si="4"/>
        <v>105065</v>
      </c>
      <c r="H19" s="1594">
        <f t="shared" si="4"/>
        <v>0</v>
      </c>
      <c r="I19" s="1575"/>
      <c r="J19" s="1594">
        <f>SUM(J17:J18)</f>
        <v>59092</v>
      </c>
      <c r="K19" s="1594">
        <f>SUM(K17:K18)</f>
        <v>27775</v>
      </c>
      <c r="L19" s="325"/>
    </row>
    <row r="20" spans="1:12" ht="16.5" thickTop="1" thickBot="1" x14ac:dyDescent="0.25">
      <c r="A20" s="2230" t="s">
        <v>1636</v>
      </c>
      <c r="B20" s="2231"/>
      <c r="C20" s="1622">
        <f>C8-C17</f>
        <v>68878</v>
      </c>
      <c r="D20" s="1622">
        <f t="shared" ref="D20:K20" si="5">D8-D17</f>
        <v>14059</v>
      </c>
      <c r="E20" s="1622">
        <f t="shared" si="5"/>
        <v>868</v>
      </c>
      <c r="F20" s="1622">
        <f t="shared" si="5"/>
        <v>524</v>
      </c>
      <c r="G20" s="1622">
        <f t="shared" si="5"/>
        <v>-2126</v>
      </c>
      <c r="H20" s="1622">
        <f t="shared" si="5"/>
        <v>50052</v>
      </c>
      <c r="I20" s="1622">
        <f t="shared" si="5"/>
        <v>15421</v>
      </c>
      <c r="J20" s="1622">
        <f t="shared" si="5"/>
        <v>3247</v>
      </c>
      <c r="K20" s="1622">
        <f t="shared" si="5"/>
        <v>-17393</v>
      </c>
      <c r="L20" s="325"/>
    </row>
    <row r="21" spans="1:12" ht="16.7" customHeight="1" thickTop="1" x14ac:dyDescent="0.2">
      <c r="A21" s="2242" t="s">
        <v>591</v>
      </c>
      <c r="B21" s="2243"/>
      <c r="C21" s="1602"/>
      <c r="D21" s="1603"/>
      <c r="E21" s="1603"/>
      <c r="F21" s="1603"/>
      <c r="G21" s="1603"/>
      <c r="H21" s="1603"/>
      <c r="I21" s="1603"/>
      <c r="J21" s="1603"/>
      <c r="K21" s="1615"/>
      <c r="L21" s="453"/>
    </row>
    <row r="22" spans="1:12" ht="15.75" customHeight="1" collapsed="1" x14ac:dyDescent="0.2">
      <c r="A22" s="2238" t="s">
        <v>592</v>
      </c>
      <c r="B22" s="2239"/>
      <c r="C22" s="1582"/>
      <c r="D22" s="1582"/>
      <c r="E22" s="1582"/>
      <c r="F22" s="1582"/>
      <c r="G22" s="1582"/>
      <c r="H22" s="1582"/>
      <c r="I22" s="1582"/>
      <c r="J22" s="1582"/>
      <c r="K22" s="1582"/>
      <c r="L22" s="325"/>
    </row>
    <row r="23" spans="1:12" s="433" customFormat="1" ht="15.75" customHeight="1" x14ac:dyDescent="0.2">
      <c r="A23" s="2234" t="s">
        <v>290</v>
      </c>
      <c r="B23" s="223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v>80000</v>
      </c>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6" t="s">
        <v>974</v>
      </c>
      <c r="B32" s="223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v>22287</v>
      </c>
      <c r="E43" s="1574"/>
      <c r="F43" s="1574"/>
      <c r="G43" s="1574"/>
      <c r="H43" s="1574"/>
      <c r="I43" s="1574"/>
      <c r="J43" s="1574"/>
      <c r="K43" s="1574"/>
      <c r="L43" s="453"/>
    </row>
    <row r="44" spans="1:12" s="433" customFormat="1" ht="13.5" customHeight="1" thickBot="1" x14ac:dyDescent="0.25">
      <c r="A44" s="2244" t="s">
        <v>371</v>
      </c>
      <c r="B44" s="2245"/>
      <c r="C44" s="1624">
        <f>SUM(C24:C43)</f>
        <v>0</v>
      </c>
      <c r="D44" s="1624">
        <f t="shared" ref="D44:K44" si="6">SUM(D24:D43)</f>
        <v>22287</v>
      </c>
      <c r="E44" s="1624">
        <f t="shared" si="6"/>
        <v>0</v>
      </c>
      <c r="F44" s="1624">
        <f t="shared" si="6"/>
        <v>0</v>
      </c>
      <c r="G44" s="1624">
        <f t="shared" si="6"/>
        <v>0</v>
      </c>
      <c r="H44" s="1624">
        <f t="shared" si="6"/>
        <v>80000</v>
      </c>
      <c r="I44" s="1624">
        <f t="shared" si="6"/>
        <v>0</v>
      </c>
      <c r="J44" s="1624">
        <f t="shared" si="6"/>
        <v>0</v>
      </c>
      <c r="K44" s="1624">
        <f t="shared" si="6"/>
        <v>0</v>
      </c>
      <c r="L44" s="453"/>
    </row>
    <row r="45" spans="1:12" ht="15.75" customHeight="1" thickTop="1" x14ac:dyDescent="0.2">
      <c r="A45" s="2238" t="s">
        <v>108</v>
      </c>
      <c r="B45" s="2239"/>
      <c r="C45" s="1625"/>
      <c r="D45" s="1625"/>
      <c r="E45" s="1625"/>
      <c r="F45" s="1625"/>
      <c r="G45" s="1625"/>
      <c r="H45" s="1625"/>
      <c r="I45" s="1625"/>
      <c r="J45" s="1625"/>
      <c r="K45" s="1625"/>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80000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v>22287</v>
      </c>
      <c r="F75" s="1628"/>
      <c r="G75" s="1628"/>
      <c r="H75" s="1628"/>
      <c r="I75" s="1626"/>
      <c r="J75" s="1626"/>
      <c r="K75" s="1628"/>
      <c r="L75" s="453"/>
    </row>
    <row r="76" spans="1:12" s="433" customFormat="1" ht="14.25" thickTop="1" thickBot="1" x14ac:dyDescent="0.25">
      <c r="A76" s="2220" t="s">
        <v>437</v>
      </c>
      <c r="B76" s="2221"/>
      <c r="C76" s="1624">
        <f t="shared" ref="C76:K76" si="7">SUM(C47:C75)</f>
        <v>0</v>
      </c>
      <c r="D76" s="1624">
        <f t="shared" si="7"/>
        <v>0</v>
      </c>
      <c r="E76" s="1624">
        <f t="shared" si="7"/>
        <v>22287</v>
      </c>
      <c r="F76" s="1624">
        <f t="shared" si="7"/>
        <v>0</v>
      </c>
      <c r="G76" s="1624">
        <f t="shared" si="7"/>
        <v>0</v>
      </c>
      <c r="H76" s="1624">
        <f t="shared" si="7"/>
        <v>0</v>
      </c>
      <c r="I76" s="1624">
        <f t="shared" si="7"/>
        <v>80000</v>
      </c>
      <c r="J76" s="1624">
        <f t="shared" si="7"/>
        <v>0</v>
      </c>
      <c r="K76" s="1624">
        <f t="shared" si="7"/>
        <v>0</v>
      </c>
      <c r="L76" s="453"/>
    </row>
    <row r="77" spans="1:12" ht="14.25" thickTop="1" thickBot="1" x14ac:dyDescent="0.25">
      <c r="A77" s="2222" t="s">
        <v>1167</v>
      </c>
      <c r="B77" s="2223"/>
      <c r="C77" s="1624">
        <f t="shared" ref="C77:K77" si="8">C44-C76</f>
        <v>0</v>
      </c>
      <c r="D77" s="1624">
        <f t="shared" si="8"/>
        <v>22287</v>
      </c>
      <c r="E77" s="1624">
        <f t="shared" si="8"/>
        <v>-22287</v>
      </c>
      <c r="F77" s="1624">
        <f t="shared" si="8"/>
        <v>0</v>
      </c>
      <c r="G77" s="1624">
        <f t="shared" si="8"/>
        <v>0</v>
      </c>
      <c r="H77" s="1624">
        <f t="shared" si="8"/>
        <v>80000</v>
      </c>
      <c r="I77" s="1624">
        <f t="shared" si="8"/>
        <v>-80000</v>
      </c>
      <c r="J77" s="1624">
        <f t="shared" si="8"/>
        <v>0</v>
      </c>
      <c r="K77" s="1624">
        <f t="shared" si="8"/>
        <v>0</v>
      </c>
      <c r="L77" s="325"/>
    </row>
    <row r="78" spans="1:12" ht="21.75" customHeight="1" thickTop="1" thickBot="1" x14ac:dyDescent="0.25">
      <c r="A78" s="2226" t="s">
        <v>593</v>
      </c>
      <c r="B78" s="2227"/>
      <c r="C78" s="1629">
        <f t="shared" ref="C78:K78" si="9">C20+C77</f>
        <v>68878</v>
      </c>
      <c r="D78" s="1629">
        <f t="shared" si="9"/>
        <v>36346</v>
      </c>
      <c r="E78" s="1629">
        <f t="shared" si="9"/>
        <v>-21419</v>
      </c>
      <c r="F78" s="1629">
        <f t="shared" si="9"/>
        <v>524</v>
      </c>
      <c r="G78" s="1629">
        <f t="shared" si="9"/>
        <v>-2126</v>
      </c>
      <c r="H78" s="1629">
        <f t="shared" si="9"/>
        <v>130052</v>
      </c>
      <c r="I78" s="1629">
        <f t="shared" si="9"/>
        <v>-64579</v>
      </c>
      <c r="J78" s="1629">
        <f t="shared" si="9"/>
        <v>3247</v>
      </c>
      <c r="K78" s="1629">
        <f t="shared" si="9"/>
        <v>-17393</v>
      </c>
      <c r="L78" s="457"/>
    </row>
    <row r="79" spans="1:12" ht="13.5" thickTop="1" x14ac:dyDescent="0.2">
      <c r="A79" s="1844" t="str">
        <f>"Fund Balances - July 1, "&amp;'AFR20'!E2-1</f>
        <v>Fund Balances - July 1, 2019</v>
      </c>
      <c r="B79" s="458"/>
      <c r="C79" s="1583">
        <v>713166</v>
      </c>
      <c r="D79" s="1630">
        <v>19917</v>
      </c>
      <c r="E79" s="1630">
        <v>21420</v>
      </c>
      <c r="F79" s="1630">
        <v>211074</v>
      </c>
      <c r="G79" s="1630">
        <v>167969</v>
      </c>
      <c r="H79" s="1630">
        <v>0</v>
      </c>
      <c r="I79" s="1630">
        <v>331976</v>
      </c>
      <c r="J79" s="1630">
        <v>99006</v>
      </c>
      <c r="K79" s="1630">
        <v>29084</v>
      </c>
      <c r="L79" s="325"/>
    </row>
    <row r="80" spans="1:12" x14ac:dyDescent="0.2">
      <c r="A80" s="2232" t="s">
        <v>1772</v>
      </c>
      <c r="B80" s="2233"/>
      <c r="C80" s="1574"/>
      <c r="D80" s="1574"/>
      <c r="E80" s="1574"/>
      <c r="F80" s="1574"/>
      <c r="G80" s="1574"/>
      <c r="H80" s="1574"/>
      <c r="I80" s="1574"/>
      <c r="J80" s="1574"/>
      <c r="K80" s="1574"/>
      <c r="L80" s="325"/>
    </row>
    <row r="81" spans="1:12" ht="13.5" thickBot="1" x14ac:dyDescent="0.25">
      <c r="A81" s="2224" t="str">
        <f>"Fund Balances - June 30, "&amp;'AFR20'!E2</f>
        <v>Fund Balances - June 30, 2020</v>
      </c>
      <c r="B81" s="2225"/>
      <c r="C81" s="1594">
        <f>(SUM(C78:C80))</f>
        <v>782044</v>
      </c>
      <c r="D81" s="1594">
        <f>SUM(D78:D80)</f>
        <v>56263</v>
      </c>
      <c r="E81" s="1594">
        <f t="shared" ref="E81:K81" si="10">SUM(E78:E80)</f>
        <v>1</v>
      </c>
      <c r="F81" s="1594">
        <f t="shared" si="10"/>
        <v>211598</v>
      </c>
      <c r="G81" s="1594">
        <f t="shared" si="10"/>
        <v>165843</v>
      </c>
      <c r="H81" s="1594">
        <f t="shared" si="10"/>
        <v>130052</v>
      </c>
      <c r="I81" s="1594">
        <f t="shared" si="10"/>
        <v>267397</v>
      </c>
      <c r="J81" s="1594">
        <f t="shared" si="10"/>
        <v>102253</v>
      </c>
      <c r="K81" s="1594">
        <f t="shared" si="10"/>
        <v>11691</v>
      </c>
      <c r="L81" s="325"/>
    </row>
    <row r="82" spans="1:12" ht="0.75" customHeight="1" thickTop="1" thickBot="1" x14ac:dyDescent="0.25">
      <c r="A82" s="459" t="s">
        <v>340</v>
      </c>
      <c r="B82" s="460"/>
      <c r="C82" s="461">
        <f>(C81-C79)</f>
        <v>68878</v>
      </c>
      <c r="D82" s="461">
        <f t="shared" ref="D82:K82" si="11">(D81-D79)</f>
        <v>36346</v>
      </c>
      <c r="E82" s="461">
        <f t="shared" si="11"/>
        <v>-21419</v>
      </c>
      <c r="F82" s="461">
        <f t="shared" si="11"/>
        <v>524</v>
      </c>
      <c r="G82" s="461">
        <f t="shared" si="11"/>
        <v>-2126</v>
      </c>
      <c r="H82" s="461">
        <f t="shared" si="11"/>
        <v>130052</v>
      </c>
      <c r="I82" s="461">
        <f t="shared" si="11"/>
        <v>-64579</v>
      </c>
      <c r="J82" s="461">
        <f t="shared" si="11"/>
        <v>3247</v>
      </c>
      <c r="K82" s="461">
        <f t="shared" si="11"/>
        <v>-17393</v>
      </c>
    </row>
    <row r="83" spans="1:12" ht="14.25" hidden="1" thickTop="1" thickBot="1" x14ac:dyDescent="0.25">
      <c r="A83" s="462" t="s">
        <v>341</v>
      </c>
      <c r="B83" s="428"/>
      <c r="C83" s="463">
        <f>C82/C81</f>
        <v>8.8074328298663504E-2</v>
      </c>
      <c r="D83" s="463">
        <f t="shared" ref="D83:K83" si="12">D82/D81</f>
        <v>0.64600181291434866</v>
      </c>
      <c r="E83" s="463">
        <f t="shared" si="12"/>
        <v>-21419</v>
      </c>
      <c r="F83" s="463">
        <f t="shared" si="12"/>
        <v>2.4763939167666989E-3</v>
      </c>
      <c r="G83" s="463">
        <f t="shared" si="12"/>
        <v>-1.2819353243730517E-2</v>
      </c>
      <c r="H83" s="463">
        <f t="shared" si="12"/>
        <v>1</v>
      </c>
      <c r="I83" s="463">
        <f t="shared" si="12"/>
        <v>-0.24150981499418467</v>
      </c>
      <c r="J83" s="463">
        <f t="shared" si="12"/>
        <v>3.1754569548081722E-2</v>
      </c>
      <c r="K83" s="463">
        <f t="shared" si="12"/>
        <v>-1.4877256008895732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8000000000000003" right="0" top="0.8" bottom="0.62" header="0.28000000000000003" footer="0.28999999999999998"/>
  <pageSetup scale="73" firstPageNumber="8" orientation="landscape" useFirstPageNumber="1" r:id="rId1"/>
  <headerFooter differentOddEven="1" alignWithMargins="0">
    <oddHeader xml:space="preserve">&amp;C&amp;"Arial,Bold"&amp;9Raccoon Consolidated School District 1 
STATEMENT OF REVENUES RECEIVED/REVENUES, EXPENDITURES/DISBURSED/EXPENDITURES, OTHER 
SOURCES (USES) AND CHANGES IN FUND BALANCE (ALL FUNDS)
  FOR THE YEAR ENDING JUNE 30, 2020 </oddHeader>
    <oddFooter>&amp;L&amp;11See accompanying notes to the financial statements.&amp;C&amp;14- &amp;P -</oddFooter>
    <evenHeader xml:space="preserve">&amp;C&amp;"Arial,Bold"&amp;9Raccoon Consolidated School District 1 
STATEMENT OF REVENUES RECEIVED/REVENUES, EXPENDITURES/DISBURSED/EXPENDITURES, OTHER 
SOURCES (USES) AND CHANGES IN FUND BALANCE (ALL FUNDS)
  FOR THE YEAR ENDING JUNE 30, 2020 </evenHeader>
    <evenFooter>&amp;L&amp;11See accompanying notes to the financial statements.&amp;C&amp;14- &amp;P -</even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5"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412361</v>
      </c>
      <c r="D5" s="1586">
        <v>85882</v>
      </c>
      <c r="E5" s="1573">
        <v>53575</v>
      </c>
      <c r="F5" s="1631">
        <v>59253</v>
      </c>
      <c r="G5" s="1573">
        <v>39028</v>
      </c>
      <c r="H5" s="1573"/>
      <c r="I5" s="1573">
        <v>10254</v>
      </c>
      <c r="J5" s="1574">
        <v>60903</v>
      </c>
      <c r="K5" s="1573">
        <v>10254</v>
      </c>
    </row>
    <row r="6" spans="1:12" ht="15" x14ac:dyDescent="0.2">
      <c r="A6" s="427" t="s">
        <v>1643</v>
      </c>
      <c r="B6" s="429">
        <v>1130</v>
      </c>
      <c r="C6" s="1573">
        <v>10254</v>
      </c>
      <c r="D6" s="1573"/>
      <c r="E6" s="1580"/>
      <c r="F6" s="1580"/>
      <c r="G6" s="1575"/>
      <c r="H6" s="1575"/>
      <c r="I6" s="1575"/>
      <c r="J6" s="1575"/>
      <c r="K6" s="1575"/>
    </row>
    <row r="7" spans="1:12" x14ac:dyDescent="0.2">
      <c r="A7" s="427" t="s">
        <v>110</v>
      </c>
      <c r="B7" s="471">
        <v>1140</v>
      </c>
      <c r="C7" s="1573">
        <v>4216</v>
      </c>
      <c r="D7" s="1573"/>
      <c r="E7" s="1575"/>
      <c r="F7" s="1574"/>
      <c r="G7" s="1574"/>
      <c r="H7" s="1574"/>
      <c r="I7" s="1575"/>
      <c r="J7" s="1575"/>
      <c r="K7" s="1575"/>
    </row>
    <row r="8" spans="1:12" x14ac:dyDescent="0.2">
      <c r="A8" s="427" t="s">
        <v>410</v>
      </c>
      <c r="B8" s="429">
        <v>1150</v>
      </c>
      <c r="C8" s="1580"/>
      <c r="D8" s="1580"/>
      <c r="E8" s="1582"/>
      <c r="F8" s="1582"/>
      <c r="G8" s="1586">
        <v>52410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426831</v>
      </c>
      <c r="D12" s="1633">
        <f t="shared" si="0"/>
        <v>85882</v>
      </c>
      <c r="E12" s="1633">
        <f t="shared" si="0"/>
        <v>53575</v>
      </c>
      <c r="F12" s="1633">
        <f t="shared" si="0"/>
        <v>59253</v>
      </c>
      <c r="G12" s="1633">
        <f t="shared" si="0"/>
        <v>91438</v>
      </c>
      <c r="H12" s="1633">
        <f t="shared" si="0"/>
        <v>0</v>
      </c>
      <c r="I12" s="1633">
        <f t="shared" si="0"/>
        <v>10254</v>
      </c>
      <c r="J12" s="1633">
        <f t="shared" si="0"/>
        <v>60903</v>
      </c>
      <c r="K12" s="1594">
        <f t="shared" si="0"/>
        <v>10254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37567</v>
      </c>
      <c r="D16" s="1573"/>
      <c r="E16" s="1573"/>
      <c r="F16" s="1573"/>
      <c r="G16" s="1573">
        <v>8500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37567</v>
      </c>
      <c r="D18" s="1635">
        <f t="shared" ref="D18:K18" si="1">SUM(D14:D17)</f>
        <v>0</v>
      </c>
      <c r="E18" s="1635">
        <f t="shared" si="1"/>
        <v>0</v>
      </c>
      <c r="F18" s="1635">
        <f t="shared" si="1"/>
        <v>0</v>
      </c>
      <c r="G18" s="1635">
        <f t="shared" si="1"/>
        <v>8500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28676</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28676</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13797</v>
      </c>
      <c r="D65" s="1573">
        <v>829</v>
      </c>
      <c r="E65" s="1573">
        <v>868</v>
      </c>
      <c r="F65" s="1574">
        <v>2720</v>
      </c>
      <c r="G65" s="1573">
        <v>3001</v>
      </c>
      <c r="H65" s="1573">
        <v>52</v>
      </c>
      <c r="I65" s="1573">
        <v>5167</v>
      </c>
      <c r="J65" s="1574">
        <v>1436</v>
      </c>
      <c r="K65" s="1573">
        <v>128</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13797</v>
      </c>
      <c r="D67" s="1594">
        <f t="shared" ref="D67:K67" si="2">SUM(D65:D66)</f>
        <v>829</v>
      </c>
      <c r="E67" s="1594">
        <f t="shared" si="2"/>
        <v>868</v>
      </c>
      <c r="F67" s="1594">
        <f t="shared" si="2"/>
        <v>2720</v>
      </c>
      <c r="G67" s="1594">
        <f t="shared" si="2"/>
        <v>3001</v>
      </c>
      <c r="H67" s="1594">
        <f t="shared" si="2"/>
        <v>52</v>
      </c>
      <c r="I67" s="1594">
        <f t="shared" si="2"/>
        <v>5167</v>
      </c>
      <c r="J67" s="1594">
        <f t="shared" si="2"/>
        <v>1436</v>
      </c>
      <c r="K67" s="1594">
        <f t="shared" si="2"/>
        <v>128</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42</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1071</v>
      </c>
      <c r="D73" s="1575"/>
      <c r="E73" s="1575"/>
      <c r="F73" s="1575"/>
      <c r="G73" s="1575"/>
      <c r="H73" s="1575"/>
      <c r="I73" s="1575"/>
      <c r="J73" s="1575"/>
      <c r="K73" s="1575"/>
    </row>
    <row r="74" spans="1:11" ht="12.75" customHeight="1" x14ac:dyDescent="0.2">
      <c r="A74" s="427" t="s">
        <v>25</v>
      </c>
      <c r="B74" s="429">
        <v>1690</v>
      </c>
      <c r="C74" s="1632">
        <v>56</v>
      </c>
      <c r="D74" s="1575"/>
      <c r="E74" s="1575"/>
      <c r="F74" s="1575"/>
      <c r="G74" s="1575"/>
      <c r="H74" s="1575"/>
      <c r="I74" s="1575"/>
      <c r="J74" s="1575"/>
      <c r="K74" s="1575"/>
    </row>
    <row r="75" spans="1:11" ht="12.75" customHeight="1" thickBot="1" x14ac:dyDescent="0.25">
      <c r="A75" s="1406" t="s">
        <v>544</v>
      </c>
      <c r="B75" s="1407"/>
      <c r="C75" s="1594">
        <f>SUM(C69:C74)</f>
        <v>1169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4832</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4832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4550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4550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22612</v>
      </c>
      <c r="D107" s="1573">
        <v>36070</v>
      </c>
      <c r="E107" s="1573"/>
      <c r="F107" s="1573">
        <v>4489</v>
      </c>
      <c r="G107" s="1573"/>
      <c r="H107" s="1573"/>
      <c r="I107" s="1573"/>
      <c r="J107" s="1574"/>
      <c r="K107" s="1573"/>
    </row>
    <row r="108" spans="1:12" ht="12.75" customHeight="1" thickBot="1" x14ac:dyDescent="0.25">
      <c r="A108" s="1406" t="s">
        <v>484</v>
      </c>
      <c r="B108" s="1408"/>
      <c r="C108" s="1633">
        <f>SUM(C95:C107)</f>
        <v>22612</v>
      </c>
      <c r="D108" s="1633">
        <f t="shared" ref="D108:K108" si="3">SUM(D95:D107)</f>
        <v>36070</v>
      </c>
      <c r="E108" s="1633">
        <f t="shared" si="3"/>
        <v>0</v>
      </c>
      <c r="F108" s="1633">
        <f t="shared" si="3"/>
        <v>4489</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540034</v>
      </c>
      <c r="D109" s="1641">
        <f t="shared" si="4"/>
        <v>122781</v>
      </c>
      <c r="E109" s="1641">
        <f t="shared" si="4"/>
        <v>54443</v>
      </c>
      <c r="F109" s="1641">
        <f t="shared" si="4"/>
        <v>66462</v>
      </c>
      <c r="G109" s="1641">
        <f t="shared" si="4"/>
        <v>102939</v>
      </c>
      <c r="H109" s="1641">
        <f t="shared" si="4"/>
        <v>52</v>
      </c>
      <c r="I109" s="1641">
        <f t="shared" si="4"/>
        <v>15421</v>
      </c>
      <c r="J109" s="1641">
        <f t="shared" si="4"/>
        <v>62339</v>
      </c>
      <c r="K109" s="1629">
        <f t="shared" si="4"/>
        <v>10382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992212</v>
      </c>
      <c r="D117" s="1586">
        <v>119489</v>
      </c>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992212</v>
      </c>
      <c r="D122" s="1633">
        <f t="shared" si="5"/>
        <v>119489</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19308</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19308</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1937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104450</v>
      </c>
      <c r="G152" s="1574"/>
      <c r="H152" s="1575"/>
      <c r="I152" s="1575"/>
      <c r="J152" s="1575"/>
      <c r="K152" s="1575"/>
    </row>
    <row r="153" spans="1:11" ht="12.75" customHeight="1" x14ac:dyDescent="0.2">
      <c r="A153" s="427" t="s">
        <v>1048</v>
      </c>
      <c r="B153" s="478">
        <v>3510</v>
      </c>
      <c r="C153" s="1632"/>
      <c r="D153" s="1573"/>
      <c r="E153" s="1640"/>
      <c r="F153" s="1573">
        <v>31700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136150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c r="D168" s="1655">
        <v>9000</v>
      </c>
      <c r="E168" s="1655"/>
      <c r="F168" s="1655"/>
      <c r="G168" s="1656"/>
      <c r="H168" s="1657"/>
      <c r="I168" s="1656"/>
      <c r="J168" s="1656"/>
      <c r="K168" s="1657"/>
    </row>
    <row r="169" spans="1:11" ht="12.75" customHeight="1" thickTop="1" thickBot="1" x14ac:dyDescent="0.25">
      <c r="A169" s="2248" t="s">
        <v>395</v>
      </c>
      <c r="B169" s="2249"/>
      <c r="C169" s="1658">
        <f t="shared" ref="C169:K169" si="6">SUM(C132,C141,C145,C146:C150,C155,C156:C167,C168)</f>
        <v>21245</v>
      </c>
      <c r="D169" s="1658">
        <f t="shared" si="6"/>
        <v>9000</v>
      </c>
      <c r="E169" s="1658">
        <f t="shared" si="6"/>
        <v>0</v>
      </c>
      <c r="F169" s="1658">
        <f t="shared" si="6"/>
        <v>136150</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1013457</v>
      </c>
      <c r="D170" s="1641">
        <f t="shared" si="7"/>
        <v>128489</v>
      </c>
      <c r="E170" s="1641">
        <f t="shared" si="7"/>
        <v>0</v>
      </c>
      <c r="F170" s="1641">
        <f t="shared" si="7"/>
        <v>136150</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0" t="s">
        <v>1475</v>
      </c>
      <c r="B172" s="225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4" t="s">
        <v>1646</v>
      </c>
      <c r="B175" s="225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8" t="s">
        <v>1645</v>
      </c>
      <c r="B176" s="225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6" t="s">
        <v>780</v>
      </c>
      <c r="B181" s="225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2" t="s">
        <v>1780</v>
      </c>
      <c r="B182" s="225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76234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33657</v>
      </c>
      <c r="D193" s="1575"/>
      <c r="E193" s="1640"/>
      <c r="F193" s="1575"/>
      <c r="G193" s="1664"/>
      <c r="H193" s="1575"/>
      <c r="I193" s="1575"/>
      <c r="J193" s="1575"/>
      <c r="K193" s="1575"/>
    </row>
    <row r="194" spans="1:11" ht="12.75" customHeight="1" x14ac:dyDescent="0.2">
      <c r="A194" s="427" t="s">
        <v>1434</v>
      </c>
      <c r="B194" s="429">
        <v>4225</v>
      </c>
      <c r="C194" s="1632">
        <v>18754</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128645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87319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87319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3370</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15373</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18743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3598</v>
      </c>
      <c r="D263" s="1651"/>
      <c r="E263" s="1575"/>
      <c r="F263" s="1651"/>
      <c r="G263" s="1651"/>
      <c r="H263" s="1575"/>
      <c r="I263" s="1575"/>
      <c r="J263" s="1575"/>
      <c r="K263" s="1575"/>
    </row>
    <row r="264" spans="1:11" ht="12.75" customHeight="1" thickTop="1" thickBot="1" x14ac:dyDescent="0.25">
      <c r="A264" s="427" t="s">
        <v>374</v>
      </c>
      <c r="B264" s="429">
        <v>4992</v>
      </c>
      <c r="C264" s="1650">
        <v>21026</v>
      </c>
      <c r="D264" s="1651"/>
      <c r="E264" s="1575"/>
      <c r="F264" s="1651"/>
      <c r="G264" s="1651"/>
      <c r="H264" s="1575"/>
      <c r="I264" s="1575"/>
      <c r="J264" s="1575"/>
      <c r="K264" s="1575"/>
    </row>
    <row r="265" spans="1:11" s="489" customFormat="1" ht="12.75" customHeight="1" thickTop="1" thickBot="1" x14ac:dyDescent="0.25">
      <c r="A265" s="479" t="s">
        <v>75</v>
      </c>
      <c r="B265" s="475">
        <v>4998</v>
      </c>
      <c r="C265" s="1650">
        <v>29824</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289155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289155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1842646</v>
      </c>
      <c r="D268" s="1641">
        <f t="shared" si="12"/>
        <v>251270</v>
      </c>
      <c r="E268" s="1641">
        <f t="shared" si="12"/>
        <v>54443</v>
      </c>
      <c r="F268" s="1641">
        <f t="shared" si="12"/>
        <v>202612</v>
      </c>
      <c r="G268" s="1641">
        <f t="shared" si="12"/>
        <v>102939</v>
      </c>
      <c r="H268" s="1641">
        <f t="shared" si="12"/>
        <v>50052</v>
      </c>
      <c r="I268" s="1641">
        <f t="shared" si="12"/>
        <v>15421</v>
      </c>
      <c r="J268" s="1641">
        <f t="shared" si="12"/>
        <v>62339</v>
      </c>
      <c r="K268" s="1629">
        <f t="shared" si="12"/>
        <v>10382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ageMargins left="0.37" right="0.15" top="0.66" bottom="0.46" header="0.26" footer="0.23"/>
  <pageSetup scale="73" firstPageNumber="10" orientation="landscape" useFirstPageNumber="1" r:id="rId1"/>
  <headerFooter differentOddEven="1" alignWithMargins="0">
    <oddHeader>&amp;C&amp;"Arial,Bold"&amp;9Raccoon Consolidated School District 1 
STATEMENT OF REVENUES RECEIVED/REVENUES (ALL FUNDS)
FOR THE YEAR ENDING JUNE 30, 2020</oddHeader>
    <oddFooter>&amp;L&amp;11See accompanying notes to the financial statements.&amp;C&amp;14- &amp;P -</oddFooter>
    <evenHeader>&amp;C&amp;"Arial,Bold"&amp;9Raccoon Consolidated School District 1 
STATEMENT OF REVENUES RECEIVED/REVENUES (ALL FUNDS)
FOR THE YEAR ENDING JUNE 30, 2020</evenHeader>
    <evenFooter>&amp;L&amp;11See accompanying notes to the financial statements.&amp;C&amp;14- &amp;P -</even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C8" sqref="C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722712</v>
      </c>
      <c r="D5" s="1573">
        <v>80403</v>
      </c>
      <c r="E5" s="1573">
        <v>63845</v>
      </c>
      <c r="F5" s="1573">
        <v>48615</v>
      </c>
      <c r="G5" s="1573"/>
      <c r="H5" s="1573">
        <v>366</v>
      </c>
      <c r="I5" s="1574"/>
      <c r="J5" s="1574"/>
      <c r="K5" s="1672">
        <f>SUM(C5:J5)</f>
        <v>915941</v>
      </c>
      <c r="L5" s="1573">
        <v>915944</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3000</v>
      </c>
    </row>
    <row r="8" spans="1:14" x14ac:dyDescent="0.2">
      <c r="A8" s="1274" t="s">
        <v>163</v>
      </c>
      <c r="B8" s="503">
        <v>1200</v>
      </c>
      <c r="C8" s="1573">
        <v>246738</v>
      </c>
      <c r="D8" s="1573">
        <v>19027</v>
      </c>
      <c r="E8" s="1573"/>
      <c r="F8" s="1573">
        <v>110</v>
      </c>
      <c r="G8" s="1573"/>
      <c r="H8" s="1573"/>
      <c r="I8" s="1574"/>
      <c r="J8" s="1574"/>
      <c r="K8" s="1672">
        <f t="shared" si="0"/>
        <v>265875</v>
      </c>
      <c r="L8" s="1573">
        <v>265977</v>
      </c>
    </row>
    <row r="9" spans="1:14" x14ac:dyDescent="0.2">
      <c r="A9" s="1274" t="s">
        <v>716</v>
      </c>
      <c r="B9" s="503" t="s">
        <v>962</v>
      </c>
      <c r="C9" s="1574">
        <v>31019</v>
      </c>
      <c r="D9" s="1574">
        <v>3183</v>
      </c>
      <c r="E9" s="1574"/>
      <c r="F9" s="1574"/>
      <c r="G9" s="1574"/>
      <c r="H9" s="1574"/>
      <c r="I9" s="1574"/>
      <c r="J9" s="1574"/>
      <c r="K9" s="1672">
        <f t="shared" si="0"/>
        <v>34202</v>
      </c>
      <c r="L9" s="1573">
        <v>31206</v>
      </c>
    </row>
    <row r="10" spans="1:14" x14ac:dyDescent="0.2">
      <c r="A10" s="1274" t="s">
        <v>717</v>
      </c>
      <c r="B10" s="503">
        <v>1250</v>
      </c>
      <c r="C10" s="1573">
        <v>44262</v>
      </c>
      <c r="D10" s="1573">
        <v>6771</v>
      </c>
      <c r="E10" s="1573">
        <v>6579</v>
      </c>
      <c r="F10" s="1573">
        <v>24138</v>
      </c>
      <c r="G10" s="1573"/>
      <c r="H10" s="1573"/>
      <c r="I10" s="1574"/>
      <c r="J10" s="1574"/>
      <c r="K10" s="1672">
        <f t="shared" si="0"/>
        <v>81750</v>
      </c>
      <c r="L10" s="1573">
        <v>81754</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c r="D13" s="1573"/>
      <c r="E13" s="1573"/>
      <c r="F13" s="1573"/>
      <c r="G13" s="1573"/>
      <c r="H13" s="1573"/>
      <c r="I13" s="1574"/>
      <c r="J13" s="1574"/>
      <c r="K13" s="1672">
        <f t="shared" si="0"/>
        <v>0</v>
      </c>
      <c r="L13" s="1573">
        <v>0</v>
      </c>
    </row>
    <row r="14" spans="1:14" x14ac:dyDescent="0.2">
      <c r="A14" s="1274" t="s">
        <v>957</v>
      </c>
      <c r="B14" s="503">
        <v>1500</v>
      </c>
      <c r="C14" s="1573">
        <v>17406</v>
      </c>
      <c r="D14" s="1573">
        <v>18</v>
      </c>
      <c r="E14" s="1573">
        <v>3700</v>
      </c>
      <c r="F14" s="1573">
        <v>439</v>
      </c>
      <c r="G14" s="1573"/>
      <c r="H14" s="1573">
        <v>350</v>
      </c>
      <c r="I14" s="1574"/>
      <c r="J14" s="1574"/>
      <c r="K14" s="1672">
        <f t="shared" si="0"/>
        <v>21913</v>
      </c>
      <c r="L14" s="1573">
        <v>22213</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v>1000</v>
      </c>
      <c r="D16" s="1573"/>
      <c r="E16" s="1573"/>
      <c r="F16" s="1573"/>
      <c r="G16" s="1573"/>
      <c r="H16" s="1573"/>
      <c r="I16" s="1574"/>
      <c r="J16" s="1574"/>
      <c r="K16" s="1672">
        <f t="shared" si="0"/>
        <v>1000</v>
      </c>
      <c r="L16" s="1573">
        <v>1000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1063137</v>
      </c>
      <c r="D33" s="1674">
        <f t="shared" ref="D33:L33" si="1">SUM(D5:D32)</f>
        <v>109402</v>
      </c>
      <c r="E33" s="1674">
        <f t="shared" si="1"/>
        <v>74124</v>
      </c>
      <c r="F33" s="1674">
        <f t="shared" si="1"/>
        <v>73302</v>
      </c>
      <c r="G33" s="1674">
        <f t="shared" si="1"/>
        <v>0</v>
      </c>
      <c r="H33" s="1674">
        <f t="shared" si="1"/>
        <v>716</v>
      </c>
      <c r="I33" s="1674">
        <f t="shared" si="1"/>
        <v>0</v>
      </c>
      <c r="J33" s="1674">
        <f t="shared" si="1"/>
        <v>0</v>
      </c>
      <c r="K33" s="1674">
        <f t="shared" si="1"/>
        <v>1320681</v>
      </c>
      <c r="L33" s="1674">
        <f t="shared" si="1"/>
        <v>1321094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v>0</v>
      </c>
    </row>
    <row r="37" spans="1:14" x14ac:dyDescent="0.2">
      <c r="A37" s="1274" t="s">
        <v>1081</v>
      </c>
      <c r="B37" s="503">
        <v>2120</v>
      </c>
      <c r="C37" s="1573"/>
      <c r="D37" s="1573"/>
      <c r="E37" s="1573"/>
      <c r="F37" s="1573"/>
      <c r="G37" s="1573"/>
      <c r="H37" s="1573"/>
      <c r="I37" s="1574"/>
      <c r="J37" s="1574"/>
      <c r="K37" s="1672">
        <f t="shared" si="2"/>
        <v>0</v>
      </c>
      <c r="L37" s="1573">
        <v>0</v>
      </c>
    </row>
    <row r="38" spans="1:14" x14ac:dyDescent="0.2">
      <c r="A38" s="1274" t="s">
        <v>196</v>
      </c>
      <c r="B38" s="503">
        <v>2130</v>
      </c>
      <c r="C38" s="1573">
        <v>10218</v>
      </c>
      <c r="D38" s="1573"/>
      <c r="E38" s="1573">
        <v>377</v>
      </c>
      <c r="F38" s="1573">
        <v>965</v>
      </c>
      <c r="G38" s="1573"/>
      <c r="H38" s="1573"/>
      <c r="I38" s="1574"/>
      <c r="J38" s="1574"/>
      <c r="K38" s="1672">
        <f t="shared" si="2"/>
        <v>11560</v>
      </c>
      <c r="L38" s="1573">
        <v>11561</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175</v>
      </c>
    </row>
    <row r="41" spans="1:14" x14ac:dyDescent="0.2">
      <c r="A41" s="1274" t="s">
        <v>1650</v>
      </c>
      <c r="B41" s="503">
        <v>2190</v>
      </c>
      <c r="C41" s="1573">
        <v>1728</v>
      </c>
      <c r="D41" s="1573">
        <v>81</v>
      </c>
      <c r="E41" s="1573"/>
      <c r="F41" s="1573"/>
      <c r="G41" s="1573"/>
      <c r="H41" s="1573"/>
      <c r="I41" s="1574"/>
      <c r="J41" s="1574"/>
      <c r="K41" s="1672">
        <f t="shared" si="2"/>
        <v>1809</v>
      </c>
      <c r="L41" s="1573">
        <v>1810</v>
      </c>
    </row>
    <row r="42" spans="1:14" ht="12.75" customHeight="1" thickBot="1" x14ac:dyDescent="0.25">
      <c r="A42" s="1380" t="s">
        <v>556</v>
      </c>
      <c r="B42" s="1381" t="s">
        <v>711</v>
      </c>
      <c r="C42" s="1674">
        <f>SUM(C36:C41)</f>
        <v>11946</v>
      </c>
      <c r="D42" s="1674">
        <f t="shared" ref="D42:L42" si="3">SUM(D36:D41)</f>
        <v>81</v>
      </c>
      <c r="E42" s="1674">
        <f t="shared" si="3"/>
        <v>377</v>
      </c>
      <c r="F42" s="1674">
        <f t="shared" si="3"/>
        <v>965</v>
      </c>
      <c r="G42" s="1674">
        <f t="shared" si="3"/>
        <v>0</v>
      </c>
      <c r="H42" s="1674">
        <f t="shared" si="3"/>
        <v>0</v>
      </c>
      <c r="I42" s="1674">
        <f t="shared" si="3"/>
        <v>0</v>
      </c>
      <c r="J42" s="1674">
        <f t="shared" si="3"/>
        <v>0</v>
      </c>
      <c r="K42" s="1674">
        <f t="shared" si="3"/>
        <v>13369</v>
      </c>
      <c r="L42" s="1674">
        <f t="shared" si="3"/>
        <v>13546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13151</v>
      </c>
      <c r="F44" s="1586"/>
      <c r="G44" s="1586"/>
      <c r="H44" s="1586"/>
      <c r="I44" s="1574"/>
      <c r="J44" s="1574"/>
      <c r="K44" s="1678">
        <f>SUM(C44:J44)</f>
        <v>13151</v>
      </c>
      <c r="L44" s="1586">
        <v>13159</v>
      </c>
    </row>
    <row r="45" spans="1:14" x14ac:dyDescent="0.2">
      <c r="A45" s="1274" t="s">
        <v>810</v>
      </c>
      <c r="B45" s="503">
        <v>2220</v>
      </c>
      <c r="C45" s="1573"/>
      <c r="D45" s="1573"/>
      <c r="E45" s="1573"/>
      <c r="F45" s="1573"/>
      <c r="G45" s="1573"/>
      <c r="H45" s="1573"/>
      <c r="I45" s="1574"/>
      <c r="J45" s="1574"/>
      <c r="K45" s="1678">
        <f>SUM(C45:J45)</f>
        <v>0</v>
      </c>
      <c r="L45" s="1573">
        <v>0</v>
      </c>
    </row>
    <row r="46" spans="1:14" x14ac:dyDescent="0.2">
      <c r="A46" s="1274" t="s">
        <v>811</v>
      </c>
      <c r="B46" s="503">
        <v>2230</v>
      </c>
      <c r="C46" s="1573"/>
      <c r="D46" s="1573"/>
      <c r="E46" s="1573"/>
      <c r="F46" s="1573"/>
      <c r="G46" s="1573"/>
      <c r="H46" s="1573"/>
      <c r="I46" s="1574"/>
      <c r="J46" s="1574"/>
      <c r="K46" s="1678">
        <f>SUM(C46:J46)</f>
        <v>0</v>
      </c>
      <c r="L46" s="1573">
        <v>0</v>
      </c>
    </row>
    <row r="47" spans="1:14" ht="12.75" customHeight="1" thickBot="1" x14ac:dyDescent="0.25">
      <c r="A47" s="1380" t="s">
        <v>557</v>
      </c>
      <c r="B47" s="1381" t="s">
        <v>32</v>
      </c>
      <c r="C47" s="1674">
        <f>SUM(C44:C46)</f>
        <v>0</v>
      </c>
      <c r="D47" s="1674">
        <f t="shared" ref="D47:K47" si="4">SUM(D44:D46)</f>
        <v>0</v>
      </c>
      <c r="E47" s="1674">
        <f t="shared" si="4"/>
        <v>13151</v>
      </c>
      <c r="F47" s="1674">
        <f t="shared" si="4"/>
        <v>0</v>
      </c>
      <c r="G47" s="1674">
        <f t="shared" si="4"/>
        <v>0</v>
      </c>
      <c r="H47" s="1674">
        <f t="shared" si="4"/>
        <v>0</v>
      </c>
      <c r="I47" s="1674">
        <f t="shared" si="4"/>
        <v>0</v>
      </c>
      <c r="J47" s="1674">
        <f t="shared" si="4"/>
        <v>0</v>
      </c>
      <c r="K47" s="1674">
        <f t="shared" si="4"/>
        <v>13151</v>
      </c>
      <c r="L47" s="1674">
        <f>SUM(L44:L46)</f>
        <v>13159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2588</v>
      </c>
      <c r="D49" s="1586"/>
      <c r="E49" s="1586">
        <v>12479</v>
      </c>
      <c r="F49" s="1586">
        <v>615</v>
      </c>
      <c r="G49" s="1586"/>
      <c r="H49" s="1586">
        <v>7768</v>
      </c>
      <c r="I49" s="1574"/>
      <c r="J49" s="1574"/>
      <c r="K49" s="1678">
        <f>SUM(C49:J49)</f>
        <v>23450</v>
      </c>
      <c r="L49" s="1586">
        <v>23285</v>
      </c>
    </row>
    <row r="50" spans="1:14" x14ac:dyDescent="0.2">
      <c r="A50" s="1274" t="s">
        <v>813</v>
      </c>
      <c r="B50" s="503">
        <v>2320</v>
      </c>
      <c r="C50" s="1573">
        <v>98118</v>
      </c>
      <c r="D50" s="1573">
        <v>12672</v>
      </c>
      <c r="E50" s="1573"/>
      <c r="F50" s="1573">
        <v>973</v>
      </c>
      <c r="G50" s="1573"/>
      <c r="H50" s="1573"/>
      <c r="I50" s="1574"/>
      <c r="J50" s="1574"/>
      <c r="K50" s="1678">
        <f>SUM(C50:J50)</f>
        <v>111763</v>
      </c>
      <c r="L50" s="1573">
        <v>111764</v>
      </c>
    </row>
    <row r="51" spans="1:14" x14ac:dyDescent="0.2">
      <c r="A51" s="1274" t="s">
        <v>42</v>
      </c>
      <c r="B51" s="503">
        <v>2330</v>
      </c>
      <c r="C51" s="1573"/>
      <c r="D51" s="1573"/>
      <c r="E51" s="1573">
        <v>144</v>
      </c>
      <c r="F51" s="1573"/>
      <c r="G51" s="1573"/>
      <c r="H51" s="1573"/>
      <c r="I51" s="1574"/>
      <c r="J51" s="1574"/>
      <c r="K51" s="1678">
        <f>SUM(C51:J51)</f>
        <v>144</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100706</v>
      </c>
      <c r="D53" s="1674">
        <f t="shared" ref="D53:L53" si="5">SUM(D49:D52)</f>
        <v>12672</v>
      </c>
      <c r="E53" s="1674">
        <f t="shared" si="5"/>
        <v>12623</v>
      </c>
      <c r="F53" s="1674">
        <f t="shared" si="5"/>
        <v>1588</v>
      </c>
      <c r="G53" s="1674">
        <f t="shared" si="5"/>
        <v>0</v>
      </c>
      <c r="H53" s="1674">
        <f t="shared" si="5"/>
        <v>7768</v>
      </c>
      <c r="I53" s="1674">
        <f t="shared" si="5"/>
        <v>0</v>
      </c>
      <c r="J53" s="1674">
        <f t="shared" si="5"/>
        <v>0</v>
      </c>
      <c r="K53" s="1674">
        <f t="shared" si="5"/>
        <v>135357</v>
      </c>
      <c r="L53" s="1674">
        <f t="shared" si="5"/>
        <v>135049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29426</v>
      </c>
      <c r="D55" s="1586"/>
      <c r="E55" s="1586">
        <v>152</v>
      </c>
      <c r="F55" s="1586">
        <v>1315</v>
      </c>
      <c r="G55" s="1586"/>
      <c r="H55" s="1586"/>
      <c r="I55" s="1574"/>
      <c r="J55" s="1574"/>
      <c r="K55" s="1678">
        <f>SUM(C55:J55)</f>
        <v>30893</v>
      </c>
      <c r="L55" s="1586">
        <v>30894</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29426</v>
      </c>
      <c r="D57" s="1679">
        <f t="shared" ref="D57:K57" si="6">SUM(D55:D56)</f>
        <v>0</v>
      </c>
      <c r="E57" s="1679">
        <f t="shared" si="6"/>
        <v>152</v>
      </c>
      <c r="F57" s="1679">
        <f t="shared" si="6"/>
        <v>1315</v>
      </c>
      <c r="G57" s="1679">
        <f t="shared" si="6"/>
        <v>0</v>
      </c>
      <c r="H57" s="1679">
        <f t="shared" si="6"/>
        <v>0</v>
      </c>
      <c r="I57" s="1679">
        <f t="shared" si="6"/>
        <v>0</v>
      </c>
      <c r="J57" s="1679">
        <f t="shared" si="6"/>
        <v>0</v>
      </c>
      <c r="K57" s="1679">
        <f t="shared" si="6"/>
        <v>30893</v>
      </c>
      <c r="L57" s="1674">
        <f>SUM(L55:L56)</f>
        <v>30894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46879</v>
      </c>
      <c r="D60" s="1573">
        <v>1437</v>
      </c>
      <c r="E60" s="1573">
        <v>896</v>
      </c>
      <c r="F60" s="1573">
        <v>1598</v>
      </c>
      <c r="G60" s="1573"/>
      <c r="H60" s="1573"/>
      <c r="I60" s="1574"/>
      <c r="J60" s="1574"/>
      <c r="K60" s="1678">
        <f t="shared" si="7"/>
        <v>50810</v>
      </c>
      <c r="L60" s="1573">
        <v>50817</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v>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50544</v>
      </c>
      <c r="D63" s="1573"/>
      <c r="E63" s="1573">
        <v>350</v>
      </c>
      <c r="F63" s="1573">
        <v>63270</v>
      </c>
      <c r="G63" s="1573"/>
      <c r="H63" s="1573"/>
      <c r="I63" s="1574"/>
      <c r="J63" s="1574"/>
      <c r="K63" s="1678">
        <f t="shared" si="7"/>
        <v>114164</v>
      </c>
      <c r="L63" s="1573">
        <v>114166</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97423</v>
      </c>
      <c r="D65" s="1674">
        <f t="shared" ref="D65:L65" si="8">SUM(D59:D64)</f>
        <v>1437</v>
      </c>
      <c r="E65" s="1674">
        <f t="shared" si="8"/>
        <v>1246</v>
      </c>
      <c r="F65" s="1674">
        <f t="shared" si="8"/>
        <v>64868</v>
      </c>
      <c r="G65" s="1674">
        <f t="shared" si="8"/>
        <v>0</v>
      </c>
      <c r="H65" s="1674">
        <f t="shared" si="8"/>
        <v>0</v>
      </c>
      <c r="I65" s="1674">
        <f t="shared" si="8"/>
        <v>0</v>
      </c>
      <c r="J65" s="1674">
        <f t="shared" si="8"/>
        <v>0</v>
      </c>
      <c r="K65" s="1674">
        <f t="shared" si="8"/>
        <v>164974</v>
      </c>
      <c r="L65" s="1674">
        <f t="shared" si="8"/>
        <v>164983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v>500</v>
      </c>
      <c r="G73" s="1649"/>
      <c r="H73" s="1649"/>
      <c r="I73" s="1627"/>
      <c r="J73" s="1627"/>
      <c r="K73" s="1674">
        <f>SUM(C73:J73)</f>
        <v>500</v>
      </c>
      <c r="L73" s="1651">
        <v>500</v>
      </c>
      <c r="M73" s="501"/>
      <c r="N73" s="501"/>
    </row>
    <row r="74" spans="1:14" ht="12.75" customHeight="1" thickTop="1" thickBot="1" x14ac:dyDescent="0.25">
      <c r="A74" s="1380" t="s">
        <v>806</v>
      </c>
      <c r="B74" s="1384">
        <v>2000</v>
      </c>
      <c r="C74" s="1681">
        <f>SUM(C42,C47,C53,C57,C65,C72,C73)</f>
        <v>239501</v>
      </c>
      <c r="D74" s="1681">
        <f t="shared" ref="D74:K74" si="10">SUM(D42,D47,D53,D57,D65,D72,D73)</f>
        <v>14190</v>
      </c>
      <c r="E74" s="1681">
        <f t="shared" si="10"/>
        <v>27549</v>
      </c>
      <c r="F74" s="1681">
        <f t="shared" si="10"/>
        <v>69236</v>
      </c>
      <c r="G74" s="1681">
        <f t="shared" si="10"/>
        <v>0</v>
      </c>
      <c r="H74" s="1681">
        <f t="shared" si="10"/>
        <v>7768</v>
      </c>
      <c r="I74" s="1681">
        <f t="shared" si="10"/>
        <v>0</v>
      </c>
      <c r="J74" s="1681">
        <f t="shared" si="10"/>
        <v>0</v>
      </c>
      <c r="K74" s="1681">
        <f t="shared" si="10"/>
        <v>358244</v>
      </c>
      <c r="L74" s="1681">
        <f>SUM(L42,L47,L53,L57,L65,L72,L73)</f>
        <v>358131</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94843</v>
      </c>
      <c r="F79" s="1673"/>
      <c r="G79" s="1673"/>
      <c r="H79" s="1573"/>
      <c r="I79" s="1582"/>
      <c r="J79" s="1582"/>
      <c r="K79" s="1672">
        <f t="shared" si="11"/>
        <v>94843</v>
      </c>
      <c r="L79" s="1573">
        <v>94843</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94843</v>
      </c>
      <c r="F84" s="1673"/>
      <c r="G84" s="1673"/>
      <c r="H84" s="1674">
        <f>SUM(H78:H83)</f>
        <v>0</v>
      </c>
      <c r="I84" s="1582"/>
      <c r="J84" s="1582"/>
      <c r="K84" s="1674">
        <f>SUM(K78:K83)</f>
        <v>94843</v>
      </c>
      <c r="L84" s="1674">
        <f>SUM(L78:L83)</f>
        <v>94843</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94843</v>
      </c>
      <c r="F102" s="1673"/>
      <c r="G102" s="1673"/>
      <c r="H102" s="1681">
        <f>SUM(H84,H92,H100,H101)</f>
        <v>0</v>
      </c>
      <c r="I102" s="1582"/>
      <c r="J102" s="1582"/>
      <c r="K102" s="1681">
        <f>SUM(K84,K92,K100,K101)</f>
        <v>94843</v>
      </c>
      <c r="L102" s="1681">
        <f>SUM(L84,L92,L100,L101)</f>
        <v>94843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1302638</v>
      </c>
      <c r="D114" s="1674">
        <f t="shared" ref="D114:K114" si="13">SUM(D33,D74,D75,D102,D112,D113)</f>
        <v>123592</v>
      </c>
      <c r="E114" s="1674">
        <f t="shared" si="13"/>
        <v>196516</v>
      </c>
      <c r="F114" s="1674">
        <f t="shared" si="13"/>
        <v>142538</v>
      </c>
      <c r="G114" s="1674">
        <f t="shared" si="13"/>
        <v>0</v>
      </c>
      <c r="H114" s="1674">
        <f>SUM(H33,H74,H75,H102,H112,H113)</f>
        <v>8484</v>
      </c>
      <c r="I114" s="1674">
        <f t="shared" si="13"/>
        <v>0</v>
      </c>
      <c r="J114" s="1674">
        <f t="shared" si="13"/>
        <v>0</v>
      </c>
      <c r="K114" s="1674">
        <f t="shared" si="13"/>
        <v>1773768</v>
      </c>
      <c r="L114" s="1674">
        <f>SUM(L33,L74,L75,L102,L112,L113)</f>
        <v>1774068</v>
      </c>
    </row>
    <row r="115" spans="1:14" ht="13.5" thickTop="1" x14ac:dyDescent="0.2">
      <c r="A115" s="2260" t="s">
        <v>989</v>
      </c>
      <c r="B115" s="2261"/>
      <c r="C115" s="1675"/>
      <c r="D115" s="1675"/>
      <c r="E115" s="1675"/>
      <c r="F115" s="1675"/>
      <c r="G115" s="1675"/>
      <c r="H115" s="1675"/>
      <c r="I115" s="1675"/>
      <c r="J115" s="1675"/>
      <c r="K115" s="1689">
        <f>'Revenues 9-14'!C268-'Expenditures 15-22'!K114</f>
        <v>68878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80274</v>
      </c>
      <c r="D124" s="1573"/>
      <c r="E124" s="1573">
        <v>31141</v>
      </c>
      <c r="F124" s="1573">
        <v>48381</v>
      </c>
      <c r="G124" s="1573">
        <v>74241</v>
      </c>
      <c r="H124" s="1573"/>
      <c r="I124" s="1574"/>
      <c r="J124" s="1574"/>
      <c r="K124" s="1674">
        <f>SUM(C124:J124)</f>
        <v>234037</v>
      </c>
      <c r="L124" s="1573">
        <v>234041</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80274</v>
      </c>
      <c r="D127" s="1674">
        <f t="shared" ref="D127:L127" si="14">SUM(D122:D126)</f>
        <v>0</v>
      </c>
      <c r="E127" s="1674">
        <f t="shared" si="14"/>
        <v>31141</v>
      </c>
      <c r="F127" s="1674">
        <f t="shared" si="14"/>
        <v>48381</v>
      </c>
      <c r="G127" s="1674">
        <f t="shared" si="14"/>
        <v>74241</v>
      </c>
      <c r="H127" s="1674">
        <f t="shared" si="14"/>
        <v>0</v>
      </c>
      <c r="I127" s="1674">
        <f t="shared" si="14"/>
        <v>0</v>
      </c>
      <c r="J127" s="1674">
        <f t="shared" si="14"/>
        <v>0</v>
      </c>
      <c r="K127" s="1674">
        <f t="shared" si="14"/>
        <v>234037</v>
      </c>
      <c r="L127" s="1674">
        <f t="shared" si="14"/>
        <v>234041</v>
      </c>
    </row>
    <row r="128" spans="1:14" ht="12.75" customHeight="1" thickTop="1" x14ac:dyDescent="0.2">
      <c r="A128" s="1281" t="s">
        <v>973</v>
      </c>
      <c r="B128" s="531" t="s">
        <v>570</v>
      </c>
      <c r="C128" s="1695"/>
      <c r="D128" s="1695"/>
      <c r="E128" s="1695">
        <v>1580</v>
      </c>
      <c r="F128" s="1695"/>
      <c r="G128" s="1695">
        <v>1594</v>
      </c>
      <c r="H128" s="1695"/>
      <c r="I128" s="1630"/>
      <c r="J128" s="1630"/>
      <c r="K128" s="1696">
        <f>SUM(C128:J128)</f>
        <v>3174</v>
      </c>
      <c r="L128" s="1695">
        <v>3174</v>
      </c>
    </row>
    <row r="129" spans="1:14" ht="12.75" customHeight="1" thickBot="1" x14ac:dyDescent="0.25">
      <c r="A129" s="1389" t="s">
        <v>806</v>
      </c>
      <c r="B129" s="1390" t="s">
        <v>565</v>
      </c>
      <c r="C129" s="1681">
        <f>SUM(C120,C127,C128)</f>
        <v>80274</v>
      </c>
      <c r="D129" s="1681">
        <f t="shared" ref="D129:L129" si="15">SUM(D120,D127,D128)</f>
        <v>0</v>
      </c>
      <c r="E129" s="1681">
        <f t="shared" si="15"/>
        <v>32721</v>
      </c>
      <c r="F129" s="1681">
        <f t="shared" si="15"/>
        <v>48381</v>
      </c>
      <c r="G129" s="1681">
        <f t="shared" si="15"/>
        <v>75835</v>
      </c>
      <c r="H129" s="1681">
        <f t="shared" si="15"/>
        <v>0</v>
      </c>
      <c r="I129" s="1681">
        <f t="shared" si="15"/>
        <v>0</v>
      </c>
      <c r="J129" s="1681">
        <f t="shared" si="15"/>
        <v>0</v>
      </c>
      <c r="K129" s="1681">
        <f t="shared" si="15"/>
        <v>237211</v>
      </c>
      <c r="L129" s="1681">
        <f t="shared" si="15"/>
        <v>237215</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7" t="s">
        <v>616</v>
      </c>
      <c r="B151" s="2257"/>
      <c r="C151" s="1674">
        <f>SUM(C129,C130,C139,C149,C150)</f>
        <v>80274</v>
      </c>
      <c r="D151" s="1674">
        <f t="shared" ref="D151:K151" si="16">SUM(D129,D130,D139,D149,D150)</f>
        <v>0</v>
      </c>
      <c r="E151" s="1674">
        <f t="shared" si="16"/>
        <v>32721</v>
      </c>
      <c r="F151" s="1674">
        <f t="shared" si="16"/>
        <v>48381</v>
      </c>
      <c r="G151" s="1674">
        <f t="shared" si="16"/>
        <v>75835</v>
      </c>
      <c r="H151" s="1674">
        <f t="shared" si="16"/>
        <v>0</v>
      </c>
      <c r="I151" s="1674">
        <f t="shared" si="16"/>
        <v>0</v>
      </c>
      <c r="J151" s="1674">
        <f t="shared" si="16"/>
        <v>0</v>
      </c>
      <c r="K151" s="1674">
        <f t="shared" si="16"/>
        <v>237211</v>
      </c>
      <c r="L151" s="1674">
        <f>SUM(L129,L130,L139,L149,L150)</f>
        <v>237215</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14059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6275</v>
      </c>
      <c r="I169" s="1673"/>
      <c r="J169" s="1673"/>
      <c r="K169" s="1672">
        <f>SUM(C169:H169)</f>
        <v>6275</v>
      </c>
      <c r="L169" s="1695">
        <v>6275</v>
      </c>
    </row>
    <row r="170" spans="1:14" ht="33.75" customHeight="1" x14ac:dyDescent="0.2">
      <c r="A170" s="543" t="s">
        <v>1651</v>
      </c>
      <c r="B170" s="545" t="s">
        <v>31</v>
      </c>
      <c r="C170" s="1673"/>
      <c r="D170" s="1673"/>
      <c r="E170" s="1673"/>
      <c r="F170" s="1673"/>
      <c r="G170" s="1673"/>
      <c r="H170" s="1646">
        <v>47300</v>
      </c>
      <c r="I170" s="1673"/>
      <c r="J170" s="1673"/>
      <c r="K170" s="1672">
        <f>SUM(C170:J170)</f>
        <v>47300</v>
      </c>
      <c r="L170" s="1646">
        <v>47300</v>
      </c>
    </row>
    <row r="171" spans="1:14" ht="15.75" customHeight="1" x14ac:dyDescent="0.2">
      <c r="A171" s="507" t="s">
        <v>761</v>
      </c>
      <c r="B171" s="546" t="s">
        <v>84</v>
      </c>
      <c r="C171" s="1673"/>
      <c r="D171" s="1673"/>
      <c r="E171" s="1573"/>
      <c r="F171" s="1673"/>
      <c r="G171" s="1673"/>
      <c r="H171" s="1646"/>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53575</v>
      </c>
      <c r="I172" s="1684"/>
      <c r="J172" s="1673"/>
      <c r="K172" s="1681">
        <f>SUM(K168,K169,K170,K171)</f>
        <v>53575</v>
      </c>
      <c r="L172" s="1681">
        <f>SUM(L168,L169,L170,L171)</f>
        <v>53575</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53575</v>
      </c>
      <c r="I174" s="1684"/>
      <c r="J174" s="1673"/>
      <c r="K174" s="1681">
        <f>SUM(K160,K172,K173)</f>
        <v>53575</v>
      </c>
      <c r="L174" s="1681">
        <f>SUM(L160,L172,L173)</f>
        <v>53575</v>
      </c>
    </row>
    <row r="175" spans="1:14" ht="13.5" thickTop="1" x14ac:dyDescent="0.2">
      <c r="A175" s="2260" t="s">
        <v>989</v>
      </c>
      <c r="B175" s="2261"/>
      <c r="C175" s="1673"/>
      <c r="D175" s="1673"/>
      <c r="E175" s="1673"/>
      <c r="F175" s="1673"/>
      <c r="G175" s="1673"/>
      <c r="H175" s="1675"/>
      <c r="I175" s="1673"/>
      <c r="J175" s="1673"/>
      <c r="K175" s="1689">
        <f>'Revenues 9-14'!E268-'Expenditures 15-22'!K174</f>
        <v>868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100864</v>
      </c>
      <c r="D182" s="1573">
        <v>794</v>
      </c>
      <c r="E182" s="1573">
        <v>11607</v>
      </c>
      <c r="F182" s="1573">
        <v>15076</v>
      </c>
      <c r="G182" s="1573"/>
      <c r="H182" s="1573">
        <v>941</v>
      </c>
      <c r="I182" s="1574"/>
      <c r="J182" s="1574"/>
      <c r="K182" s="1672">
        <f>SUM(C182:J182)</f>
        <v>129282</v>
      </c>
      <c r="L182" s="1573">
        <v>129284</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100864</v>
      </c>
      <c r="D184" s="1681">
        <f t="shared" ref="D184:J184" si="17">SUM(D180,D182,D183)</f>
        <v>794</v>
      </c>
      <c r="E184" s="1681">
        <f t="shared" si="17"/>
        <v>11607</v>
      </c>
      <c r="F184" s="1681">
        <f t="shared" si="17"/>
        <v>15076</v>
      </c>
      <c r="G184" s="1681">
        <f t="shared" si="17"/>
        <v>0</v>
      </c>
      <c r="H184" s="1681">
        <f t="shared" si="17"/>
        <v>941</v>
      </c>
      <c r="I184" s="1681">
        <f t="shared" si="17"/>
        <v>0</v>
      </c>
      <c r="J184" s="1681">
        <f t="shared" si="17"/>
        <v>0</v>
      </c>
      <c r="K184" s="1681">
        <f>SUM(K180,K182,K183)</f>
        <v>129282</v>
      </c>
      <c r="L184" s="1681">
        <f>SUM(L180, L182:L183)</f>
        <v>129284</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2556</v>
      </c>
      <c r="I205" s="1673"/>
      <c r="J205" s="1673"/>
      <c r="K205" s="1696">
        <f>SUM(H205)</f>
        <v>2556</v>
      </c>
      <c r="L205" s="1630">
        <v>2557</v>
      </c>
    </row>
    <row r="206" spans="1:14" ht="30" customHeight="1" x14ac:dyDescent="0.2">
      <c r="A206" s="555" t="s">
        <v>1652</v>
      </c>
      <c r="B206" s="546" t="s">
        <v>31</v>
      </c>
      <c r="C206" s="1673"/>
      <c r="D206" s="1673"/>
      <c r="E206" s="1673"/>
      <c r="F206" s="1673"/>
      <c r="G206" s="1673"/>
      <c r="H206" s="1573">
        <v>70250</v>
      </c>
      <c r="I206" s="1673"/>
      <c r="J206" s="1673"/>
      <c r="K206" s="1672">
        <f>SUM(H206)</f>
        <v>70250</v>
      </c>
      <c r="L206" s="1573">
        <v>70251</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72806</v>
      </c>
      <c r="I208" s="1673"/>
      <c r="J208" s="1673"/>
      <c r="K208" s="1681">
        <f>SUM(K204,K205,K206,K207)</f>
        <v>72806</v>
      </c>
      <c r="L208" s="1681">
        <f>SUM(L204,L205,L206,L207)</f>
        <v>72808</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100864</v>
      </c>
      <c r="D210" s="1674">
        <f>SUM(D184,D185)</f>
        <v>794</v>
      </c>
      <c r="E210" s="1674">
        <f>SUM(E184,E185,E196)</f>
        <v>11607</v>
      </c>
      <c r="F210" s="1674">
        <f>SUM(F184,F185)</f>
        <v>15076</v>
      </c>
      <c r="G210" s="1674">
        <f>SUM(G184,G185)</f>
        <v>0</v>
      </c>
      <c r="H210" s="1674">
        <f>SUM(H184,H185,H196,H208,H209)</f>
        <v>73747</v>
      </c>
      <c r="I210" s="1674">
        <f>SUM(I184,I185)</f>
        <v>0</v>
      </c>
      <c r="J210" s="1674">
        <f>SUM(J184,J185)</f>
        <v>0</v>
      </c>
      <c r="K210" s="1672">
        <f>SUM(K184,K185,K196,K208,K209)</f>
        <v>202088</v>
      </c>
      <c r="L210" s="1674">
        <f>SUM(L184,L185,L196,L208,L209)</f>
        <v>202092</v>
      </c>
    </row>
    <row r="211" spans="1:14" ht="13.5" thickTop="1" x14ac:dyDescent="0.2">
      <c r="A211" s="2260" t="s">
        <v>989</v>
      </c>
      <c r="B211" s="2261"/>
      <c r="C211" s="1675"/>
      <c r="D211" s="1675"/>
      <c r="E211" s="1675"/>
      <c r="F211" s="1675"/>
      <c r="G211" s="1675"/>
      <c r="H211" s="1675"/>
      <c r="I211" s="1673"/>
      <c r="J211" s="1673"/>
      <c r="K211" s="1689">
        <f>'Revenues 9-14'!F268-'Expenditures 15-22'!K210</f>
        <v>524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11706</v>
      </c>
      <c r="E215" s="1673"/>
      <c r="F215" s="1673"/>
      <c r="G215" s="1673"/>
      <c r="H215" s="1673"/>
      <c r="I215" s="1673"/>
      <c r="J215" s="1673"/>
      <c r="K215" s="1672">
        <f>D215</f>
        <v>11706</v>
      </c>
      <c r="L215" s="1573">
        <v>11707</v>
      </c>
    </row>
    <row r="216" spans="1:14" x14ac:dyDescent="0.2">
      <c r="A216" s="1274" t="s">
        <v>162</v>
      </c>
      <c r="B216" s="503" t="s">
        <v>961</v>
      </c>
      <c r="C216" s="1673"/>
      <c r="D216" s="1574">
        <v>752</v>
      </c>
      <c r="E216" s="1673"/>
      <c r="F216" s="1673"/>
      <c r="G216" s="1673"/>
      <c r="H216" s="1673"/>
      <c r="I216" s="1673"/>
      <c r="J216" s="1673"/>
      <c r="K216" s="1672">
        <f t="shared" ref="K216:K228" si="19">D216</f>
        <v>752</v>
      </c>
      <c r="L216" s="1573">
        <v>752</v>
      </c>
    </row>
    <row r="217" spans="1:14" x14ac:dyDescent="0.2">
      <c r="A217" s="1274" t="s">
        <v>163</v>
      </c>
      <c r="B217" s="503">
        <v>1200</v>
      </c>
      <c r="C217" s="1673"/>
      <c r="D217" s="1573">
        <v>19585</v>
      </c>
      <c r="E217" s="1673"/>
      <c r="F217" s="1673"/>
      <c r="G217" s="1673"/>
      <c r="H217" s="1673"/>
      <c r="I217" s="1673"/>
      <c r="J217" s="1673"/>
      <c r="K217" s="1672">
        <f t="shared" si="19"/>
        <v>19585</v>
      </c>
      <c r="L217" s="1573">
        <v>17788</v>
      </c>
    </row>
    <row r="218" spans="1:14" x14ac:dyDescent="0.2">
      <c r="A218" s="1274" t="s">
        <v>276</v>
      </c>
      <c r="B218" s="503" t="s">
        <v>962</v>
      </c>
      <c r="C218" s="1673"/>
      <c r="D218" s="1574">
        <v>424</v>
      </c>
      <c r="E218" s="1673"/>
      <c r="F218" s="1673"/>
      <c r="G218" s="1673"/>
      <c r="H218" s="1673"/>
      <c r="I218" s="1673"/>
      <c r="J218" s="1673"/>
      <c r="K218" s="1672">
        <f t="shared" si="19"/>
        <v>424</v>
      </c>
      <c r="L218" s="1573">
        <v>2223</v>
      </c>
    </row>
    <row r="219" spans="1:14" x14ac:dyDescent="0.2">
      <c r="A219" s="1274" t="s">
        <v>277</v>
      </c>
      <c r="B219" s="503">
        <v>1250</v>
      </c>
      <c r="C219" s="1673"/>
      <c r="D219" s="1573">
        <v>3996</v>
      </c>
      <c r="E219" s="1673"/>
      <c r="F219" s="1673"/>
      <c r="G219" s="1673"/>
      <c r="H219" s="1673"/>
      <c r="I219" s="1673"/>
      <c r="J219" s="1673"/>
      <c r="K219" s="1672">
        <f t="shared" si="19"/>
        <v>3996</v>
      </c>
      <c r="L219" s="1573">
        <v>3997</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c r="E222" s="1673"/>
      <c r="F222" s="1673"/>
      <c r="G222" s="1673"/>
      <c r="H222" s="1673"/>
      <c r="I222" s="1673"/>
      <c r="J222" s="1673"/>
      <c r="K222" s="1672">
        <f t="shared" si="19"/>
        <v>0</v>
      </c>
      <c r="L222" s="1573">
        <v>0</v>
      </c>
    </row>
    <row r="223" spans="1:14" x14ac:dyDescent="0.2">
      <c r="A223" s="1274" t="s">
        <v>957</v>
      </c>
      <c r="B223" s="503">
        <v>1500</v>
      </c>
      <c r="C223" s="1673"/>
      <c r="D223" s="1573">
        <v>2458</v>
      </c>
      <c r="E223" s="1673"/>
      <c r="F223" s="1673"/>
      <c r="G223" s="1673"/>
      <c r="H223" s="1673"/>
      <c r="I223" s="1673"/>
      <c r="J223" s="1673"/>
      <c r="K223" s="1672">
        <f t="shared" si="19"/>
        <v>2458</v>
      </c>
      <c r="L223" s="1573">
        <v>2459</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v>77</v>
      </c>
      <c r="E225" s="1673"/>
      <c r="F225" s="1673"/>
      <c r="G225" s="1673"/>
      <c r="H225" s="1673"/>
      <c r="I225" s="1673"/>
      <c r="J225" s="1673"/>
      <c r="K225" s="1672">
        <f t="shared" si="19"/>
        <v>77</v>
      </c>
      <c r="L225" s="1573">
        <v>77</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38998</v>
      </c>
      <c r="E229" s="1673"/>
      <c r="F229" s="1673"/>
      <c r="G229" s="1673"/>
      <c r="H229" s="1673"/>
      <c r="I229" s="1673"/>
      <c r="J229" s="1673"/>
      <c r="K229" s="1674">
        <f>SUM(K215:K228)</f>
        <v>38998</v>
      </c>
      <c r="L229" s="1674">
        <f>SUM(L215:L228)</f>
        <v>39003</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v>0</v>
      </c>
    </row>
    <row r="233" spans="1:12" x14ac:dyDescent="0.2">
      <c r="A233" s="1274" t="s">
        <v>1081</v>
      </c>
      <c r="B233" s="503">
        <v>2120</v>
      </c>
      <c r="C233" s="1673"/>
      <c r="D233" s="1573"/>
      <c r="E233" s="1673"/>
      <c r="F233" s="1673"/>
      <c r="G233" s="1673"/>
      <c r="H233" s="1673"/>
      <c r="I233" s="1673"/>
      <c r="J233" s="1673"/>
      <c r="K233" s="1672">
        <f t="shared" si="20"/>
        <v>0</v>
      </c>
      <c r="L233" s="1573">
        <v>0</v>
      </c>
    </row>
    <row r="234" spans="1:12" x14ac:dyDescent="0.2">
      <c r="A234" s="1274" t="s">
        <v>196</v>
      </c>
      <c r="B234" s="503">
        <v>2130</v>
      </c>
      <c r="C234" s="1673"/>
      <c r="D234" s="1573">
        <v>2536</v>
      </c>
      <c r="E234" s="1673"/>
      <c r="F234" s="1673"/>
      <c r="G234" s="1673"/>
      <c r="H234" s="1673"/>
      <c r="I234" s="1673"/>
      <c r="J234" s="1673"/>
      <c r="K234" s="1672">
        <f t="shared" si="20"/>
        <v>2536</v>
      </c>
      <c r="L234" s="1573">
        <v>2537</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v>248</v>
      </c>
      <c r="E237" s="1673"/>
      <c r="F237" s="1673"/>
      <c r="G237" s="1673"/>
      <c r="H237" s="1673"/>
      <c r="I237" s="1673"/>
      <c r="J237" s="1673"/>
      <c r="K237" s="1672">
        <f t="shared" si="20"/>
        <v>248</v>
      </c>
      <c r="L237" s="1573">
        <v>249</v>
      </c>
    </row>
    <row r="238" spans="1:12" ht="12.75" customHeight="1" thickBot="1" x14ac:dyDescent="0.25">
      <c r="A238" s="1380" t="s">
        <v>556</v>
      </c>
      <c r="B238" s="1383" t="s">
        <v>711</v>
      </c>
      <c r="C238" s="1673"/>
      <c r="D238" s="1674">
        <f>SUM(D232:D237)</f>
        <v>2784</v>
      </c>
      <c r="E238" s="1673"/>
      <c r="F238" s="1673"/>
      <c r="G238" s="1673"/>
      <c r="H238" s="1673"/>
      <c r="I238" s="1673"/>
      <c r="J238" s="1673"/>
      <c r="K238" s="1674">
        <f>SUM(K232:K237)</f>
        <v>2784</v>
      </c>
      <c r="L238" s="1674">
        <f>SUM(L232:L237)</f>
        <v>2786</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0</v>
      </c>
    </row>
    <row r="241" spans="1:12" x14ac:dyDescent="0.2">
      <c r="A241" s="1274" t="s">
        <v>810</v>
      </c>
      <c r="B241" s="503">
        <v>2220</v>
      </c>
      <c r="C241" s="1673"/>
      <c r="D241" s="1573"/>
      <c r="E241" s="1673"/>
      <c r="F241" s="1673"/>
      <c r="G241" s="1673"/>
      <c r="H241" s="1673"/>
      <c r="I241" s="1673"/>
      <c r="J241" s="1673"/>
      <c r="K241" s="1678">
        <f>D241</f>
        <v>0</v>
      </c>
      <c r="L241" s="1573">
        <v>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629</v>
      </c>
      <c r="E245" s="1673"/>
      <c r="F245" s="1673"/>
      <c r="G245" s="1673"/>
      <c r="H245" s="1673"/>
      <c r="I245" s="1673"/>
      <c r="J245" s="1673"/>
      <c r="K245" s="1678">
        <f>D245</f>
        <v>629</v>
      </c>
      <c r="L245" s="1586">
        <v>630</v>
      </c>
    </row>
    <row r="246" spans="1:12" x14ac:dyDescent="0.2">
      <c r="A246" s="1274" t="s">
        <v>813</v>
      </c>
      <c r="B246" s="503">
        <v>2320</v>
      </c>
      <c r="C246" s="1673"/>
      <c r="D246" s="1573">
        <v>1403</v>
      </c>
      <c r="E246" s="1673"/>
      <c r="F246" s="1673"/>
      <c r="G246" s="1673"/>
      <c r="H246" s="1673"/>
      <c r="I246" s="1673"/>
      <c r="J246" s="1673"/>
      <c r="K246" s="1678">
        <f t="shared" ref="K246:K256" si="21">D246</f>
        <v>1403</v>
      </c>
      <c r="L246" s="1573">
        <v>1404</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1782</v>
      </c>
      <c r="B249" s="557" t="s">
        <v>280</v>
      </c>
      <c r="C249" s="1673"/>
      <c r="D249" s="1579"/>
      <c r="E249" s="1673"/>
      <c r="F249" s="1673"/>
      <c r="G249" s="1673"/>
      <c r="H249" s="1673"/>
      <c r="I249" s="1673"/>
      <c r="J249" s="1673"/>
      <c r="K249" s="1678">
        <f t="shared" si="21"/>
        <v>0</v>
      </c>
      <c r="L249" s="1573">
        <v>0</v>
      </c>
    </row>
    <row r="250" spans="1:12" x14ac:dyDescent="0.2">
      <c r="A250" s="1275" t="s">
        <v>1783</v>
      </c>
      <c r="B250" s="494" t="s">
        <v>281</v>
      </c>
      <c r="C250" s="1673"/>
      <c r="D250" s="1579">
        <v>4218</v>
      </c>
      <c r="E250" s="1673"/>
      <c r="F250" s="1673"/>
      <c r="G250" s="1673"/>
      <c r="H250" s="1673"/>
      <c r="I250" s="1673"/>
      <c r="J250" s="1673"/>
      <c r="K250" s="1678">
        <f t="shared" si="21"/>
        <v>4218</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4218</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6250</v>
      </c>
      <c r="E257" s="1673"/>
      <c r="F257" s="1673"/>
      <c r="G257" s="1673"/>
      <c r="H257" s="1673"/>
      <c r="I257" s="1673"/>
      <c r="J257" s="1673"/>
      <c r="K257" s="1674">
        <f>SUM(K245:K256)</f>
        <v>6250</v>
      </c>
      <c r="L257" s="1674">
        <f>SUM(L245:L256)</f>
        <v>6252</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7262</v>
      </c>
      <c r="E259" s="1673"/>
      <c r="F259" s="1673"/>
      <c r="G259" s="1673"/>
      <c r="H259" s="1673"/>
      <c r="I259" s="1673"/>
      <c r="J259" s="1673"/>
      <c r="K259" s="1678">
        <f>D259</f>
        <v>7262</v>
      </c>
      <c r="L259" s="1586">
        <v>7263</v>
      </c>
    </row>
    <row r="260" spans="1:14" s="493" customFormat="1" x14ac:dyDescent="0.2">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7262</v>
      </c>
      <c r="E261" s="1673"/>
      <c r="F261" s="1673"/>
      <c r="G261" s="1673"/>
      <c r="H261" s="1673"/>
      <c r="I261" s="1673"/>
      <c r="J261" s="1673"/>
      <c r="K261" s="1674">
        <f>SUM(K259:K260)</f>
        <v>7262</v>
      </c>
      <c r="L261" s="1674">
        <f>SUM(L259:L260)</f>
        <v>7263</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11068</v>
      </c>
      <c r="E264" s="1673"/>
      <c r="F264" s="1673"/>
      <c r="G264" s="1673"/>
      <c r="H264" s="1673"/>
      <c r="I264" s="1673"/>
      <c r="J264" s="1673"/>
      <c r="K264" s="1678">
        <f t="shared" ref="K264:K269" si="22">D264</f>
        <v>11068</v>
      </c>
      <c r="L264" s="1573">
        <v>11069</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16971</v>
      </c>
      <c r="E266" s="1673"/>
      <c r="F266" s="1673"/>
      <c r="G266" s="1673"/>
      <c r="H266" s="1673"/>
      <c r="I266" s="1673"/>
      <c r="J266" s="1673"/>
      <c r="K266" s="1678">
        <f t="shared" si="22"/>
        <v>16971</v>
      </c>
      <c r="L266" s="1573">
        <v>16971</v>
      </c>
    </row>
    <row r="267" spans="1:14" x14ac:dyDescent="0.2">
      <c r="A267" s="1274" t="s">
        <v>947</v>
      </c>
      <c r="B267" s="503">
        <v>2550</v>
      </c>
      <c r="C267" s="1673"/>
      <c r="D267" s="1573">
        <v>9297</v>
      </c>
      <c r="E267" s="1673"/>
      <c r="F267" s="1673"/>
      <c r="G267" s="1673"/>
      <c r="H267" s="1673"/>
      <c r="I267" s="1673"/>
      <c r="J267" s="1673"/>
      <c r="K267" s="1678">
        <f t="shared" si="22"/>
        <v>9297</v>
      </c>
      <c r="L267" s="1573">
        <v>9298</v>
      </c>
    </row>
    <row r="268" spans="1:14" x14ac:dyDescent="0.2">
      <c r="A268" s="1274" t="s">
        <v>100</v>
      </c>
      <c r="B268" s="503">
        <v>2560</v>
      </c>
      <c r="C268" s="1673"/>
      <c r="D268" s="1573">
        <v>12435</v>
      </c>
      <c r="E268" s="1673"/>
      <c r="F268" s="1673"/>
      <c r="G268" s="1673"/>
      <c r="H268" s="1673"/>
      <c r="I268" s="1673"/>
      <c r="J268" s="1673"/>
      <c r="K268" s="1678">
        <f t="shared" si="22"/>
        <v>12435</v>
      </c>
      <c r="L268" s="1573">
        <v>12435</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49771</v>
      </c>
      <c r="E270" s="1673"/>
      <c r="F270" s="1673"/>
      <c r="G270" s="1673"/>
      <c r="H270" s="1673"/>
      <c r="I270" s="1673"/>
      <c r="J270" s="1673"/>
      <c r="K270" s="1674">
        <f>SUM(K263:K269)</f>
        <v>49771</v>
      </c>
      <c r="L270" s="1674">
        <f>SUM(L263:L269)</f>
        <v>49773</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66067</v>
      </c>
      <c r="E279" s="1673"/>
      <c r="F279" s="1673"/>
      <c r="G279" s="1673"/>
      <c r="H279" s="1673"/>
      <c r="I279" s="1673"/>
      <c r="J279" s="1673"/>
      <c r="K279" s="1681">
        <f>SUM(K238,K243,K257,K261,K270,K277,K278)</f>
        <v>66067</v>
      </c>
      <c r="L279" s="1681">
        <f>SUM(L238,L243,L257,L261,L270,L277,L278)</f>
        <v>66074</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8" t="s">
        <v>502</v>
      </c>
      <c r="B295" s="2279"/>
      <c r="C295" s="1673"/>
      <c r="D295" s="1674">
        <f>SUM(D229,D279,D280,D285)</f>
        <v>105065</v>
      </c>
      <c r="E295" s="1673"/>
      <c r="F295" s="1673"/>
      <c r="G295" s="1673"/>
      <c r="H295" s="1674">
        <f>H293</f>
        <v>0</v>
      </c>
      <c r="I295" s="1673"/>
      <c r="J295" s="1673"/>
      <c r="K295" s="1674">
        <f>SUM(K229,K279,K280,K285,K293,K294)</f>
        <v>105065</v>
      </c>
      <c r="L295" s="1674">
        <f>SUM(L229,L279,L280,L285,L293,L294)</f>
        <v>105077</v>
      </c>
    </row>
    <row r="296" spans="1:14" ht="13.5" thickTop="1" x14ac:dyDescent="0.2">
      <c r="A296" s="2260" t="s">
        <v>989</v>
      </c>
      <c r="B296" s="2261"/>
      <c r="C296" s="1673"/>
      <c r="D296" s="1675"/>
      <c r="E296" s="1673"/>
      <c r="F296" s="1673"/>
      <c r="G296" s="1673"/>
      <c r="H296" s="1707"/>
      <c r="I296" s="1673"/>
      <c r="J296" s="1673"/>
      <c r="K296" s="1689">
        <f>'Revenues 9-14'!G268-'Expenditures 15-22'!K295</f>
        <v>-2126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50052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v>0</v>
      </c>
      <c r="M320" s="539"/>
      <c r="N320" s="539"/>
    </row>
    <row r="321" spans="1:14" s="548" customFormat="1" x14ac:dyDescent="0.2">
      <c r="A321" s="1289" t="s">
        <v>297</v>
      </c>
      <c r="B321" s="567" t="s">
        <v>281</v>
      </c>
      <c r="C321" s="1574"/>
      <c r="D321" s="1574"/>
      <c r="E321" s="1574">
        <v>824</v>
      </c>
      <c r="F321" s="1574"/>
      <c r="G321" s="1574"/>
      <c r="H321" s="1574"/>
      <c r="I321" s="1574"/>
      <c r="J321" s="1574"/>
      <c r="K321" s="1672">
        <f t="shared" si="24"/>
        <v>824</v>
      </c>
      <c r="L321" s="1574">
        <v>824</v>
      </c>
      <c r="M321" s="539"/>
      <c r="N321" s="539"/>
    </row>
    <row r="322" spans="1:14" s="548" customFormat="1" x14ac:dyDescent="0.2">
      <c r="A322" s="1289" t="s">
        <v>236</v>
      </c>
      <c r="B322" s="567" t="s">
        <v>282</v>
      </c>
      <c r="C322" s="1574"/>
      <c r="D322" s="1574"/>
      <c r="E322" s="1574">
        <v>39135</v>
      </c>
      <c r="F322" s="1574"/>
      <c r="G322" s="1574"/>
      <c r="H322" s="1574"/>
      <c r="I322" s="1574"/>
      <c r="J322" s="1574"/>
      <c r="K322" s="1672">
        <f t="shared" si="24"/>
        <v>39135</v>
      </c>
      <c r="L322" s="1574">
        <v>39135</v>
      </c>
      <c r="M322" s="539"/>
      <c r="N322" s="539"/>
    </row>
    <row r="323" spans="1:14" s="548" customFormat="1" x14ac:dyDescent="0.2">
      <c r="A323" s="1289" t="s">
        <v>697</v>
      </c>
      <c r="B323" s="567" t="s">
        <v>283</v>
      </c>
      <c r="C323" s="1574">
        <v>17030</v>
      </c>
      <c r="D323" s="1574"/>
      <c r="E323" s="1574"/>
      <c r="F323" s="1574"/>
      <c r="G323" s="1574"/>
      <c r="H323" s="1574"/>
      <c r="I323" s="1574"/>
      <c r="J323" s="1574"/>
      <c r="K323" s="1672">
        <f t="shared" si="24"/>
        <v>17030</v>
      </c>
      <c r="L323" s="1574">
        <v>17031</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2103</v>
      </c>
      <c r="F327" s="1574"/>
      <c r="G327" s="1574"/>
      <c r="H327" s="1574"/>
      <c r="I327" s="1574"/>
      <c r="J327" s="1574"/>
      <c r="K327" s="1672">
        <f t="shared" si="24"/>
        <v>2103</v>
      </c>
      <c r="L327" s="1574">
        <v>2104</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17030</v>
      </c>
      <c r="D330" s="1674">
        <f t="shared" ref="D330:J330" si="25">SUM(D319:D329)</f>
        <v>0</v>
      </c>
      <c r="E330" s="1674">
        <f t="shared" si="25"/>
        <v>42062</v>
      </c>
      <c r="F330" s="1674">
        <f t="shared" si="25"/>
        <v>0</v>
      </c>
      <c r="G330" s="1674">
        <f t="shared" si="25"/>
        <v>0</v>
      </c>
      <c r="H330" s="1674">
        <f t="shared" si="25"/>
        <v>0</v>
      </c>
      <c r="I330" s="1674">
        <f t="shared" si="25"/>
        <v>0</v>
      </c>
      <c r="J330" s="1674">
        <f t="shared" si="25"/>
        <v>0</v>
      </c>
      <c r="K330" s="1674">
        <f>SUM(K319:K329)</f>
        <v>59092</v>
      </c>
      <c r="L330" s="1674">
        <f>SUM(L319:L329)</f>
        <v>59094</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17030</v>
      </c>
      <c r="D342" s="1674">
        <f>SUM(D330)</f>
        <v>0</v>
      </c>
      <c r="E342" s="1674">
        <f>SUM(E330)</f>
        <v>42062</v>
      </c>
      <c r="F342" s="1674">
        <f>SUM(F330)</f>
        <v>0</v>
      </c>
      <c r="G342" s="1674">
        <f>SUM(G330)</f>
        <v>0</v>
      </c>
      <c r="H342" s="1674">
        <f>SUM(H330,H334,H340)</f>
        <v>0</v>
      </c>
      <c r="I342" s="1674">
        <f>SUM(I330)</f>
        <v>0</v>
      </c>
      <c r="J342" s="1674">
        <f>SUM(J330)</f>
        <v>0</v>
      </c>
      <c r="K342" s="1674">
        <f>SUM(K330,K334,K340)</f>
        <v>59092</v>
      </c>
      <c r="L342" s="1681">
        <f>SUM(L330,L334,L340,L341)</f>
        <v>59094</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3247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v>27775</v>
      </c>
      <c r="H349" s="1573"/>
      <c r="I349" s="1574"/>
      <c r="J349" s="1574"/>
      <c r="K349" s="1672">
        <f>SUM(C349:J349)</f>
        <v>27775</v>
      </c>
      <c r="L349" s="1573">
        <v>27775</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27775</v>
      </c>
      <c r="H350" s="1674">
        <f t="shared" si="26"/>
        <v>0</v>
      </c>
      <c r="I350" s="1674">
        <f t="shared" si="26"/>
        <v>0</v>
      </c>
      <c r="J350" s="1674">
        <f t="shared" si="26"/>
        <v>0</v>
      </c>
      <c r="K350" s="1674">
        <f t="shared" si="26"/>
        <v>27775</v>
      </c>
      <c r="L350" s="1674">
        <f t="shared" si="26"/>
        <v>27775</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27775</v>
      </c>
      <c r="H352" s="1674">
        <f t="shared" si="27"/>
        <v>0</v>
      </c>
      <c r="I352" s="1674">
        <f t="shared" si="27"/>
        <v>0</v>
      </c>
      <c r="J352" s="1674">
        <f t="shared" si="27"/>
        <v>0</v>
      </c>
      <c r="K352" s="1674">
        <f t="shared" si="27"/>
        <v>27775</v>
      </c>
      <c r="L352" s="1674">
        <f t="shared" si="27"/>
        <v>27775</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27775</v>
      </c>
      <c r="H367" s="1674">
        <f t="shared" si="28"/>
        <v>0</v>
      </c>
      <c r="I367" s="1674">
        <f t="shared" si="28"/>
        <v>0</v>
      </c>
      <c r="J367" s="1674">
        <f t="shared" si="28"/>
        <v>0</v>
      </c>
      <c r="K367" s="1674">
        <f t="shared" si="28"/>
        <v>27775</v>
      </c>
      <c r="L367" s="1674">
        <f t="shared" si="28"/>
        <v>27775</v>
      </c>
    </row>
    <row r="368" spans="1:14" ht="13.5" thickTop="1" x14ac:dyDescent="0.2">
      <c r="A368" s="2260" t="s">
        <v>989</v>
      </c>
      <c r="B368" s="2261"/>
      <c r="C368" s="1694"/>
      <c r="D368" s="1694"/>
      <c r="E368" s="1677"/>
      <c r="F368" s="1677"/>
      <c r="G368" s="1677"/>
      <c r="H368" s="1677"/>
      <c r="I368" s="1677"/>
      <c r="J368" s="1676"/>
      <c r="K368" s="1672">
        <f>'Revenues 9-14'!K268-'Expenditures 15-22'!K367</f>
        <v>-17393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gridLinesSet="0"/>
  <pageMargins left="0.28999999999999998" right="0.2" top="0.61" bottom="0.39" header="0.24" footer="0.19"/>
  <pageSetup scale="73" firstPageNumber="16" fitToHeight="0" orientation="landscape" useFirstPageNumber="1" r:id="rId1"/>
  <headerFooter differentOddEven="1" alignWithMargins="0">
    <oddHeader>&amp;C&amp;"Arial,Bold"&amp;9Raccoon Consolidated School District 1 
STATEMENT OF EXPENDITURES DISBURSED/EXPENDITURES, BUDGET TO ACTUAL (ALL FUNDS)
FOR THE YEAR ENDING JUNE 30, 2020</oddHeader>
    <oddFooter>&amp;L&amp;11See accompanying notes to the financial statements.&amp;C&amp;14- &amp;P -</oddFooter>
    <evenHeader>&amp;C&amp;"Arial,Bold"&amp;9Raccoon Consolidated School District 1 
STATEMENT OF EXPENDITURES DISBURSED/EXPENDITURES, BUDGET TO ACTUAL (ALL FUNDS)
FOR THE YEAR ENDING JUNE 30, 2020</evenHeader>
    <evenFooter>&amp;L&amp;11See accompanying notes to the financial statements.&amp;C&amp;14- &amp;P -</even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purl.org/dc/dcmitype/"/>
    <ds:schemaRef ds:uri="6ce3111e-7420-4802-b50a-75d4e9a0b980"/>
    <ds:schemaRef ds:uri="http://schemas.microsoft.com/sharepoint/v3"/>
    <ds:schemaRef ds:uri="http://schemas.microsoft.com/office/2006/metadata/properties"/>
    <ds:schemaRef ds:uri="4d435f69-8686-490b-bd6d-b153bf22ab50"/>
    <ds:schemaRef ds:uri="http://purl.org/dc/terms/"/>
    <ds:schemaRef ds:uri="http://schemas.microsoft.com/office/infopath/2007/PartnerControls"/>
    <ds:schemaRef ds:uri="http://schemas.openxmlformats.org/package/2006/metadata/core-properties"/>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2020-10-01T15:55:28Z</cp:lastPrinted>
  <dcterms:created xsi:type="dcterms:W3CDTF">2003-10-29T19:06:34Z</dcterms:created>
  <dcterms:modified xsi:type="dcterms:W3CDTF">2020-11-02T01:01:23Z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