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4A70EAC-A837-4F26-A4B8-013FB67698AC}"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9" i="29" l="1"/>
  <c r="E8" i="29"/>
  <c r="J7" i="184" l="1"/>
  <c r="J6" i="184"/>
  <c r="M68" i="184" l="1"/>
  <c r="L68" i="184"/>
  <c r="G17" i="184" s="1"/>
  <c r="K68" i="184"/>
  <c r="G16" i="184" s="1"/>
  <c r="J68" i="184"/>
  <c r="I68" i="184"/>
  <c r="G14" i="184" s="1"/>
  <c r="H68" i="184"/>
  <c r="G13" i="184" s="1"/>
  <c r="G68" i="184"/>
  <c r="G12" i="184" s="1"/>
  <c r="L53" i="184"/>
  <c r="L52" i="184"/>
  <c r="K19" i="184"/>
  <c r="J19" i="184"/>
  <c r="I19" i="184"/>
  <c r="L18" i="184"/>
  <c r="H18" i="184"/>
  <c r="L17" i="184"/>
  <c r="L16" i="184"/>
  <c r="L15" i="184"/>
  <c r="G15" i="184"/>
  <c r="L14" i="184"/>
  <c r="L13" i="184"/>
  <c r="L12" i="184"/>
  <c r="L19" i="184" l="1"/>
  <c r="G19" i="184"/>
  <c r="H14" i="127" l="1"/>
  <c r="E14" i="7" l="1"/>
  <c r="E13" i="7"/>
  <c r="E12" i="7"/>
  <c r="E10" i="7"/>
  <c r="E7" i="7"/>
  <c r="E5" i="7"/>
  <c r="E6" i="7"/>
  <c r="E4" i="7"/>
  <c r="C5" i="29"/>
  <c r="F13" i="29"/>
  <c r="D5" i="5"/>
  <c r="D124" i="29"/>
  <c r="J5" i="5"/>
  <c r="G5" i="5"/>
  <c r="F5" i="5"/>
  <c r="E124" i="29" l="1"/>
  <c r="G124" i="29"/>
  <c r="G349" i="29"/>
  <c r="E349" i="29"/>
  <c r="D269" i="29"/>
  <c r="D268" i="29"/>
  <c r="D267" i="29"/>
  <c r="D266" i="29"/>
  <c r="D264" i="29"/>
  <c r="D259" i="29"/>
  <c r="D245" i="29"/>
  <c r="D234" i="29"/>
  <c r="D233" i="29"/>
  <c r="D226" i="29"/>
  <c r="D223" i="29"/>
  <c r="D222" i="29"/>
  <c r="D219" i="29"/>
  <c r="D217" i="29"/>
  <c r="D216" i="29"/>
  <c r="D215" i="29"/>
  <c r="F182" i="29"/>
  <c r="E182" i="29"/>
  <c r="D182" i="29"/>
  <c r="F124" i="29"/>
  <c r="C124" i="29"/>
  <c r="H88" i="29"/>
  <c r="H86" i="29"/>
  <c r="G69" i="29"/>
  <c r="F69" i="29"/>
  <c r="D64" i="29"/>
  <c r="C64" i="29"/>
  <c r="F63" i="29"/>
  <c r="D63" i="29"/>
  <c r="C63" i="29"/>
  <c r="E60" i="29"/>
  <c r="D60" i="29"/>
  <c r="C60" i="29"/>
  <c r="E55" i="29"/>
  <c r="D55" i="29"/>
  <c r="C55" i="29"/>
  <c r="D50" i="29"/>
  <c r="H49" i="29"/>
  <c r="F49" i="29"/>
  <c r="E49" i="29"/>
  <c r="C49" i="29"/>
  <c r="E44" i="29"/>
  <c r="E40" i="29"/>
  <c r="F38" i="29"/>
  <c r="D38" i="29"/>
  <c r="C38" i="29"/>
  <c r="E37" i="29"/>
  <c r="D37" i="29"/>
  <c r="C37" i="29"/>
  <c r="F17" i="29"/>
  <c r="E17" i="29"/>
  <c r="D17" i="29"/>
  <c r="G14" i="29"/>
  <c r="F14" i="29"/>
  <c r="E14" i="29"/>
  <c r="D14" i="29"/>
  <c r="C14" i="29"/>
  <c r="H13" i="29"/>
  <c r="G13" i="29"/>
  <c r="E13" i="29"/>
  <c r="D13" i="29"/>
  <c r="C13" i="29"/>
  <c r="F10" i="29"/>
  <c r="C10" i="29"/>
  <c r="G10" i="29"/>
  <c r="E10" i="29"/>
  <c r="D10" i="29"/>
  <c r="F8" i="29"/>
  <c r="D8" i="29"/>
  <c r="C8" i="29"/>
  <c r="D7" i="29"/>
  <c r="F5" i="29"/>
  <c r="E5" i="29"/>
  <c r="D5" i="29"/>
  <c r="K14" i="5"/>
  <c r="K5" i="5"/>
  <c r="J14" i="5"/>
  <c r="I14" i="5"/>
  <c r="I5" i="5"/>
  <c r="G14" i="5"/>
  <c r="G8" i="5"/>
  <c r="F14" i="5"/>
  <c r="E14" i="5"/>
  <c r="E5" i="5"/>
  <c r="D14" i="5"/>
  <c r="C200" i="5"/>
  <c r="C148" i="5"/>
  <c r="C69" i="5"/>
  <c r="C14" i="5"/>
  <c r="C7" i="5"/>
  <c r="C6" i="5"/>
  <c r="C5" i="5"/>
  <c r="C9" i="4"/>
  <c r="I12" i="11"/>
  <c r="D12" i="11"/>
  <c r="D8" i="11"/>
  <c r="C4"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E14" i="145"/>
  <c r="G14" i="145" s="1"/>
  <c r="E14" i="184"/>
  <c r="H14" i="184" s="1"/>
  <c r="D31" i="108"/>
  <c r="E16" i="184"/>
  <c r="H16" i="184" s="1"/>
  <c r="F15" i="145"/>
  <c r="F19" i="145" s="1"/>
  <c r="F15" i="184"/>
  <c r="F19" i="184" s="1"/>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E13" i="145"/>
  <c r="G13" i="145" s="1"/>
  <c r="E13" i="184"/>
  <c r="H13" i="184" s="1"/>
  <c r="E15" i="145"/>
  <c r="E15" i="184"/>
  <c r="H15" i="184" s="1"/>
  <c r="G33" i="108"/>
  <c r="E17" i="184"/>
  <c r="H17" i="184" s="1"/>
  <c r="F67" i="34"/>
  <c r="C129" i="29"/>
  <c r="B6995" i="106"/>
  <c r="D6995" i="106" s="1"/>
  <c r="G35" i="108"/>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E19" i="184" l="1"/>
  <c r="B7220" i="106"/>
  <c r="D7220" i="106" s="1"/>
  <c r="F75" i="34"/>
  <c r="B7886" i="106" s="1"/>
  <c r="D7886" i="106" s="1"/>
  <c r="B7222" i="106"/>
  <c r="D7222" i="106" s="1"/>
  <c r="F76" i="34"/>
  <c r="B7887" i="106" s="1"/>
  <c r="D7887" i="106" s="1"/>
  <c r="H19" i="184"/>
  <c r="L20" i="184" s="1"/>
  <c r="E68" i="184"/>
  <c r="N57" i="184"/>
  <c r="N68" i="184" s="1"/>
  <c r="L114" i="29"/>
  <c r="B6216" i="106"/>
  <c r="D6216" i="106" s="1"/>
  <c r="E367" i="29"/>
  <c r="B3635" i="106"/>
  <c r="K342" i="29"/>
  <c r="F13" i="34" s="1"/>
  <c r="B1381" i="106"/>
  <c r="D1381" i="106" s="1"/>
  <c r="F41" i="108"/>
  <c r="G43" i="108" s="1"/>
  <c r="B5527" i="106"/>
  <c r="D5527" i="106" s="1"/>
  <c r="L16" i="11"/>
  <c r="B2061" i="106" s="1"/>
  <c r="D2061" i="106" s="1"/>
  <c r="B2031" i="106"/>
  <c r="D203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F8" i="4"/>
  <c r="F10" i="4" s="1"/>
  <c r="B4125" i="106" s="1"/>
  <c r="D41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<sst xmlns="http://schemas.openxmlformats.org/spreadsheetml/2006/main" count="5212" uniqueCount="2107">
  <si>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</si>
  <si>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</si>
  <si>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</si>
  <si>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</si>
  <si>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</si>
  <si>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</si>
  <si>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</si>
  <si>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</si>
  <si>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</si>
  <si>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</si>
  <si>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</si>
  <si>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</si>
  <si>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</si>
  <si>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</si>
  <si>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</si>
  <si>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</si>
  <si>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</si>
  <si>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</si>
  <si>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</si>
  <si>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</si>
  <si>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</si>
  <si>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</si>
  <si>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</si>
  <si>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</si>
  <si>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</si>
  <si>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</si>
  <si>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</si>
  <si>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</si>
  <si>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</si>
  <si>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</si>
  <si>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</si>
  <si>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</si>
  <si>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</si>
  <si>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</si>
  <si>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</si>
  <si>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</si>
  <si>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</si>
  <si>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</si>
  <si>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</si>
  <si>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</si>
  <si>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</si>
  <si>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</si>
  <si>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</si>
  <si>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</si>
  <si>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</si>
  <si>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</si>
  <si>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</si>
  <si>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</si>
  <si>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</si>
  <si>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</si>
  <si>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</si>
  <si>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</si>
  <si>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</si>
  <si>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</si>
  <si>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</si>
  <si>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</si>
  <si>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</si>
  <si>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</si>
  <si>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</si>
  <si>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</si>
  <si>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</si>
  <si>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</si>
  <si>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</si>
  <si>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</si>
  <si>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</si>
  <si>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</si>
  <si>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</si>
  <si>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</si>
  <si>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</si>
  <si>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</si>
  <si>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</si>
  <si>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</si>
  <si>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</si>
  <si>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</si>
  <si>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</si>
  <si>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</si>
  <si>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</si>
  <si>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</si>
  <si>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</si>
  <si>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</si>
  <si>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</si>
  <si>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</si>
  <si>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</si>
  <si>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</si>
  <si>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</si>
  <si>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</si>
  <si>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</si>
  <si>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</si>
  <si>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</si>
  <si>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</si>
  <si>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</si>
  <si>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</si>
  <si>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</si>
  <si>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</si>
  <si>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</si>
  <si>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</si>
  <si>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</si>
  <si>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</si>
  <si>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</si>
  <si>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</si>
  <si>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</si>
  <si>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</si>
  <si>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</si>
  <si>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</si>
  <si>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</si>
  <si>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</si>
  <si>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</si>
  <si>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</si>
  <si>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</si>
  <si>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</si>
  <si>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</si>
  <si>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</si>
  <si>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</si>
  <si>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</si>
  <si>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</si>
  <si>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</si>
  <si>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</si>
  <si>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</si>
  <si>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</si>
  <si>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</si>
  <si>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</si>
  <si>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</si>
  <si>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</si>
  <si>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</si>
  <si>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</si>
  <si>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</si>
  <si>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</si>
  <si>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</si>
  <si>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</si>
  <si>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</si>
  <si>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</si>
  <si>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</si>
  <si>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</si>
  <si>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</si>
  <si>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</si>
  <si>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</si>
  <si>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</si>
  <si>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</si>
  <si>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</si>
  <si>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</si>
  <si>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</si>
  <si>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</si>
  <si>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</si>
  <si>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</si>
  <si>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</si>
  <si>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</si>
  <si>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</si>
  <si>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</si>
  <si>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</si>
  <si>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</si>
  <si>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</si>
  <si>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</si>
  <si>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</si>
  <si>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</si>
  <si>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</si>
  <si>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</si>
  <si>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</si>
  <si>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</si>
  <si>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</si>
  <si>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</si>
  <si>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</si>
  <si>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</si>
  <si>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</si>
  <si>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</si>
  <si>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</si>
  <si>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</si>
  <si>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</si>
  <si>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</si>
  <si>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</si>
  <si>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</si>
  <si>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</si>
  <si>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</si>
  <si>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</si>
  <si>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</si>
  <si>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</si>
  <si>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</si>
  <si>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</si>
  <si>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</si>
  <si>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</si>
  <si>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</si>
  <si>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</si>
  <si>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</si>
  <si>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</si>
  <si>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</si>
  <si>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</si>
  <si>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</si>
  <si>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</si>
  <si>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</si>
  <si>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</si>
  <si>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</si>
  <si>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</si>
  <si>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</si>
  <si>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</si>
  <si>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</si>
  <si>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</si>
  <si>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</si>
  <si>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</si>
  <si>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</si>
  <si>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</si>
  <si>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</si>
  <si>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</si>
  <si>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</si>
  <si>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</si>
  <si>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</si>
  <si>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</si>
  <si>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</si>
  <si>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</si>
  <si>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</si>
  <si>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</si>
  <si>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</si>
  <si>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</si>
  <si>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</si>
  <si>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</si>
  <si>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</si>
  <si>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</si>
  <si>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</si>
  <si>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</si>
  <si>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</si>
  <si>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</si>
  <si>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</si>
  <si>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</si>
  <si>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</si>
  <si>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</si>
  <si>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</si>
  <si>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</si>
  <si>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</si>
  <si>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</si>
  <si>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</si>
  <si>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</si>
  <si>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</si>
  <si>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</si>
  <si>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</si>
  <si>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</si>
  <si>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</si>
  <si>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</si>
  <si>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</si>
  <si>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</si>
  <si>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</si>
  <si>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</si>
  <si>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</si>
  <si>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</si>
  <si>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</si>
  <si>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</si>
  <si>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</si>
  <si>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</si>
  <si>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</si>
  <si>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</si>
  <si>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</si>
  <si>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</si>
  <si>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</si>
  <si>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</si>
  <si>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</si>
  <si>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</si>
  <si>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</si>
  <si>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</si>
  <si>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</si>
  <si>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</si>
  <si>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</si>
  <si>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</si>
  <si>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</si>
  <si>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</si>
  <si>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</si>
  <si>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</si>
  <si>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</si>
  <si>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</si>
  <si>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</si>
  <si>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</si>
  <si>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</si>
  <si>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</si>
  <si>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</si>
  <si>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</si>
  <si>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</si>
  <si>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</si>
  <si>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</si>
  <si>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</si>
  <si>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</si>
  <si>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</si>
  <si>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</si>
  <si>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</si>
  <si>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</si>
  <si>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</si>
  <si>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</si>
  <si>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</si>
  <si>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</si>
  <si>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</si>
  <si>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</si>
  <si>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</si>
  <si>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</si>
  <si>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</si>
  <si>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</si>
  <si>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</si>
  <si>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</si>
  <si>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</si>
  <si>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</si>
  <si>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</si>
  <si>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</si>
  <si>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</si>
  <si>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</si>
  <si>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</si>
  <si>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</si>
  <si>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</si>
  <si>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</si>
  <si>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</si>
  <si>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</si>
  <si>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</si>
  <si>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</si>
  <si>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</si>
  <si>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</si>
  <si>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</si>
  <si>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</si>
  <si>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</si>
  <si>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</si>
  <si>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</si>
  <si>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</si>
  <si>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</si>
  <si>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</si>
  <si>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</si>
  <si>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</si>
  <si>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</si>
  <si>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</si>
  <si>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</si>
  <si>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</si>
  <si>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</si>
  <si>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</si>
  <si>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</si>
  <si>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</si>
  <si>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</si>
  <si>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</si>
  <si>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</si>
  <si>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</si>
  <si>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</si>
  <si>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</si>
  <si>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</si>
  <si>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</si>
  <si>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</si>
  <si>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</si>
  <si>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</si>
  <si>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</si>
  <si>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</si>
  <si>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</si>
  <si>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</si>
  <si>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</si>
  <si>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</si>
  <si>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</si>
  <si>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</si>
  <si>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</si>
  <si>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</si>
  <si>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</si>
  <si>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</si>
  <si>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</si>
  <si>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</si>
  <si>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</si>
  <si>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</si>
  <si>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</si>
  <si>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</si>
  <si>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</si>
  <si>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</si>
  <si>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</si>
  <si>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</si>
  <si>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</si>
  <si>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</si>
  <si>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</si>
  <si>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</si>
  <si>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</si>
  <si>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</si>
  <si>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</si>
  <si>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</si>
  <si>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</si>
  <si>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</si>
  <si>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</si>
  <si>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</si>
  <si>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</si>
  <si>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</si>
  <si>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</si>
  <si>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</si>
  <si>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</si>
  <si>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</si>
  <si>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</si>
  <si>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</si>
  <si>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</si>
  <si>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</si>
  <si>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</si>
  <si>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</si>
  <si>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</si>
  <si>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</si>
  <si>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</si>
  <si>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</si>
  <si>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</si>
  <si>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</si>
  <si>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</si>
  <si>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</si>
  <si>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</si>
  <si>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</si>
  <si>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</si>
  <si>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</si>
  <si>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</si>
  <si>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</si>
  <si>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</si>
  <si>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</si>
  <si>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</si>
  <si>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</si>
  <si>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</si>
  <si>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</si>
  <si>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</si>
  <si>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</si>
  <si>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</si>
  <si>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</si>
  <si>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</si>
  <si>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</si>
  <si>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</si>
  <si>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</si>
  <si>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</si>
  <si>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</si>
  <si>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</si>
  <si>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</si>
  <si>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</si>
  <si>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</si>
  <si>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</si>
  <si>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</si>
  <si>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</si>
  <si>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</si>
  <si>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</si>
  <si>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</si>
  <si>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</si>
  <si>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</si>
  <si>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</si>
  <si>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</si>
  <si>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</si>
  <si>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</si>
  <si>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</si>
  <si>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</si>
  <si>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</si>
  <si>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</si>
  <si>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</si>
  <si>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</si>
  <si>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</si>
  <si>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</si>
  <si>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</si>
  <si>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</si>
  <si>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</si>
  <si>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</si>
  <si>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</si>
  <si>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</si>
  <si>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</si>
  <si>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</si>
  <si>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</si>
  <si>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</si>
  <si>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</si>
  <si>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</si>
  <si>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</si>
  <si>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</si>
  <si>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</si>
  <si>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</si>
  <si>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</si>
  <si>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</si>
  <si>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</si>
  <si>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</si>
  <si>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</si>
  <si>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</si>
  <si>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</si>
  <si>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</si>
  <si>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</si>
  <si>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</si>
  <si>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</si>
  <si>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</si>
  <si>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</si>
  <si>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</si>
  <si>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</si>
  <si>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</si>
  <si>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</si>
  <si>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</si>
  <si>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</si>
  <si>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</si>
  <si>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</si>
  <si>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</si>
  <si>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</si>
  <si>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</si>
  <si>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</si>
  <si>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</si>
  <si>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</si>
  <si>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</si>
  <si>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</si>
  <si>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</si>
  <si>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</si>
  <si>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</si>
  <si>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</si>
  <si>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</si>
  <si>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</si>
  <si>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</si>
  <si>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</si>
  <si>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</si>
  <si>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</si>
  <si>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</si>
  <si>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</si>
  <si>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</si>
  <si>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</si>
  <si>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</si>
  <si>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</si>
  <si>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</si>
  <si>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</si>
  <si>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</si>
  <si>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</si>
  <si>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</si>
  <si>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</si>
  <si>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</si>
  <si>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</si>
  <si>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</si>
  <si>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</si>
  <si>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</si>
  <si>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</si>
  <si>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</si>
  <si>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</si>
  <si>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</si>
  <si>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</si>
  <si>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</si>
  <si>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</si>
  <si>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</si>
  <si>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</si>
  <si>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</si>
  <si>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</si>
  <si>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</si>
  <si>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</si>
  <si>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</si>
  <si>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</si>
  <si>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</si>
  <si>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</si>
  <si>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</si>
  <si>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</si>
  <si>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</si>
  <si>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</si>
  <si>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</si>
  <si>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</si>
  <si>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</si>
  <si>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</si>
  <si>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</si>
  <si>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</si>
  <si>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</si>
  <si>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</si>
  <si>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</si>
  <si>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</si>
  <si>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</si>
  <si>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</si>
  <si>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</si>
  <si>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</si>
  <si>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</si>
  <si>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</si>
  <si>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</si>
  <si>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</si>
  <si>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</si>
  <si>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</si>
  <si>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</si>
  <si>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</si>
  <si>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</si>
  <si>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</si>
  <si>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</si>
  <si>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</si>
  <si>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</si>
  <si>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</si>
  <si>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</si>
  <si>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</si>
  <si>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</si>
  <si>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</si>
  <si>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</si>
  <si>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</si>
  <si>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</si>
  <si>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</si>
  <si>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</si>
  <si>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</si>
  <si>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</si>
  <si>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</si>
  <si>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</si>
  <si>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</si>
  <si>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</si>
  <si>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</si>
  <si>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</si>
  <si>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</si>
  <si>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</si>
  <si>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</si>
  <si>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</si>
  <si>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</si>
  <si>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</si>
  <si>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</si>
  <si>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</si>
  <si>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</si>
  <si>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</si>
  <si>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</si>
  <si>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</si>
  <si>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</si>
  <si>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</si>
  <si>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</si>
  <si>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</si>
  <si>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</si>
  <si>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</si>
  <si>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</si>
  <si>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</si>
  <si>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</si>
  <si>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</si>
  <si>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</si>
  <si>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</si>
  <si>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</si>
  <si>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</si>
  <si>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</si>
  <si>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</si>
  <si>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</si>
  <si>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</si>
  <si>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</si>
  <si>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</si>
  <si>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</si>
  <si>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</si>
  <si>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</si>
  <si>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</si>
  <si>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</si>
  <si>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</si>
  <si>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</si>
  <si>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</si>
  <si>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</si>
  <si>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</si>
  <si>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</si>
  <si>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</si>
  <si>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</si>
  <si>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</si>
  <si>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</si>
  <si>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</si>
  <si>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</si>
  <si>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</si>
  <si>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</si>
  <si>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</si>
  <si>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</si>
  <si>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</si>
  <si>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</si>
  <si>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</si>
  <si>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</si>
  <si>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</si>
  <si>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</si>
  <si>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</si>
  <si>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</si>
  <si>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</si>
  <si>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</si>
  <si>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</si>
  <si>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</si>
  <si>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</si>
  <si>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</si>
  <si>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</si>
  <si>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</si>
  <si>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</si>
  <si>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</si>
  <si>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</si>
  <si>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</si>
  <si>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</si>
  <si>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</si>
  <si>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</si>
  <si>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</si>
  <si>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</si>
  <si>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</si>
  <si>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</si>
  <si>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</si>
  <si>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</si>
  <si>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</si>
  <si>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</si>
  <si>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</si>
  <si>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</si>
  <si>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</si>
  <si>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</si>
  <si>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</si>
  <si>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</si>
  <si>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</si>
  <si>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</si>
  <si>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</si>
  <si>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</si>
  <si>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</si>
  <si>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</si>
  <si>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</si>
  <si>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</si>
  <si>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</si>
  <si>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</si>
  <si>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</si>
  <si>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</si>
  <si>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</si>
  <si>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</si>
  <si>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</si>
  <si>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</si>
  <si>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</si>
  <si>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</si>
  <si>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</si>
  <si>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</si>
  <si>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</si>
  <si>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</si>
  <si>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</si>
  <si>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</si>
  <si>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</si>
  <si>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</si>
  <si>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</si>
  <si>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</si>
  <si>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</si>
  <si>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</si>
  <si>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</si>
  <si>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</si>
  <si>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</si>
  <si>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</si>
  <si>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</si>
  <si>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</si>
  <si>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</si>
  <si>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</si>
  <si>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</si>
  <si>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</si>
  <si>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</si>
  <si>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</si>
  <si>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</si>
  <si>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</si>
  <si>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</si>
  <si>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</si>
  <si>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</si>
  <si>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</si>
  <si>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</si>
  <si>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</si>
  <si>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</si>
  <si>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</si>
  <si>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</si>
  <si>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</si>
  <si>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</si>
  <si>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</si>
  <si>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</si>
  <si>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</si>
  <si>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</si>
  <si>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</si>
  <si>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</si>
  <si>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</si>
  <si>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</si>
  <si>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</si>
  <si>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</si>
  <si>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</si>
  <si>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</si>
  <si>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</si>
  <si>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</si>
  <si>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</si>
  <si>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</si>
  <si>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</si>
  <si>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</si>
  <si>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</si>
  <si>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</si>
  <si>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</si>
  <si>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</si>
  <si>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</si>
  <si>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</si>
  <si>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</si>
  <si>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</si>
  <si>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</si>
  <si>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</si>
  <si>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</si>
  <si>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</si>
  <si>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</si>
  <si>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</si>
  <si>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</si>
  <si>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</si>
  <si>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</si>
  <si>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</si>
  <si>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</si>
  <si>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</si>
  <si>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</si>
  <si>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</si>
  <si>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</si>
  <si>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</si>
  <si>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</si>
  <si>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</si>
  <si>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</si>
  <si>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</si>
  <si>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</si>
  <si>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</si>
  <si>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</si>
  <si>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</si>
  <si>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</si>
  <si>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</si>
  <si>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</si>
  <si>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</si>
  <si>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</si>
  <si>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</si>
  <si>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</si>
  <si>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</si>
  <si>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</si>
  <si>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</si>
  <si>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</si>
  <si>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</si>
  <si>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</si>
  <si>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</si>
  <si>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</si>
  <si>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</si>
  <si>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</si>
  <si>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</si>
  <si>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</si>
  <si>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</si>
  <si>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</si>
  <si>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</si>
  <si>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</si>
  <si>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</si>
  <si>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</si>
  <si>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</si>
  <si>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</si>
  <si>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</si>
  <si>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</si>
  <si>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</si>
  <si>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</si>
  <si>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</si>
  <si>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</si>
  <si>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</si>
  <si>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</si>
  <si>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</si>
  <si>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</si>
  <si>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</si>
  <si>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</si>
  <si>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</si>
  <si>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</si>
  <si>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</si>
  <si>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</si>
  <si>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</si>
  <si>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</si>
  <si>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</si>
  <si>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</si>
  <si>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</si>
  <si>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</si>
  <si>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</si>
  <si>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</si>
  <si>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</si>
  <si>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</si>
  <si>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</si>
  <si>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</si>
  <si>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</si>
  <si>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</si>
  <si>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</si>
  <si>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</si>
  <si>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</si>
  <si>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</si>
  <si>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</si>
  <si>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</si>
  <si>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</si>
  <si>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</si>
  <si>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</si>
  <si>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</si>
  <si>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</si>
  <si>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</si>
  <si>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</si>
  <si>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</si>
  <si>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</si>
  <si>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</si>
  <si>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</si>
  <si>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</si>
  <si>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</si>
  <si>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</si>
  <si>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</si>
  <si>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</si>
  <si>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</si>
  <si>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</si>
  <si>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</si>
  <si>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</si>
  <si>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</si>
  <si>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</si>
  <si>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</si>
  <si>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</si>
  <si>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</si>
  <si>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</si>
  <si>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</si>
  <si>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</si>
  <si>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</si>
  <si>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</si>
  <si>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</si>
  <si>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</si>
  <si>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</si>
  <si>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</si>
  <si>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</si>
  <si>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</si>
  <si>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</si>
  <si>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</si>
  <si>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</si>
  <si>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</si>
  <si>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</si>
  <si>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</si>
  <si>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</si>
  <si>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</si>
  <si>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</si>
  <si>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</si>
  <si>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</si>
  <si>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</si>
  <si>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</si>
  <si>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</si>
  <si>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</si>
  <si>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</si>
  <si>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</si>
  <si>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</si>
  <si>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</si>
  <si>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</si>
  <si>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</si>
  <si>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</si>
  <si>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</si>
  <si>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</si>
  <si>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</si>
  <si>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</si>
  <si>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</si>
  <si>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</si>
  <si>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</si>
  <si>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</si>
  <si>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</si>
  <si>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</si>
  <si>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</si>
  <si>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</si>
  <si>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</si>
  <si>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</si>
  <si>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</si>
  <si>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</si>
  <si>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</si>
  <si>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</si>
  <si>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</si>
  <si>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</si>
  <si>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</si>
  <si>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</si>
  <si>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</si>
  <si>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</si>
  <si>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</si>
  <si>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</si>
  <si>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</si>
  <si>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</si>
  <si>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</si>
  <si>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</si>
  <si>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</si>
  <si>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</si>
  <si>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</si>
  <si>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</si>
  <si>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</si>
  <si>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</si>
  <si>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</si>
  <si>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</si>
  <si>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</si>
  <si>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</si>
  <si>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</si>
  <si>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</si>
  <si>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</si>
  <si>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</si>
  <si>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</si>
  <si>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</si>
  <si>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</si>
  <si>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</si>
  <si>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</si>
  <si>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</si>
  <si>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</si>
  <si>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</si>
  <si>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</si>
  <si>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</si>
  <si>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</si>
  <si>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</si>
  <si>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</si>
  <si>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</si>
  <si>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</si>
  <si>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</si>
  <si>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</si>
  <si>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</si>
  <si>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</si>
  <si>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</si>
  <si>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</si>
  <si>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</si>
  <si>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</si>
  <si>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</si>
  <si>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</si>
  <si>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</si>
  <si>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</si>
  <si>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</si>
  <si>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</si>
  <si>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</si>
  <si>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</si>
  <si>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</si>
  <si>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</si>
  <si>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</si>
  <si>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</si>
  <si>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</si>
  <si>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</si>
  <si>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</si>
  <si>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</si>
  <si>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</si>
  <si>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</si>
  <si>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</si>
  <si>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</si>
  <si>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</si>
  <si>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</si>
  <si>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</si>
  <si>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</si>
  <si>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</si>
  <si>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</si>
  <si>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</si>
  <si>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</si>
  <si>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</si>
  <si>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</si>
  <si>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</si>
  <si>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</si>
  <si>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</si>
  <si>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</si>
  <si>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</si>
  <si>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</si>
  <si>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</si>
  <si>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</si>
  <si>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</si>
  <si>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</si>
  <si>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</si>
  <si>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</si>
  <si>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</si>
  <si>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</si>
  <si>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</si>
  <si>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</si>
  <si>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</si>
  <si>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</si>
  <si>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</si>
  <si>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</si>
  <si>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</si>
  <si>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</si>
  <si>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</si>
  <si>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</si>
  <si>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</si>
  <si>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</si>
  <si>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</si>
  <si>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</si>
  <si>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</si>
  <si>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</si>
  <si>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</si>
  <si>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</si>
  <si>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</si>
  <si>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</si>
  <si>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</si>
  <si>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</si>
  <si>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</si>
  <si>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</si>
  <si>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</si>
  <si>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</si>
  <si>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</si>
  <si>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</si>
  <si>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</si>
  <si>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</si>
  <si>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</si>
  <si>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</si>
  <si>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</si>
  <si>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</si>
  <si>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</si>
  <si>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</si>
  <si>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</si>
  <si>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</si>
  <si>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</si>
  <si>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</si>
  <si>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</si>
  <si>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</si>
  <si>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</si>
  <si>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</si>
  <si>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</si>
  <si>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</si>
  <si>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</si>
  <si>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</si>
  <si>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</si>
  <si>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</si>
  <si>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</si>
  <si>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</si>
  <si>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</si>
  <si>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</si>
  <si>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</si>
  <si>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</si>
  <si>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</si>
  <si>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</si>
  <si>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</si>
  <si>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</si>
  <si>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</si>
  <si>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</si>
  <si>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</si>
  <si>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</si>
  <si>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</si>
  <si>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</si>
  <si>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</si>
  <si>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</si>
  <si>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</si>
  <si>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</si>
  <si>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</si>
  <si>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</si>
  <si>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</si>
  <si>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</si>
  <si>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</si>
  <si>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</si>
  <si>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</si>
  <si>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</si>
  <si>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</si>
  <si>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</si>
  <si>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</si>
  <si>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</si>
  <si>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</si>
  <si>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</si>
  <si>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</si>
  <si>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</si>
  <si>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</si>
  <si>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</si>
  <si>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</si>
  <si>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</si>
  <si>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</si>
  <si>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</si>
  <si>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</si>
  <si>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</si>
  <si>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</si>
  <si>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</si>
  <si>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</si>
  <si>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</si>
  <si>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</si>
  <si>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</si>
  <si>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</si>
  <si>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</si>
  <si>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</si>
  <si>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</si>
  <si>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</si>
  <si>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</si>
  <si>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</si>
  <si>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</si>
  <si>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</si>
  <si>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</si>
  <si>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</si>
  <si>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</si>
  <si>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</si>
  <si>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</si>
  <si>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</si>
  <si>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</si>
  <si>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</si>
  <si>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</si>
  <si>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</si>
  <si>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</si>
  <si>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</si>
  <si>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</si>
  <si>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</si>
  <si>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</si>
  <si>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</si>
  <si>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</si>
  <si>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</si>
  <si>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</si>
  <si>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</si>
  <si>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</si>
  <si>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</si>
  <si>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</si>
  <si>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</si>
  <si>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</si>
  <si>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</si>
  <si>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</si>
  <si>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</si>
  <si>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</si>
  <si>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</si>
  <si>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</si>
  <si>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</si>
  <si>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</si>
  <si>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</si>
  <si>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</si>
  <si>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</si>
  <si>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</si>
  <si>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</si>
  <si>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</si>
  <si>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</si>
  <si>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</si>
  <si>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</si>
  <si>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</si>
  <si>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</si>
  <si>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</si>
  <si>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</si>
  <si>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</si>
  <si>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</si>
  <si>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</si>
  <si>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</si>
  <si>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</si>
  <si>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</si>
  <si>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</si>
  <si>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</si>
  <si>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</si>
  <si>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</si>
  <si>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</si>
  <si>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</si>
  <si>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</si>
  <si>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</si>
  <si>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</si>
  <si>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</si>
  <si>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</si>
  <si>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</si>
  <si>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</si>
  <si>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</si>
  <si>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</si>
  <si>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</si>
  <si>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</si>
  <si>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</si>
  <si>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</si>
  <si>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</si>
  <si>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</si>
  <si>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</si>
  <si>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</si>
  <si>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</si>
  <si>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</si>
  <si>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</si>
  <si>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</si>
  <si>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</si>
  <si>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</si>
  <si>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</si>
  <si>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</si>
  <si>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</si>
  <si>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</si>
  <si>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</si>
  <si>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</si>
  <si>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</si>
  <si>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</si>
  <si>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</si>
  <si>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</si>
  <si>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</si>
  <si>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</si>
  <si>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</si>
  <si>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</si>
  <si>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</si>
  <si>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</si>
  <si>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</si>
  <si>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</si>
  <si>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</si>
  <si>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</si>
  <si>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</si>
  <si>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</si>
  <si>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</si>
  <si>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</si>
  <si>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</si>
  <si>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</si>
  <si>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</si>
  <si>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</si>
  <si>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</si>
  <si>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</si>
  <si>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</si>
  <si>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</si>
  <si>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</si>
  <si>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</si>
  <si>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</si>
  <si>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</si>
  <si>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</si>
  <si>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</si>
  <si>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</si>
  <si>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</si>
  <si>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</si>
  <si>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</si>
  <si>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</si>
  <si>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</si>
  <si>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</si>
  <si>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</si>
  <si>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</si>
  <si>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</si>
  <si>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</si>
  <si>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</si>
  <si>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</si>
  <si>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</si>
  <si>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</si>
  <si>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</si>
  <si>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</si>
  <si>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</si>
  <si>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</si>
  <si>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</si>
  <si>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</si>
  <si>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</si>
  <si>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</si>
  <si>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</si>
  <si>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</si>
  <si>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</si>
  <si>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</si>
  <si>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</si>
  <si>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</si>
  <si>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</si>
  <si>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</si>
  <si>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</si>
  <si>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</si>
  <si>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</si>
  <si>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</si>
  <si>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</si>
  <si>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</si>
  <si>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</si>
  <si>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</si>
  <si>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</si>
  <si>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</si>
  <si>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</si>
  <si>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</si>
  <si>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</si>
  <si>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</si>
  <si>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</si>
  <si>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</si>
  <si>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</si>
  <si>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</si>
  <si>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</si>
  <si>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</si>
  <si>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</si>
  <si>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</si>
  <si>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</si>
  <si>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</si>
  <si>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</si>
  <si>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</si>
  <si>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</si>
  <si>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</si>
  <si>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</si>
  <si>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</si>
  <si>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</si>
  <si>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</si>
  <si>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</si>
  <si>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</si>
  <si>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</si>
  <si>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</si>
  <si>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</si>
  <si>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</si>
  <si>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</si>
  <si>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</si>
  <si>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</si>
  <si>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</si>
  <si>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</si>
  <si>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</si>
  <si>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</si>
  <si>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</si>
  <si>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</si>
  <si>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</si>
  <si>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</si>
  <si>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</si>
  <si>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</si>
  <si>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</si>
  <si>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</si>
  <si>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</si>
  <si>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</si>
  <si>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</si>
  <si>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</si>
  <si>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</si>
  <si>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</si>
  <si>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</si>
  <si>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</si>
  <si>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</si>
  <si>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</si>
  <si>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</si>
  <si>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</si>
  <si>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</si>
  <si>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</si>
  <si>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</si>
  <si>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</si>
  <si>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</si>
  <si>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</si>
  <si>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</si>
  <si>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</si>
  <si>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</si>
  <si>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</si>
  <si>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</si>
  <si>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</si>
  <si>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</si>
  <si>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</si>
  <si>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</si>
  <si>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</si>
  <si>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</si>
  <si>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</si>
  <si>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</si>
  <si>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</si>
  <si>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</si>
  <si>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</si>
  <si>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</si>
  <si>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</si>
  <si>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</si>
  <si>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</si>
  <si>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</si>
  <si>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</si>
  <si>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</si>
  <si>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</si>
  <si>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</si>
  <si>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</si>
  <si>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</si>
  <si>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</si>
  <si>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</si>
  <si>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</si>
  <si>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</si>
  <si>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</si>
  <si>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</si>
  <si>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</si>
  <si>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</si>
  <si>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</si>
  <si>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</si>
  <si>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</si>
  <si>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</si>
  <si>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</si>
  <si>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</si>
  <si>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</si>
  <si>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</si>
  <si>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</si>
  <si>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</si>
  <si>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</si>
  <si>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</si>
  <si>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</si>
  <si>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</si>
  <si>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</si>
  <si>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</si>
  <si>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</si>
  <si>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</si>
  <si>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</si>
  <si>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</si>
  <si>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</si>
  <si>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</si>
  <si>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</si>
  <si>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</si>
  <si>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</si>
  <si>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</si>
  <si>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</si>
  <si>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</si>
  <si>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</si>
  <si>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</si>
  <si>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</si>
  <si>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</si>
  <si>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</si>
  <si>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</si>
  <si>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</si>
  <si>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</si>
  <si>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</si>
  <si>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</si>
  <si>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</si>
  <si>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</si>
  <si>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</si>
  <si>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</si>
  <si>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</si>
  <si>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</si>
  <si>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</si>
  <si>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</si>
  <si>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</si>
  <si>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</si>
  <si>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</si>
  <si>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</si>
  <si>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</si>
  <si>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</si>
  <si>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</si>
  <si>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</si>
  <si>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</si>
  <si>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</si>
  <si>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</si>
  <si>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</si>
  <si>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</si>
  <si>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</si>
  <si>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</si>
  <si>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</si>
  <si>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</si>
  <si>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</si>
  <si>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</si>
  <si>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</si>
  <si>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</si>
  <si>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</si>
  <si>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</si>
  <si>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</si>
  <si>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</si>
  <si>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</si>
  <si>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</si>
  <si>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</si>
  <si>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</si>
  <si>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</si>
  <si>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</si>
  <si>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</si>
  <si>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</si>
  <si>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</si>
  <si>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</si>
  <si>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</si>
  <si>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</si>
  <si>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</si>
  <si>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</si>
  <si>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</si>
  <si>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</si>
  <si>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</si>
  <si>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</si>
  <si>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</si>
  <si>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</si>
  <si>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</si>
  <si>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</si>
  <si>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</si>
  <si>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</si>
  <si>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</si>
  <si>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</si>
  <si>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</si>
  <si>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</si>
  <si>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</si>
  <si>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</si>
  <si>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</si>
  <si>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</si>
  <si>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</si>
  <si>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</si>
  <si>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</si>
  <si>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</si>
  <si>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</si>
  <si>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</si>
  <si>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</si>
  <si>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</si>
  <si>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</si>
  <si>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</si>
  <si>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</si>
  <si>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</si>
  <si>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</si>
  <si>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</si>
  <si>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</si>
  <si>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</si>
  <si>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</si>
  <si>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</si>
  <si>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</si>
  <si>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</si>
  <si>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</si>
  <si>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</si>
  <si>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</si>
  <si>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</si>
  <si>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</si>
  <si>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</si>
  <si>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</si>
  <si>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</si>
  <si>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</si>
  <si>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</si>
  <si>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</si>
  <si>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</si>
  <si>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</si>
  <si>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</si>
  <si>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</si>
  <si>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</si>
  <si>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</si>
  <si>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</si>
  <si>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</si>
  <si>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</si>
  <si>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</si>
  <si>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</si>
  <si>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</si>
  <si>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</si>
  <si>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</si>
  <si>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</si>
  <si>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</si>
  <si>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</si>
  <si>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</si>
  <si>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</si>
  <si>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</si>
  <si>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</si>
  <si>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</si>
  <si>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</si>
  <si>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</si>
  <si>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</si>
  <si>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</si>
  <si>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</si>
  <si>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</si>
  <si>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</si>
  <si>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</si>
  <si>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</si>
  <si>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</si>
  <si>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</si>
  <si>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</si>
  <si>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</si>
  <si>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</si>
  <si>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</si>
  <si>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</si>
  <si>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</si>
  <si>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</si>
  <si>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</si>
  <si>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</si>
  <si>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</si>
  <si>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</si>
  <si>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</si>
  <si>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</si>
  <si>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</si>
  <si>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</si>
  <si>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</si>
  <si>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</si>
  <si>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</si>
  <si>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</si>
  <si>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</si>
  <si>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</si>
  <si>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</si>
  <si>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</si>
  <si>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</si>
  <si>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</si>
  <si>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</si>
  <si>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</si>
  <si>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</si>
  <si>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</si>
  <si>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</si>
  <si>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</si>
  <si>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</si>
  <si>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</si>
  <si>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</si>
  <si>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</si>
  <si>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</si>
  <si>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</si>
  <si>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</si>
  <si>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</si>
  <si>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</si>
  <si>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</si>
  <si>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</si>
  <si>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</si>
  <si>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</si>
  <si>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</si>
  <si>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</si>
  <si>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</si>
  <si>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</si>
  <si>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</si>
  <si>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</si>
  <si>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</si>
  <si>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</si>
  <si>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</si>
  <si>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</si>
  <si>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</si>
  <si>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</si>
  <si>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</si>
  <si>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</si>
  <si>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</si>
  <si>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</si>
  <si>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</si>
  <si>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</si>
  <si>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</si>
  <si>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</si>
  <si>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</si>
  <si>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</si>
  <si>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</si>
  <si>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</si>
  <si>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</si>
  <si>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</si>
  <si>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</si>
  <si>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</si>
  <si>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</si>
  <si>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</si>
  <si>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</si>
  <si>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</si>
  <si>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</si>
  <si>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</si>
  <si>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</si>
  <si>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</si>
  <si>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</si>
  <si>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</si>
  <si>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</si>
  <si>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</si>
  <si>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</si>
  <si>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</si>
  <si>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</si>
  <si>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</si>
  <si>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</si>
  <si>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</si>
  <si>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</si>
  <si>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</si>
  <si>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</si>
  <si>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</si>
  <si>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</si>
  <si>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</si>
  <si>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</si>
  <si>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</si>
  <si>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</si>
  <si>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</si>
  <si>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</si>
  <si>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</si>
  <si>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</si>
  <si>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</si>
  <si>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</si>
  <si>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</si>
  <si>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</si>
  <si>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</si>
  <si>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</si>
  <si>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</si>
  <si>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</si>
  <si>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</si>
  <si>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</si>
  <si>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</si>
  <si>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</si>
  <si>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</si>
  <si>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</si>
  <si>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</si>
  <si>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</si>
  <si>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</si>
  <si>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</si>
  <si>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</si>
  <si>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</si>
  <si>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</si>
  <si>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</si>
  <si>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</si>
  <si>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</si>
  <si>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</si>
  <si>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</si>
  <si>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</si>
  <si>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</si>
  <si>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</si>
  <si>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</si>
  <si>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</si>
  <si>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</si>
  <si>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</si>
  <si>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</si>
  <si>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</si>
  <si>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</si>
  <si>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</si>
  <si>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</si>
  <si>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</si>
  <si>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</si>
  <si>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</si>
  <si>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</si>
  <si>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</si>
  <si>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</si>
  <si>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</si>
  <si>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</si>
  <si>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</si>
  <si>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</si>
  <si>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</si>
  <si>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</si>
  <si>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</si>
  <si>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</si>
  <si>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</si>
  <si>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</si>
  <si>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</si>
  <si>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</si>
  <si>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</si>
  <si>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</si>
  <si>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</si>
  <si>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</si>
  <si>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</si>
  <si>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</si>
  <si>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</si>
  <si>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</si>
  <si>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</si>
  <si>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</si>
  <si>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</si>
  <si>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</si>
  <si>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</si>
  <si>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</si>
  <si>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</si>
  <si>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</si>
  <si>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</si>
  <si>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</si>
  <si>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</si>
  <si>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</si>
  <si>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</si>
  <si>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</si>
  <si>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</si>
  <si>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</si>
  <si>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</si>
  <si>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</si>
  <si>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</si>
  <si>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</si>
  <si>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</si>
  <si>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</si>
  <si>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</si>
  <si>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</si>
  <si>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</si>
  <si>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</si>
  <si>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</si>
  <si>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</si>
  <si>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</si>
  <si>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</si>
  <si>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</si>
  <si>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</si>
  <si>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</si>
  <si>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</si>
  <si>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</si>
  <si>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</si>
  <si>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</si>
  <si>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</si>
  <si>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</si>
  <si>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</si>
  <si>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</si>
  <si>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</si>
  <si>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</si>
  <si>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</si>
  <si>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</si>
  <si>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</si>
  <si>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</si>
  <si>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</si>
  <si>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</si>
  <si>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</si>
  <si>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</si>
  <si>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</si>
  <si>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</si>
  <si>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</si>
  <si>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</si>
  <si>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</si>
  <si>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</si>
  <si>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</si>
  <si>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</si>
  <si>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</si>
  <si>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</si>
  <si>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</si>
  <si>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</si>
  <si>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</si>
  <si>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</si>
  <si>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</si>
  <si>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</si>
  <si>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</si>
  <si>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</si>
  <si>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</si>
  <si>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</si>
  <si>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</si>
  <si>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</si>
  <si>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</si>
  <si>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</si>
  <si>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</si>
  <si>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</si>
  <si>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</si>
  <si>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</si>
  <si>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</si>
  <si>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</si>
  <si>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</si>
  <si>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</si>
  <si>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</si>
  <si>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</si>
  <si>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</si>
  <si>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</si>
  <si>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</si>
  <si>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</si>
  <si>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</si>
  <si>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</si>
  <si>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</si>
  <si>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</si>
  <si>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</si>
  <si>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</si>
  <si>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</si>
  <si>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</si>
  <si>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</si>
  <si>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</si>
  <si>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</si>
  <si>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</si>
  <si>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</si>
  <si>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</si>
  <si>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</si>
  <si>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</si>
  <si>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</si>
  <si>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</si>
  <si>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</si>
  <si>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</si>
  <si>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</si>
  <si>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</si>
  <si>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</si>
  <si>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</si>
  <si>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</si>
  <si>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</si>
  <si>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</si>
  <si>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</si>
  <si>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</si>
  <si>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</si>
  <si>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</si>
  <si>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</si>
  <si>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</si>
  <si>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</si>
  <si>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</si>
  <si>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</si>
  <si>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</si>
  <si>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</si>
  <si>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</si>
  <si>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</si>
  <si>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</si>
  <si>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</si>
  <si>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</si>
  <si>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</si>
  <si>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</si>
  <si>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</si>
  <si>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</si>
  <si>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</si>
  <si>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</si>
  <si>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</si>
  <si>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</si>
  <si>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</si>
  <si>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</si>
  <si>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</si>
  <si>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</si>
  <si>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</si>
  <si>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</si>
  <si>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</si>
  <si>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</si>
  <si>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</si>
  <si>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</si>
  <si>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</si>
  <si>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</si>
  <si>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</si>
  <si>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</si>
  <si>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</si>
  <si>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</si>
  <si>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</si>
  <si>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</si>
  <si>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</si>
  <si>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</si>
  <si>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</si>
  <si>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</si>
  <si>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</si>
  <si>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</si>
  <si>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</si>
  <si>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</si>
  <si>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</si>
  <si>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</si>
  <si>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</si>
  <si>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</si>
  <si>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</si>
  <si>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</si>
  <si>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</si>
  <si>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</si>
  <si>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</si>
  <si>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</si>
  <si>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</si>
  <si>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</si>
  <si>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</si>
  <si>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</si>
  <si>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</si>
  <si>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</si>
  <si>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</si>
  <si>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</si>
  <si>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</si>
  <si>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</si>
  <si>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</si>
  <si>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</si>
  <si>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</si>
  <si>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</si>
  <si>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</si>
  <si>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</si>
  <si>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</si>
  <si>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</si>
  <si>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</si>
  <si>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</si>
  <si>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</si>
  <si>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</si>
  <si>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</si>
  <si>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</si>
  <si>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</si>
  <si>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</si>
  <si>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</si>
  <si>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</si>
  <si>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</si>
  <si>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</si>
  <si>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</si>
  <si>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</si>
  <si>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</si>
  <si>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</si>
  <si>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</si>
  <si>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</si>
  <si>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</si>
  <si>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</si>
  <si>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</si>
  <si>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</si>
  <si>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</si>
  <si>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</si>
  <si>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</si>
  <si>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</si>
  <si>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</si>
  <si>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</si>
  <si>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</si>
  <si>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</si>
  <si>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</si>
  <si>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</si>
  <si>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</si>
  <si>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</si>
  <si>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</si>
  <si>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</si>
  <si>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</si>
  <si>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</si>
  <si>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</si>
  <si>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</si>
  <si>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</si>
  <si>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</si>
  <si>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</si>
  <si>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</si>
  <si>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</si>
  <si>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</si>
  <si>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</si>
  <si>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</si>
  <si>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</si>
  <si>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</si>
  <si>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</si>
  <si>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</si>
  <si>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</si>
  <si>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</si>
  <si>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</si>
  <si>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</si>
  <si>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</si>
  <si>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</si>
  <si>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</si>
  <si>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</si>
  <si>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</si>
  <si>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</si>
  <si>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</si>
  <si>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</si>
  <si>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</si>
  <si>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</si>
  <si>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</si>
  <si>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</si>
  <si>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</si>
  <si>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</si>
  <si>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</si>
  <si>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</si>
  <si>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</si>
  <si>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</si>
  <si>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</si>
  <si>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</si>
  <si>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</si>
  <si>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</si>
  <si>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</si>
  <si>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</si>
  <si>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</si>
  <si>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</si>
  <si>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</si>
  <si>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</si>
  <si>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</si>
  <si>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</si>
  <si>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</si>
  <si>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</si>
  <si>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</si>
  <si>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</si>
  <si>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</si>
  <si>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</si>
  <si>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</si>
  <si>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</si>
  <si>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</si>
  <si>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</si>
  <si>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</si>
  <si>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</si>
  <si>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</si>
  <si>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</si>
  <si>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</si>
  <si>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</si>
  <si>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</si>
  <si>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</si>
  <si>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</si>
  <si>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</si>
  <si>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</si>
  <si>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</si>
  <si>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</si>
  <si>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</si>
  <si>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</si>
  <si>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</si>
  <si>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</si>
  <si>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</si>
  <si>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</si>
  <si>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</si>
  <si>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</si>
  <si>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</si>
  <si>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</si>
  <si>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</si>
  <si>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</si>
  <si>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</si>
  <si>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</si>
  <si>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</si>
  <si>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</si>
  <si>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</si>
  <si>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</si>
  <si>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</si>
  <si>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</si>
  <si>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</si>
  <si>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</si>
  <si>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</si>
  <si>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</si>
  <si>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13-041-2090-27</t>
  </si>
  <si>
    <t>Jefferson</t>
  </si>
  <si>
    <t>Woodlawn Community Unit School District #209</t>
  </si>
  <si>
    <t>301 S Central St</t>
  </si>
  <si>
    <t>Woodlawn</t>
  </si>
  <si>
    <t>shays@woodlawnschools.org</t>
  </si>
  <si>
    <t>Eric Helbig</t>
  </si>
  <si>
    <t>ehelbig@woodlawnschools.org</t>
  </si>
  <si>
    <t>618-735-2631</t>
  </si>
  <si>
    <t>618-735-2032</t>
  </si>
  <si>
    <t>Douglas A. Ess, CPA</t>
  </si>
  <si>
    <t>Glass &amp; Shuffett Ltd</t>
  </si>
  <si>
    <t>Life Safety Bonds - Series 2012</t>
  </si>
  <si>
    <t>Doulos Floor Finishing</t>
  </si>
  <si>
    <t>Durham School Services</t>
  </si>
  <si>
    <t>Farmer Environmental Services</t>
  </si>
  <si>
    <t>FGM Architects</t>
  </si>
  <si>
    <t>Great American Financial</t>
  </si>
  <si>
    <t>J&amp;R Mechanical</t>
  </si>
  <si>
    <t>Quality Network Solutions</t>
  </si>
  <si>
    <t>O&amp;M-O&amp;M Services-Purchased Services</t>
  </si>
  <si>
    <t>Transportation-Transportation Services-Purchased Services</t>
  </si>
  <si>
    <t>Fire Prevention-O&amp;M Services-Purchased Services</t>
  </si>
  <si>
    <t>Education-Fiscal Services-Purchased Services</t>
  </si>
  <si>
    <t>Education-Instruction-Purchased Services</t>
  </si>
  <si>
    <t>Education-Information Services-Purchased Services</t>
  </si>
  <si>
    <t>Mt. Vernon Township High School</t>
  </si>
  <si>
    <t>Franklin Jefferson Special Education</t>
  </si>
  <si>
    <t>Revenues:</t>
  </si>
  <si>
    <t>Line 81, Education Fund:</t>
  </si>
  <si>
    <t>Student Activity Fees</t>
  </si>
  <si>
    <t>Line 107, Education Fund:</t>
  </si>
  <si>
    <t>E-Rate</t>
  </si>
  <si>
    <t>Pre-K Program Reimbursements</t>
  </si>
  <si>
    <t>Book Fair</t>
  </si>
  <si>
    <t>Insurance Reimbursements</t>
  </si>
  <si>
    <t>Field Trips</t>
  </si>
  <si>
    <t>Others less than $500</t>
  </si>
  <si>
    <t>Line 107, Operations &amp; Maintenance Fund:</t>
  </si>
  <si>
    <t>Reimbursements</t>
  </si>
  <si>
    <t>Line 107, Transportation Fund:</t>
  </si>
  <si>
    <t>Fan Bus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</si>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</sst>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7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7" fillId="0" borderId="0" xfId="20" applyNumberFormat="1" applyFont="1"/>
    <xf numFmtId="185" fontId="57" fillId="0" borderId="164" xfId="20" applyNumberFormat="1" applyFont="1" applyBorder="1"/>
    <xf numFmtId="185" fontId="57" fillId="0" borderId="78" xfId="20" applyNumberFormat="1" applyFont="1" applyBorder="1"/>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65" fillId="0" borderId="166" xfId="3" applyNumberFormat="1" applyFont="1" applyBorder="1" applyAlignment="1">
      <alignment horizontal="center" vertical="center"/>
    </xf>
    <xf numFmtId="0" fontId="65" fillId="0" borderId="166" xfId="3" applyNumberFormat="1" applyFont="1" applyBorder="1" applyAlignment="1">
      <alignment horizontal="left" vertical="center"/>
    </xf>
    <xf numFmtId="0" fontId="57" fillId="0" borderId="167" xfId="3" applyNumberFormat="1" applyFont="1" applyBorder="1" applyAlignment="1">
      <alignment vertical="center"/>
    </xf>
    <xf numFmtId="0" fontId="2" fillId="0" borderId="0" xfId="21"/>
    <xf numFmtId="0" fontId="57" fillId="0" borderId="168"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9" xfId="3" applyNumberFormat="1" applyFont="1" applyBorder="1" applyAlignment="1">
      <alignment vertical="center"/>
    </xf>
    <xf numFmtId="0" fontId="65" fillId="22" borderId="170"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1"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7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8"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1"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1"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2"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2"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8" xfId="3" applyNumberFormat="1" applyFont="1" applyBorder="1" applyAlignment="1">
      <alignment vertical="center"/>
    </xf>
    <xf numFmtId="0" fontId="57" fillId="0" borderId="16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8"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75" xfId="3" applyNumberFormat="1" applyFont="1" applyBorder="1" applyAlignment="1">
      <alignment vertical="center"/>
    </xf>
    <xf numFmtId="0" fontId="57" fillId="0" borderId="168" xfId="21" applyFont="1" applyBorder="1"/>
    <xf numFmtId="0" fontId="57" fillId="0" borderId="0" xfId="21" applyFont="1" applyBorder="1"/>
    <xf numFmtId="0" fontId="57" fillId="0" borderId="169" xfId="21" applyFont="1" applyBorder="1"/>
    <xf numFmtId="0" fontId="57" fillId="0" borderId="168" xfId="21" applyFont="1" applyBorder="1" applyAlignment="1">
      <alignment wrapText="1"/>
    </xf>
    <xf numFmtId="0" fontId="57" fillId="0" borderId="0" xfId="21" applyFont="1" applyBorder="1" applyAlignment="1">
      <alignment wrapText="1"/>
    </xf>
    <xf numFmtId="0" fontId="57" fillId="0" borderId="169" xfId="21" applyFont="1" applyBorder="1" applyAlignment="1">
      <alignment wrapText="1"/>
    </xf>
    <xf numFmtId="0" fontId="143" fillId="0" borderId="168" xfId="21" applyFont="1" applyBorder="1" applyAlignment="1"/>
    <xf numFmtId="0" fontId="88" fillId="0" borderId="0" xfId="21" applyFont="1" applyBorder="1"/>
    <xf numFmtId="0" fontId="99" fillId="0" borderId="0" xfId="21" applyFont="1" applyBorder="1" applyAlignment="1">
      <alignment wrapText="1"/>
    </xf>
    <xf numFmtId="0" fontId="99" fillId="0" borderId="169"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3" xfId="21" applyFont="1" applyBorder="1" applyAlignment="1">
      <alignment horizontal="center" wrapText="1"/>
    </xf>
    <xf numFmtId="0" fontId="57" fillId="0" borderId="185" xfId="21" applyFont="1" applyBorder="1" applyAlignment="1">
      <alignment horizontal="center"/>
    </xf>
    <xf numFmtId="38" fontId="65" fillId="26" borderId="186" xfId="21" applyNumberFormat="1" applyFont="1" applyFill="1" applyBorder="1" applyAlignment="1" applyProtection="1">
      <alignment horizontal="center"/>
      <protection locked="0"/>
    </xf>
    <xf numFmtId="38" fontId="57" fillId="27" borderId="0" xfId="21" applyNumberFormat="1" applyFont="1" applyFill="1" applyBorder="1" applyAlignment="1">
      <alignment horizontal="center"/>
    </xf>
    <xf numFmtId="38" fontId="57" fillId="0" borderId="187" xfId="21" applyNumberFormat="1" applyFont="1" applyBorder="1" applyAlignment="1" applyProtection="1">
      <alignment horizontal="center"/>
      <protection locked="0"/>
    </xf>
    <xf numFmtId="38" fontId="57" fillId="0" borderId="185" xfId="21" applyNumberFormat="1" applyFont="1" applyBorder="1" applyAlignment="1" applyProtection="1">
      <alignment horizontal="center"/>
      <protection locked="0"/>
    </xf>
    <xf numFmtId="38" fontId="65" fillId="16" borderId="188" xfId="21" applyNumberFormat="1" applyFont="1" applyFill="1" applyBorder="1" applyAlignment="1">
      <alignment horizontal="center" wrapText="1"/>
    </xf>
    <xf numFmtId="0" fontId="57" fillId="0" borderId="190" xfId="21" applyFont="1" applyBorder="1" applyAlignment="1">
      <alignment horizontal="center"/>
    </xf>
    <xf numFmtId="38" fontId="65" fillId="26" borderId="191" xfId="21" applyNumberFormat="1" applyFont="1" applyFill="1" applyBorder="1" applyAlignment="1" applyProtection="1">
      <alignment horizontal="center"/>
      <protection locked="0"/>
    </xf>
    <xf numFmtId="38" fontId="57" fillId="0" borderId="192" xfId="21" applyNumberFormat="1" applyFont="1" applyBorder="1" applyAlignment="1" applyProtection="1">
      <alignment horizontal="center"/>
      <protection locked="0"/>
    </xf>
    <xf numFmtId="38" fontId="57" fillId="0" borderId="190" xfId="21" applyNumberFormat="1" applyFont="1" applyBorder="1" applyAlignment="1" applyProtection="1">
      <alignment horizontal="center"/>
      <protection locked="0"/>
    </xf>
    <xf numFmtId="0" fontId="57" fillId="0" borderId="194" xfId="21" applyFont="1" applyBorder="1" applyAlignment="1">
      <alignment horizontal="center"/>
    </xf>
    <xf numFmtId="38" fontId="65" fillId="26" borderId="195" xfId="21" applyNumberFormat="1" applyFont="1" applyFill="1" applyBorder="1" applyAlignment="1" applyProtection="1">
      <alignment horizontal="center"/>
      <protection locked="0"/>
    </xf>
    <xf numFmtId="38" fontId="57" fillId="0" borderId="196" xfId="21" applyNumberFormat="1" applyFont="1" applyBorder="1" applyAlignment="1" applyProtection="1">
      <alignment horizontal="center"/>
      <protection locked="0"/>
    </xf>
    <xf numFmtId="38" fontId="57" fillId="0" borderId="194"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3" xfId="21" applyNumberFormat="1" applyFont="1" applyFill="1" applyBorder="1" applyAlignment="1">
      <alignment horizontal="center"/>
    </xf>
    <xf numFmtId="0" fontId="100" fillId="0" borderId="168" xfId="21" applyFont="1" applyBorder="1"/>
    <xf numFmtId="0" fontId="100" fillId="0" borderId="0" xfId="21" applyFont="1" applyBorder="1"/>
    <xf numFmtId="0" fontId="144" fillId="0" borderId="0" xfId="21" applyFont="1" applyBorder="1"/>
    <xf numFmtId="0" fontId="100" fillId="0" borderId="169" xfId="21" applyFont="1" applyBorder="1"/>
    <xf numFmtId="0" fontId="99" fillId="0" borderId="168" xfId="21" applyFont="1" applyBorder="1"/>
    <xf numFmtId="0" fontId="100" fillId="0" borderId="173" xfId="21" applyFont="1" applyBorder="1"/>
    <xf numFmtId="0" fontId="100" fillId="0" borderId="174" xfId="21" applyFont="1" applyBorder="1"/>
    <xf numFmtId="0" fontId="100" fillId="0" borderId="175" xfId="2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79"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2" fillId="0" borderId="176" xfId="21" applyFont="1" applyBorder="1" applyAlignment="1">
      <alignment horizontal="center"/>
    </xf>
    <xf numFmtId="0" fontId="142" fillId="0" borderId="177" xfId="21" applyFont="1" applyBorder="1" applyAlignment="1">
      <alignment horizontal="center"/>
    </xf>
    <xf numFmtId="0" fontId="142" fillId="0" borderId="178" xfId="21" applyFont="1" applyBorder="1" applyAlignment="1">
      <alignment horizontal="center"/>
    </xf>
    <xf numFmtId="0" fontId="57" fillId="0" borderId="168" xfId="21" applyFont="1" applyBorder="1" applyAlignment="1">
      <alignment wrapText="1"/>
    </xf>
    <xf numFmtId="0" fontId="57" fillId="0" borderId="0" xfId="21" applyFont="1" applyBorder="1" applyAlignment="1">
      <alignment wrapText="1"/>
    </xf>
    <xf numFmtId="0" fontId="57" fillId="0" borderId="169" xfId="21" applyFont="1" applyBorder="1" applyAlignment="1">
      <alignment wrapText="1"/>
    </xf>
    <xf numFmtId="0" fontId="57" fillId="0" borderId="189" xfId="21" applyFont="1" applyBorder="1" applyAlignment="1"/>
    <xf numFmtId="0" fontId="57" fillId="0" borderId="190" xfId="21" applyFont="1" applyBorder="1" applyAlignment="1"/>
    <xf numFmtId="166" fontId="57" fillId="0" borderId="21" xfId="3" applyNumberFormat="1" applyFont="1" applyBorder="1" applyAlignment="1">
      <alignment horizontal="left" vertical="center" indent="1"/>
    </xf>
    <xf numFmtId="166" fontId="57" fillId="0" borderId="180" xfId="3" applyNumberFormat="1" applyFont="1" applyBorder="1" applyAlignment="1">
      <alignment horizontal="left" vertical="center" indent="1"/>
    </xf>
    <xf numFmtId="0" fontId="57" fillId="27" borderId="181" xfId="21" applyFont="1" applyFill="1" applyBorder="1"/>
    <xf numFmtId="0" fontId="57" fillId="27" borderId="77" xfId="21" applyFont="1" applyFill="1" applyBorder="1"/>
    <xf numFmtId="0" fontId="65" fillId="0" borderId="166" xfId="21" applyFont="1" applyBorder="1" applyAlignment="1">
      <alignment horizontal="center" wrapText="1"/>
    </xf>
    <xf numFmtId="0" fontId="65" fillId="0" borderId="167" xfId="21" applyFont="1" applyBorder="1" applyAlignment="1">
      <alignment horizontal="center" wrapText="1"/>
    </xf>
    <xf numFmtId="0" fontId="101" fillId="0" borderId="182"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4" xfId="21" applyFont="1" applyBorder="1" applyAlignment="1"/>
    <xf numFmtId="0" fontId="57" fillId="0" borderId="185" xfId="21" applyFont="1" applyBorder="1" applyAlignment="1"/>
    <xf numFmtId="0" fontId="57" fillId="0" borderId="189" xfId="21" applyFont="1" applyBorder="1" applyAlignment="1">
      <alignment wrapText="1"/>
    </xf>
    <xf numFmtId="0" fontId="57" fillId="0" borderId="190" xfId="21" applyFont="1" applyBorder="1" applyAlignment="1">
      <alignment wrapText="1"/>
    </xf>
    <xf numFmtId="0" fontId="145" fillId="0" borderId="0" xfId="21" applyFont="1" applyBorder="1" applyAlignment="1">
      <alignment horizontal="left" vertical="center" wrapText="1"/>
    </xf>
    <xf numFmtId="0" fontId="101" fillId="0" borderId="0" xfId="21" applyFont="1" applyBorder="1" applyAlignment="1">
      <alignment horizontal="center" vertical="top" wrapText="1"/>
    </xf>
    <xf numFmtId="0" fontId="101" fillId="0" borderId="169" xfId="21" applyFont="1" applyBorder="1" applyAlignment="1">
      <alignment horizontal="center" vertical="top" wrapText="1"/>
    </xf>
    <xf numFmtId="0" fontId="145" fillId="0" borderId="174" xfId="21" applyFont="1" applyBorder="1" applyAlignment="1">
      <alignment horizontal="left" vertical="center" wrapText="1"/>
    </xf>
    <xf numFmtId="0" fontId="57" fillId="0" borderId="193" xfId="21" applyFont="1" applyBorder="1" applyAlignment="1"/>
    <xf numFmtId="0" fontId="57" fillId="0" borderId="194" xfId="21" applyFont="1" applyBorder="1" applyAlignment="1"/>
    <xf numFmtId="0" fontId="65" fillId="0" borderId="181" xfId="21" applyFont="1" applyBorder="1" applyAlignment="1"/>
    <xf numFmtId="0" fontId="65" fillId="0" borderId="77" xfId="21" applyFont="1" applyBorder="1" applyAlignment="1"/>
    <xf numFmtId="0" fontId="145" fillId="0" borderId="169" xfId="2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1038225</xdr:colOff>
          <xdr:row>10</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L32" sqref="L3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400</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2004</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519</v>
      </c>
      <c r="J4" s="2189"/>
      <c r="K4" s="2189"/>
      <c r="L4" s="2189"/>
      <c r="M4" s="2189"/>
      <c r="N4" s="2189"/>
      <c r="O4" s="2189"/>
      <c r="P4" s="2189"/>
      <c r="Q4" s="2189"/>
      <c r="R4" s="2189"/>
      <c r="S4" s="2189"/>
    </row>
    <row r="5" spans="1:32" ht="14.1" customHeight="1" x14ac:dyDescent="0.2">
      <c r="B5" s="101" t="s">
        <v>2027</v>
      </c>
      <c r="C5" s="26" t="s">
        <v>902</v>
      </c>
      <c r="D5" s="81"/>
      <c r="E5" s="81"/>
      <c r="H5" s="38"/>
      <c r="I5" s="2197" t="s">
        <v>673</v>
      </c>
      <c r="J5" s="2142"/>
      <c r="K5" s="2142"/>
      <c r="L5" s="2142"/>
      <c r="M5" s="2142"/>
      <c r="N5" s="2142"/>
      <c r="O5" s="2142"/>
      <c r="P5" s="2142"/>
      <c r="Q5" s="2142"/>
      <c r="R5" s="2142"/>
      <c r="S5" s="2142"/>
      <c r="AF5" s="1885"/>
    </row>
    <row r="6" spans="1:32" ht="14.1" customHeight="1" x14ac:dyDescent="0.2">
      <c r="B6" s="101"/>
      <c r="C6" s="26" t="s">
        <v>903</v>
      </c>
      <c r="D6" s="81"/>
      <c r="E6" s="81"/>
      <c r="I6" s="2196" t="s">
        <v>875</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667</v>
      </c>
      <c r="J9" s="2194"/>
      <c r="K9" s="2194"/>
      <c r="L9" s="2194"/>
      <c r="M9" s="2194"/>
      <c r="N9" s="2194"/>
      <c r="O9" s="2194"/>
      <c r="P9" s="2194"/>
      <c r="Q9" s="2194"/>
      <c r="R9" s="2194"/>
      <c r="S9" s="2195"/>
      <c r="T9" s="2138" t="s">
        <v>528</v>
      </c>
      <c r="U9" s="2139"/>
      <c r="V9" s="2139"/>
      <c r="W9" s="2139"/>
      <c r="X9" s="2139"/>
      <c r="Y9" s="2139"/>
      <c r="Z9" s="2139"/>
      <c r="AA9" s="2140"/>
    </row>
    <row r="10" spans="1:32" ht="13.5" customHeight="1" x14ac:dyDescent="0.2">
      <c r="A10" s="2147" t="s">
        <v>668</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947</v>
      </c>
      <c r="B11" s="2151"/>
      <c r="C11" s="2151"/>
      <c r="D11" s="2151"/>
      <c r="E11" s="2151"/>
      <c r="F11" s="2151"/>
      <c r="G11" s="2151"/>
      <c r="H11" s="2152"/>
      <c r="I11" s="27"/>
      <c r="J11" s="71"/>
      <c r="K11" s="27"/>
      <c r="O11" s="144" t="s">
        <v>2027</v>
      </c>
      <c r="P11" s="97" t="s">
        <v>199</v>
      </c>
      <c r="Q11" s="30"/>
      <c r="R11" s="28"/>
      <c r="S11" s="27"/>
      <c r="T11" s="2144"/>
      <c r="U11" s="2145"/>
      <c r="V11" s="2145"/>
      <c r="W11" s="2145"/>
      <c r="X11" s="2145"/>
      <c r="Y11" s="2145"/>
      <c r="Z11" s="2145"/>
      <c r="AA11" s="2146"/>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58" t="s">
        <v>2028</v>
      </c>
      <c r="B13" s="2159"/>
      <c r="C13" s="2159"/>
      <c r="D13" s="2159"/>
      <c r="E13" s="2159"/>
      <c r="F13" s="2159"/>
      <c r="G13" s="2159"/>
      <c r="H13" s="2160"/>
      <c r="I13" s="31"/>
      <c r="J13" s="30"/>
      <c r="K13" s="28"/>
      <c r="L13" s="30"/>
      <c r="M13" s="30"/>
      <c r="N13" s="30"/>
      <c r="O13" s="30"/>
      <c r="P13" s="30"/>
      <c r="Q13" s="30"/>
      <c r="R13" s="30"/>
      <c r="S13" s="30"/>
      <c r="T13" s="2163" t="s">
        <v>2019</v>
      </c>
      <c r="U13" s="2164"/>
      <c r="V13" s="2164"/>
      <c r="W13" s="2164"/>
      <c r="X13" s="2164"/>
      <c r="Y13" s="2165"/>
      <c r="Z13" s="2165"/>
      <c r="AA13" s="2166"/>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56" t="s">
        <v>2029</v>
      </c>
      <c r="B15" s="2161"/>
      <c r="C15" s="2161"/>
      <c r="D15" s="2161"/>
      <c r="E15" s="2161"/>
      <c r="F15" s="2161"/>
      <c r="G15" s="2161"/>
      <c r="H15" s="2162"/>
      <c r="T15" s="2124" t="s">
        <v>2038</v>
      </c>
      <c r="U15" s="2125"/>
      <c r="V15" s="2125"/>
      <c r="W15" s="2125"/>
      <c r="X15" s="2125"/>
      <c r="Y15" s="2167"/>
      <c r="Z15" s="2167"/>
      <c r="AA15" s="216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6" t="s">
        <v>2030</v>
      </c>
      <c r="B17" s="2186"/>
      <c r="C17" s="2186"/>
      <c r="D17" s="2186"/>
      <c r="E17" s="2186"/>
      <c r="F17" s="2186"/>
      <c r="G17" s="2186"/>
      <c r="H17" s="2187"/>
      <c r="T17" s="2173" t="s">
        <v>2020</v>
      </c>
      <c r="U17" s="2174"/>
      <c r="V17" s="2174"/>
      <c r="W17" s="2174"/>
      <c r="X17" s="2174"/>
      <c r="Y17" s="2174"/>
      <c r="Z17" s="2174"/>
      <c r="AA17" s="2175"/>
    </row>
    <row r="18" spans="1:27" ht="13.5" customHeight="1" x14ac:dyDescent="0.2">
      <c r="A18" s="82" t="s">
        <v>525</v>
      </c>
      <c r="B18" s="73"/>
      <c r="C18" s="69"/>
      <c r="D18" s="73"/>
      <c r="E18" s="73"/>
      <c r="F18" s="73"/>
      <c r="G18" s="73"/>
      <c r="H18" s="53"/>
      <c r="I18" s="2183" t="s">
        <v>669</v>
      </c>
      <c r="J18" s="2184"/>
      <c r="K18" s="2184"/>
      <c r="L18" s="2184"/>
      <c r="M18" s="2184"/>
      <c r="N18" s="2184"/>
      <c r="O18" s="2184"/>
      <c r="P18" s="2184"/>
      <c r="Q18" s="2184"/>
      <c r="R18" s="2184"/>
      <c r="S18" s="2185"/>
      <c r="T18" s="82" t="s">
        <v>704</v>
      </c>
      <c r="U18" s="48"/>
      <c r="V18" s="69"/>
      <c r="W18" s="47"/>
      <c r="X18" s="82" t="s">
        <v>262</v>
      </c>
      <c r="Y18" s="78"/>
      <c r="Z18" s="154" t="s">
        <v>670</v>
      </c>
      <c r="AA18" s="44"/>
    </row>
    <row r="19" spans="1:27" ht="13.5" customHeight="1" x14ac:dyDescent="0.2">
      <c r="A19" s="2156" t="s">
        <v>2031</v>
      </c>
      <c r="B19" s="2157"/>
      <c r="C19" s="2157"/>
      <c r="D19" s="2157"/>
      <c r="E19" s="2157"/>
      <c r="F19" s="2157"/>
      <c r="G19" s="2157"/>
      <c r="H19" s="2155"/>
      <c r="I19" s="30"/>
      <c r="J19" s="96"/>
      <c r="K19" s="40"/>
      <c r="L19" s="38"/>
      <c r="M19" s="109" t="s">
        <v>310</v>
      </c>
      <c r="P19" s="27"/>
      <c r="Q19" s="27"/>
      <c r="R19" s="27"/>
      <c r="S19" s="31"/>
      <c r="T19" s="2156" t="s">
        <v>2021</v>
      </c>
      <c r="U19" s="2154"/>
      <c r="V19" s="2154"/>
      <c r="W19" s="2155"/>
      <c r="X19" s="2171" t="s">
        <v>2022</v>
      </c>
      <c r="Y19" s="2172"/>
      <c r="Z19" s="2169">
        <v>62801</v>
      </c>
      <c r="AA19" s="2170"/>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53" t="s">
        <v>2032</v>
      </c>
      <c r="B21" s="2154"/>
      <c r="C21" s="2154"/>
      <c r="D21" s="2154"/>
      <c r="E21" s="2154"/>
      <c r="F21" s="2154"/>
      <c r="G21" s="2154"/>
      <c r="H21" s="2155"/>
      <c r="I21" s="2179" t="s">
        <v>671</v>
      </c>
      <c r="J21" s="2142"/>
      <c r="K21" s="2142"/>
      <c r="L21" s="2142"/>
      <c r="M21" s="2142"/>
      <c r="N21" s="2142"/>
      <c r="O21" s="2142"/>
      <c r="P21" s="2142"/>
      <c r="Q21" s="2142"/>
      <c r="R21" s="2142"/>
      <c r="S21" s="2143"/>
      <c r="T21" s="2121" t="s">
        <v>2023</v>
      </c>
      <c r="U21" s="2122"/>
      <c r="V21" s="2122"/>
      <c r="W21" s="2122"/>
      <c r="X21" s="2135" t="s">
        <v>2024</v>
      </c>
      <c r="Y21" s="2136"/>
      <c r="Z21" s="2136"/>
      <c r="AA21" s="2137"/>
    </row>
    <row r="22" spans="1:27" ht="13.5" customHeight="1" x14ac:dyDescent="0.2">
      <c r="A22" s="84" t="s">
        <v>526</v>
      </c>
      <c r="B22" s="56"/>
      <c r="C22" s="56"/>
      <c r="D22" s="56"/>
      <c r="E22" s="56"/>
      <c r="F22" s="56"/>
      <c r="G22" s="56"/>
      <c r="H22" s="57"/>
      <c r="I22" s="2180" t="s">
        <v>1413</v>
      </c>
      <c r="J22" s="2181"/>
      <c r="K22" s="2181"/>
      <c r="L22" s="2181"/>
      <c r="M22" s="2181"/>
      <c r="N22" s="2181"/>
      <c r="O22" s="2181"/>
      <c r="P22" s="2181"/>
      <c r="Q22" s="2181"/>
      <c r="R22" s="2181"/>
      <c r="S22" s="2182"/>
      <c r="T22" s="82" t="s">
        <v>1500</v>
      </c>
      <c r="U22" s="48"/>
      <c r="V22" s="69"/>
      <c r="W22" s="48"/>
      <c r="X22" s="155" t="s">
        <v>1307</v>
      </c>
      <c r="Z22" s="43"/>
      <c r="AA22" s="44"/>
    </row>
    <row r="23" spans="1:27" ht="13.5" customHeight="1" x14ac:dyDescent="0.2">
      <c r="A23" s="2176" t="s">
        <v>2033</v>
      </c>
      <c r="B23" s="2177"/>
      <c r="C23" s="2177"/>
      <c r="D23" s="2177"/>
      <c r="E23" s="2177"/>
      <c r="F23" s="2177"/>
      <c r="G23" s="2177"/>
      <c r="H23" s="2178"/>
      <c r="T23" s="2116" t="s">
        <v>2025</v>
      </c>
      <c r="U23" s="2117"/>
      <c r="V23" s="2117"/>
      <c r="W23" s="2117"/>
      <c r="X23" s="2132">
        <v>44530</v>
      </c>
      <c r="Y23" s="2133"/>
      <c r="Z23" s="2133"/>
      <c r="AA23" s="2134"/>
    </row>
    <row r="24" spans="1:27" ht="14.1" customHeight="1" x14ac:dyDescent="0.2">
      <c r="A24" s="85" t="s">
        <v>670</v>
      </c>
      <c r="B24" s="46"/>
      <c r="C24" s="46"/>
      <c r="D24" s="46"/>
      <c r="E24" s="46"/>
      <c r="F24" s="46"/>
      <c r="G24" s="46"/>
      <c r="H24" s="58"/>
      <c r="J24" s="2218">
        <f>IF(B5="x",IF(AUDITCHECK!D29="AFR form Incomplete.","",IF(AUDITCHECK!D29="Deficit reduction plan is required.","School District must complete a deficit reduction plan in the 2019-2020 Budget",)),"")</f>
        <v>0</v>
      </c>
      <c r="K24" s="2218"/>
      <c r="L24" s="2218"/>
      <c r="M24" s="2218"/>
      <c r="N24" s="2218"/>
      <c r="O24" s="2218"/>
      <c r="P24" s="2218"/>
      <c r="Q24" s="2218"/>
      <c r="R24" s="2218"/>
      <c r="S24" s="2219"/>
      <c r="T24" s="102" t="s">
        <v>526</v>
      </c>
      <c r="U24" s="103"/>
      <c r="V24" s="103"/>
      <c r="W24" s="103"/>
      <c r="X24" s="104"/>
      <c r="Y24" s="104"/>
      <c r="Z24" s="104"/>
      <c r="AA24" s="105"/>
    </row>
    <row r="25" spans="1:27" ht="14.1" customHeight="1" x14ac:dyDescent="0.2">
      <c r="A25" s="2153">
        <v>62898</v>
      </c>
      <c r="B25" s="2154"/>
      <c r="C25" s="2154"/>
      <c r="D25" s="2154"/>
      <c r="E25" s="2154"/>
      <c r="F25" s="2154"/>
      <c r="G25" s="2154"/>
      <c r="H25" s="2155"/>
      <c r="I25" s="110"/>
      <c r="J25" s="2220"/>
      <c r="K25" s="2220"/>
      <c r="L25" s="2220"/>
      <c r="M25" s="2220"/>
      <c r="N25" s="2220"/>
      <c r="O25" s="2220"/>
      <c r="P25" s="2220"/>
      <c r="Q25" s="2220"/>
      <c r="R25" s="2220"/>
      <c r="S25" s="2221"/>
      <c r="T25" s="2113" t="s">
        <v>2026</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11" t="s">
        <v>1495</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2027</v>
      </c>
      <c r="K31" s="40" t="s">
        <v>877</v>
      </c>
      <c r="L31" s="144"/>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144" t="s">
        <v>2027</v>
      </c>
      <c r="V34" s="32" t="s">
        <v>411</v>
      </c>
      <c r="W34" s="30"/>
      <c r="X34" s="30"/>
      <c r="AA34" s="45"/>
    </row>
    <row r="35" spans="1:27" ht="13.5" customHeight="1" x14ac:dyDescent="0.2">
      <c r="A35" s="51"/>
      <c r="B35" s="30"/>
      <c r="C35" s="30"/>
      <c r="D35" s="34"/>
      <c r="E35" s="34"/>
      <c r="F35" s="34"/>
      <c r="G35" s="34"/>
      <c r="H35" s="34"/>
      <c r="I35" s="51"/>
      <c r="J35" s="33"/>
      <c r="L35" s="32" t="s">
        <v>701</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6" t="s">
        <v>2034</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526</v>
      </c>
      <c r="B39" s="2210"/>
      <c r="C39" s="69"/>
      <c r="D39" s="66"/>
      <c r="E39" s="66"/>
      <c r="F39" s="76"/>
      <c r="G39" s="66"/>
      <c r="H39" s="53"/>
      <c r="I39" s="2209" t="s">
        <v>526</v>
      </c>
      <c r="J39" s="2210"/>
      <c r="K39" s="2210"/>
      <c r="L39" s="2210"/>
      <c r="M39" s="2210"/>
      <c r="N39" s="64"/>
      <c r="O39" s="69"/>
      <c r="P39" s="69"/>
      <c r="Q39" s="75"/>
      <c r="R39" s="69"/>
      <c r="S39" s="53"/>
      <c r="T39" s="69" t="s">
        <v>526</v>
      </c>
      <c r="U39" s="48"/>
      <c r="V39" s="69"/>
      <c r="W39" s="47"/>
      <c r="X39" s="75"/>
      <c r="Y39" s="43"/>
      <c r="Z39" s="43"/>
      <c r="AA39" s="44"/>
    </row>
    <row r="40" spans="1:27" ht="13.5" customHeight="1" x14ac:dyDescent="0.2">
      <c r="A40" s="2212" t="s">
        <v>2035</v>
      </c>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202" t="s">
        <v>2036</v>
      </c>
      <c r="B42" s="2203"/>
      <c r="C42" s="2204"/>
      <c r="D42" s="2217" t="s">
        <v>2037</v>
      </c>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1145</v>
      </c>
      <c r="B4" s="1771">
        <f>'Revenues 9-14'!C5</f>
        <v>1654304</v>
      </c>
      <c r="C4" s="1772"/>
      <c r="D4" s="1773">
        <f>B4-C4</f>
        <v>1654304</v>
      </c>
      <c r="E4" s="1772">
        <f>176827+539184+956519</f>
        <v>1672530</v>
      </c>
      <c r="F4" s="1773">
        <f>E4-C4</f>
        <v>1672530</v>
      </c>
    </row>
    <row r="5" spans="1:8" ht="13.7" customHeight="1" x14ac:dyDescent="0.2">
      <c r="A5" s="579" t="s">
        <v>863</v>
      </c>
      <c r="B5" s="1774">
        <f>'Revenues 9-14'!D5</f>
        <v>342178</v>
      </c>
      <c r="C5" s="1714"/>
      <c r="D5" s="1775">
        <f t="shared" ref="D5:D18" si="0">B5-C5</f>
        <v>342178</v>
      </c>
      <c r="E5" s="1714">
        <f>49222+94111+218994</f>
        <v>362327</v>
      </c>
      <c r="F5" s="1775">
        <f>E5-C5</f>
        <v>362327</v>
      </c>
    </row>
    <row r="6" spans="1:8" ht="13.7" customHeight="1" x14ac:dyDescent="0.2">
      <c r="A6" s="579" t="s">
        <v>406</v>
      </c>
      <c r="B6" s="1774">
        <f>'Revenues 9-14'!E5</f>
        <v>66178</v>
      </c>
      <c r="C6" s="1714"/>
      <c r="D6" s="1775">
        <f t="shared" si="0"/>
        <v>66178</v>
      </c>
      <c r="E6" s="1714">
        <f>20703+46079</f>
        <v>66782</v>
      </c>
      <c r="F6" s="1775">
        <f t="shared" ref="F6:F18" si="1">E6-C6</f>
        <v>66782</v>
      </c>
    </row>
    <row r="7" spans="1:8" ht="13.7" customHeight="1" x14ac:dyDescent="0.2">
      <c r="A7" s="579" t="s">
        <v>154</v>
      </c>
      <c r="B7" s="1774">
        <f>'Revenues 9-14'!F5</f>
        <v>146647</v>
      </c>
      <c r="C7" s="1714"/>
      <c r="D7" s="1775">
        <f t="shared" si="0"/>
        <v>146647</v>
      </c>
      <c r="E7" s="1714">
        <f>21095+40333+93855</f>
        <v>155283</v>
      </c>
      <c r="F7" s="1775">
        <f t="shared" si="1"/>
        <v>155283</v>
      </c>
    </row>
    <row r="8" spans="1:8" ht="13.7" customHeight="1" x14ac:dyDescent="0.2">
      <c r="A8" s="579" t="s">
        <v>1169</v>
      </c>
      <c r="B8" s="1774">
        <f>'Revenues 9-14'!G5</f>
        <v>52526</v>
      </c>
      <c r="C8" s="1714"/>
      <c r="D8" s="1775">
        <f t="shared" si="0"/>
        <v>52526</v>
      </c>
      <c r="E8" s="1714"/>
      <c r="F8" s="1775">
        <f t="shared" si="1"/>
        <v>0</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34273</v>
      </c>
      <c r="C10" s="1714"/>
      <c r="D10" s="1775">
        <f t="shared" si="0"/>
        <v>34273</v>
      </c>
      <c r="E10" s="1714">
        <f>1033+1156+1730</f>
        <v>3919</v>
      </c>
      <c r="F10" s="1775">
        <f t="shared" si="1"/>
        <v>3919</v>
      </c>
    </row>
    <row r="11" spans="1:8" x14ac:dyDescent="0.2">
      <c r="A11" s="579" t="s">
        <v>404</v>
      </c>
      <c r="B11" s="1774">
        <f>'Revenues 9-14'!J5</f>
        <v>65811</v>
      </c>
      <c r="C11" s="1714"/>
      <c r="D11" s="1775">
        <f t="shared" si="0"/>
        <v>65811</v>
      </c>
      <c r="E11" s="1714"/>
      <c r="F11" s="1775">
        <f t="shared" si="1"/>
        <v>0</v>
      </c>
    </row>
    <row r="12" spans="1:8" ht="13.7" customHeight="1" x14ac:dyDescent="0.2">
      <c r="A12" s="579" t="s">
        <v>156</v>
      </c>
      <c r="B12" s="1774">
        <f>'Revenues 9-14'!K5</f>
        <v>34273</v>
      </c>
      <c r="C12" s="1714"/>
      <c r="D12" s="1775">
        <f t="shared" si="0"/>
        <v>34273</v>
      </c>
      <c r="E12" s="1714">
        <f>7032+13444+15642</f>
        <v>36118</v>
      </c>
      <c r="F12" s="1775">
        <f t="shared" si="1"/>
        <v>36118</v>
      </c>
    </row>
    <row r="13" spans="1:8" ht="13.7" customHeight="1" x14ac:dyDescent="0.2">
      <c r="A13" s="579" t="s">
        <v>928</v>
      </c>
      <c r="B13" s="1774">
        <f>SUM('Revenues 9-14'!C6:D6)</f>
        <v>17373</v>
      </c>
      <c r="C13" s="1714"/>
      <c r="D13" s="1775">
        <f t="shared" si="0"/>
        <v>17373</v>
      </c>
      <c r="E13" s="1714">
        <f>3516+7080+7865</f>
        <v>18461</v>
      </c>
      <c r="F13" s="1775">
        <f t="shared" si="1"/>
        <v>18461</v>
      </c>
    </row>
    <row r="14" spans="1:8" ht="13.7" customHeight="1" x14ac:dyDescent="0.2">
      <c r="A14" s="579" t="s">
        <v>405</v>
      </c>
      <c r="B14" s="1774">
        <f>SUM('Revenues 9-14'!C7:D7,'Revenues 9-14'!F7:H7)</f>
        <v>153158</v>
      </c>
      <c r="C14" s="1714"/>
      <c r="D14" s="1775">
        <f t="shared" si="0"/>
        <v>153158</v>
      </c>
      <c r="E14" s="1714">
        <f>14064+53777+93855</f>
        <v>161696</v>
      </c>
      <c r="F14" s="1775">
        <f t="shared" si="1"/>
        <v>161696</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69233</v>
      </c>
      <c r="C16" s="1714"/>
      <c r="D16" s="1775">
        <f t="shared" si="0"/>
        <v>69233</v>
      </c>
      <c r="E16" s="1714"/>
      <c r="F16" s="1775">
        <f t="shared" si="1"/>
        <v>0</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2635954</v>
      </c>
      <c r="C19" s="1776">
        <f>SUM(C4:C18)</f>
        <v>0</v>
      </c>
      <c r="D19" s="1776">
        <f>SUM(D4:D18)</f>
        <v>2635954</v>
      </c>
      <c r="E19" s="1776">
        <f>SUM(E4:E18)</f>
        <v>2477116</v>
      </c>
      <c r="F19" s="1776">
        <f>SUM(F4:F18)</f>
        <v>2477116</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E15" sqref="E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623</v>
      </c>
      <c r="B1" s="2367"/>
      <c r="C1" s="585"/>
    </row>
    <row r="2" spans="1:7" ht="33.75" x14ac:dyDescent="0.2">
      <c r="A2" s="2375" t="s">
        <v>1780</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1104</v>
      </c>
      <c r="B3" s="2380"/>
      <c r="C3" s="2368"/>
      <c r="D3" s="2369"/>
      <c r="E3" s="2369"/>
      <c r="F3" s="2370"/>
    </row>
    <row r="4" spans="1:7" ht="12.75" customHeight="1" thickBot="1" x14ac:dyDescent="0.25">
      <c r="A4" s="2377" t="s">
        <v>624</v>
      </c>
      <c r="B4" s="2378"/>
      <c r="C4" s="1706"/>
      <c r="D4" s="1706"/>
      <c r="E4" s="1706"/>
      <c r="F4" s="1782">
        <f>SUM(C4+D4)-E4</f>
        <v>0</v>
      </c>
    </row>
    <row r="5" spans="1:7" ht="15.75" customHeight="1" thickTop="1" x14ac:dyDescent="0.2">
      <c r="A5" s="2362" t="s">
        <v>1101</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64" t="s">
        <v>625</v>
      </c>
      <c r="B15" s="2365"/>
      <c r="C15" s="1782">
        <f>SUM(C6:C14)</f>
        <v>0</v>
      </c>
      <c r="D15" s="1782">
        <f>SUM(D6:D14)</f>
        <v>0</v>
      </c>
      <c r="E15" s="1782">
        <f>SUM(E6:E14)</f>
        <v>0</v>
      </c>
      <c r="F15" s="1782">
        <f>SUM(F6:F14)</f>
        <v>0</v>
      </c>
      <c r="G15" s="473"/>
    </row>
    <row r="16" spans="1:7" s="197" customFormat="1" ht="15.75" customHeight="1" thickTop="1" x14ac:dyDescent="0.2">
      <c r="A16" s="2374" t="s">
        <v>1102</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383</v>
      </c>
      <c r="B19" s="2388"/>
      <c r="C19" s="1783"/>
      <c r="D19" s="1714"/>
      <c r="E19" s="1783"/>
      <c r="F19" s="1782">
        <f>SUM(C19+D19)-E19</f>
        <v>0</v>
      </c>
    </row>
    <row r="20" spans="1:11" ht="12.75" customHeight="1" thickTop="1" thickBot="1" x14ac:dyDescent="0.25">
      <c r="A20" s="2387" t="s">
        <v>443</v>
      </c>
      <c r="B20" s="2388"/>
      <c r="C20" s="1783"/>
      <c r="D20" s="1714"/>
      <c r="E20" s="1783"/>
      <c r="F20" s="1782">
        <f>SUM(C20+D20)-E20</f>
        <v>0</v>
      </c>
    </row>
    <row r="21" spans="1:11" ht="14.25" thickTop="1" thickBot="1" x14ac:dyDescent="0.25">
      <c r="A21" s="2364" t="s">
        <v>626</v>
      </c>
      <c r="B21" s="2365"/>
      <c r="C21" s="1782">
        <f>SUM(C17:C20)</f>
        <v>0</v>
      </c>
      <c r="D21" s="1782">
        <f>SUM(D17:D20)</f>
        <v>0</v>
      </c>
      <c r="E21" s="1782">
        <f>SUM(E17:E20)</f>
        <v>0</v>
      </c>
      <c r="F21" s="1782">
        <f>SUM(F17:F20)</f>
        <v>0</v>
      </c>
      <c r="G21" s="473"/>
    </row>
    <row r="22" spans="1:11" ht="15.75" customHeight="1" thickTop="1" x14ac:dyDescent="0.2">
      <c r="A22" s="2389" t="s">
        <v>1103</v>
      </c>
      <c r="B22" s="2363"/>
      <c r="C22" s="2371"/>
      <c r="D22" s="2372"/>
      <c r="E22" s="2372"/>
      <c r="F22" s="2373"/>
    </row>
    <row r="23" spans="1:11" ht="13.5" thickBot="1" x14ac:dyDescent="0.25">
      <c r="A23" s="2377" t="s">
        <v>627</v>
      </c>
      <c r="B23" s="2378"/>
      <c r="C23" s="1706"/>
      <c r="D23" s="1706"/>
      <c r="E23" s="1706"/>
      <c r="F23" s="1782">
        <f>SUM(C23+D23)-E23</f>
        <v>0</v>
      </c>
      <c r="G23" s="473"/>
    </row>
    <row r="24" spans="1:11" ht="15.75" customHeight="1" thickTop="1" x14ac:dyDescent="0.2">
      <c r="A24" s="2389" t="s">
        <v>2007</v>
      </c>
      <c r="B24" s="2363"/>
      <c r="C24" s="2371"/>
      <c r="D24" s="2372"/>
      <c r="E24" s="2372"/>
      <c r="F24" s="2373"/>
    </row>
    <row r="25" spans="1:11" ht="13.5" thickBot="1" x14ac:dyDescent="0.25">
      <c r="A25" s="2377" t="s">
        <v>2008</v>
      </c>
      <c r="B25" s="2378"/>
      <c r="C25" s="1706"/>
      <c r="D25" s="1706"/>
      <c r="E25" s="1706"/>
      <c r="F25" s="1782">
        <f>SUM(C25+D25)-E25</f>
        <v>0</v>
      </c>
      <c r="G25" s="473"/>
    </row>
    <row r="26" spans="1:11" ht="15.75" customHeight="1" thickTop="1" x14ac:dyDescent="0.2">
      <c r="A26" s="2362" t="s">
        <v>650</v>
      </c>
      <c r="B26" s="2363"/>
      <c r="C26" s="589"/>
      <c r="D26" s="589"/>
      <c r="E26" s="589"/>
      <c r="F26" s="590"/>
    </row>
    <row r="27" spans="1:11" ht="13.5" thickBot="1" x14ac:dyDescent="0.25">
      <c r="A27" s="2364" t="s">
        <v>1061</v>
      </c>
      <c r="B27" s="2365"/>
      <c r="C27" s="1714"/>
      <c r="D27" s="1714"/>
      <c r="E27" s="1714"/>
      <c r="F27" s="1782">
        <f>SUM(C27+D27)-E27</f>
        <v>0</v>
      </c>
      <c r="G27" s="473"/>
    </row>
    <row r="28" spans="1:11" ht="7.5" customHeight="1" thickTop="1" x14ac:dyDescent="0.2">
      <c r="A28" s="489"/>
    </row>
    <row r="29" spans="1:11" ht="23.25" customHeight="1" x14ac:dyDescent="0.2">
      <c r="A29" s="2390" t="s">
        <v>576</v>
      </c>
      <c r="B29" s="2367"/>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2040</v>
      </c>
      <c r="B31" s="595">
        <v>41037</v>
      </c>
      <c r="C31" s="1784">
        <v>575000</v>
      </c>
      <c r="D31" s="1785">
        <v>6</v>
      </c>
      <c r="E31" s="1784">
        <v>251600</v>
      </c>
      <c r="F31" s="1784"/>
      <c r="G31" s="1784"/>
      <c r="H31" s="1784">
        <v>60300</v>
      </c>
      <c r="I31" s="1786">
        <f>((E31+F31)-H31)+G31</f>
        <v>191300</v>
      </c>
      <c r="J31" s="1784">
        <v>184277</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575000</v>
      </c>
      <c r="D49" s="1792"/>
      <c r="E49" s="1786">
        <f t="shared" ref="E49:J49" si="2">SUM(E31:E48)</f>
        <v>251600</v>
      </c>
      <c r="F49" s="1786">
        <f t="shared" si="2"/>
        <v>0</v>
      </c>
      <c r="G49" s="1786">
        <f t="shared" si="2"/>
        <v>0</v>
      </c>
      <c r="H49" s="1786">
        <f t="shared" si="2"/>
        <v>60300</v>
      </c>
      <c r="I49" s="1786">
        <f t="shared" si="2"/>
        <v>191300</v>
      </c>
      <c r="J49" s="1786">
        <f t="shared" si="2"/>
        <v>184277</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81" t="s">
        <v>578</v>
      </c>
      <c r="C52" s="2382"/>
      <c r="D52" s="2382"/>
      <c r="E52" s="603" t="s">
        <v>838</v>
      </c>
      <c r="F52" s="2383"/>
      <c r="G52" s="2384"/>
      <c r="H52" s="596"/>
      <c r="I52" s="596"/>
      <c r="J52" s="600"/>
    </row>
    <row r="53" spans="1:11" ht="11.25" customHeight="1" x14ac:dyDescent="0.2">
      <c r="A53" s="604" t="s">
        <v>905</v>
      </c>
      <c r="B53" s="605" t="s">
        <v>943</v>
      </c>
      <c r="C53" s="600"/>
      <c r="D53" s="597"/>
      <c r="E53" s="603" t="s">
        <v>492</v>
      </c>
      <c r="F53" s="2385"/>
      <c r="G53" s="2386"/>
      <c r="H53" s="596"/>
      <c r="I53" s="596"/>
      <c r="J53" s="600"/>
    </row>
    <row r="54" spans="1:11" ht="11.25" customHeight="1" x14ac:dyDescent="0.2">
      <c r="A54" s="606" t="s">
        <v>906</v>
      </c>
      <c r="B54" s="601" t="s">
        <v>944</v>
      </c>
      <c r="C54" s="600"/>
      <c r="D54" s="597"/>
      <c r="E54" s="603" t="s">
        <v>493</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849</v>
      </c>
      <c r="B1" s="2418"/>
      <c r="C1" s="2418"/>
      <c r="D1" s="2418"/>
      <c r="E1" s="2418"/>
      <c r="F1" s="2418"/>
      <c r="G1" s="2419"/>
      <c r="H1" s="1343"/>
      <c r="I1" s="614"/>
      <c r="J1" s="400"/>
    </row>
    <row r="2" spans="1:11" ht="26.25" x14ac:dyDescent="0.2">
      <c r="A2" s="2394" t="s">
        <v>1659</v>
      </c>
      <c r="B2" s="2395"/>
      <c r="C2" s="2395"/>
      <c r="D2" s="2395"/>
      <c r="E2" s="2396"/>
      <c r="F2" s="615" t="s">
        <v>896</v>
      </c>
      <c r="G2" s="616" t="s">
        <v>1656</v>
      </c>
      <c r="H2" s="616" t="s">
        <v>405</v>
      </c>
      <c r="I2" s="616" t="s">
        <v>1148</v>
      </c>
      <c r="J2" s="616" t="s">
        <v>1790</v>
      </c>
      <c r="K2" s="616" t="s">
        <v>137</v>
      </c>
    </row>
    <row r="3" spans="1:11" x14ac:dyDescent="0.2">
      <c r="A3" s="2397" t="str">
        <f>"Cash Basis Fund Balance as of July 1, "&amp;'AFR20'!E2-1</f>
        <v>Cash Basis Fund Balance as of July 1, 2019</v>
      </c>
      <c r="B3" s="2398"/>
      <c r="C3" s="2398"/>
      <c r="D3" s="2398"/>
      <c r="E3" s="2399"/>
      <c r="F3" s="617"/>
      <c r="G3" s="1794">
        <v>0</v>
      </c>
      <c r="H3" s="1794">
        <v>0</v>
      </c>
      <c r="I3" s="1794">
        <v>0</v>
      </c>
      <c r="J3" s="1795">
        <v>0</v>
      </c>
      <c r="K3" s="1795">
        <v>0</v>
      </c>
    </row>
    <row r="4" spans="1:11" x14ac:dyDescent="0.2">
      <c r="A4" s="2400" t="s">
        <v>364</v>
      </c>
      <c r="B4" s="2401"/>
      <c r="C4" s="2401"/>
      <c r="D4" s="2401"/>
      <c r="E4" s="2382"/>
      <c r="F4" s="620"/>
      <c r="G4" s="1796"/>
      <c r="H4" s="1797"/>
      <c r="I4" s="1796"/>
      <c r="J4" s="1798"/>
      <c r="K4" s="1798"/>
    </row>
    <row r="5" spans="1:11" x14ac:dyDescent="0.2">
      <c r="A5" s="2420" t="s">
        <v>1060</v>
      </c>
      <c r="B5" s="2391"/>
      <c r="C5" s="2391"/>
      <c r="D5" s="2391"/>
      <c r="E5" s="2421"/>
      <c r="F5" s="622" t="s">
        <v>841</v>
      </c>
      <c r="G5" s="1799"/>
      <c r="H5" s="1794">
        <v>153158</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v>6414</v>
      </c>
    </row>
    <row r="10" spans="1:11" x14ac:dyDescent="0.2">
      <c r="A10" s="2420" t="s">
        <v>1791</v>
      </c>
      <c r="B10" s="2391"/>
      <c r="C10" s="2391"/>
      <c r="D10" s="2391"/>
      <c r="E10" s="2422"/>
      <c r="F10" s="633" t="s">
        <v>855</v>
      </c>
      <c r="G10" s="1803"/>
      <c r="H10" s="1804"/>
      <c r="I10" s="1794"/>
      <c r="J10" s="1795"/>
      <c r="K10" s="1795"/>
    </row>
    <row r="11" spans="1:11" x14ac:dyDescent="0.2">
      <c r="A11" s="2420" t="s">
        <v>159</v>
      </c>
      <c r="B11" s="2391"/>
      <c r="C11" s="2391"/>
      <c r="D11" s="2391"/>
      <c r="E11" s="2421"/>
      <c r="F11" s="622" t="s">
        <v>845</v>
      </c>
      <c r="G11" s="1799"/>
      <c r="H11" s="1794"/>
      <c r="I11" s="1794"/>
      <c r="J11" s="1795"/>
      <c r="K11" s="1801"/>
    </row>
    <row r="12" spans="1:11" ht="13.5" thickBot="1" x14ac:dyDescent="0.25">
      <c r="A12" s="2408" t="s">
        <v>897</v>
      </c>
      <c r="B12" s="2409"/>
      <c r="C12" s="2409"/>
      <c r="D12" s="2409"/>
      <c r="E12" s="2410"/>
      <c r="F12" s="1482"/>
      <c r="G12" s="1805">
        <f>SUM(G5:G11)</f>
        <v>0</v>
      </c>
      <c r="H12" s="1805">
        <f>SUM(H5:H11)</f>
        <v>153158</v>
      </c>
      <c r="I12" s="1805">
        <f>SUM(I5:I11)</f>
        <v>0</v>
      </c>
      <c r="J12" s="1805">
        <f>SUM(J5:J11)</f>
        <v>0</v>
      </c>
      <c r="K12" s="1805">
        <f>SUM(K5:K11)</f>
        <v>6414</v>
      </c>
    </row>
    <row r="13" spans="1:11" ht="13.5" thickTop="1" x14ac:dyDescent="0.2">
      <c r="A13" s="2402" t="s">
        <v>365</v>
      </c>
      <c r="B13" s="2403"/>
      <c r="C13" s="2403"/>
      <c r="D13" s="2403"/>
      <c r="E13" s="2404"/>
      <c r="F13" s="634"/>
      <c r="G13" s="1806"/>
      <c r="H13" s="1807"/>
      <c r="I13" s="1808"/>
      <c r="J13" s="1808"/>
      <c r="K13" s="1808"/>
    </row>
    <row r="14" spans="1:11" x14ac:dyDescent="0.2">
      <c r="A14" s="2426" t="s">
        <v>451</v>
      </c>
      <c r="B14" s="2426"/>
      <c r="C14" s="2426"/>
      <c r="D14" s="2426"/>
      <c r="E14" s="2427"/>
      <c r="F14" s="635" t="s">
        <v>847</v>
      </c>
      <c r="G14" s="1803"/>
      <c r="H14" s="1794">
        <v>153158</v>
      </c>
      <c r="I14" s="1799"/>
      <c r="J14" s="1801"/>
      <c r="K14" s="1795">
        <v>6414</v>
      </c>
    </row>
    <row r="15" spans="1:11" x14ac:dyDescent="0.2">
      <c r="A15" s="2391" t="s">
        <v>4</v>
      </c>
      <c r="B15" s="2391"/>
      <c r="C15" s="2391"/>
      <c r="D15" s="2391"/>
      <c r="E15" s="2421"/>
      <c r="F15" s="635" t="s">
        <v>848</v>
      </c>
      <c r="G15" s="1799"/>
      <c r="H15" s="1794"/>
      <c r="I15" s="1794"/>
      <c r="J15" s="1795"/>
      <c r="K15" s="1795"/>
    </row>
    <row r="16" spans="1:11" x14ac:dyDescent="0.2">
      <c r="A16" s="2391" t="s">
        <v>293</v>
      </c>
      <c r="B16" s="2391"/>
      <c r="C16" s="2391"/>
      <c r="D16" s="2391"/>
      <c r="E16" s="2421"/>
      <c r="F16" s="635" t="s">
        <v>915</v>
      </c>
      <c r="G16" s="1800"/>
      <c r="H16" s="1796"/>
      <c r="I16" s="1796"/>
      <c r="J16" s="1798"/>
      <c r="K16" s="1798"/>
    </row>
    <row r="17" spans="1:15" x14ac:dyDescent="0.2">
      <c r="A17" s="2415" t="s">
        <v>927</v>
      </c>
      <c r="B17" s="2415"/>
      <c r="C17" s="2415"/>
      <c r="D17" s="2415"/>
      <c r="E17" s="2416"/>
      <c r="F17" s="636"/>
      <c r="G17" s="1809"/>
      <c r="H17" s="1810"/>
      <c r="I17" s="1810"/>
      <c r="J17" s="1811"/>
      <c r="K17" s="1812"/>
    </row>
    <row r="18" spans="1:15" x14ac:dyDescent="0.2">
      <c r="A18" s="2405" t="s">
        <v>363</v>
      </c>
      <c r="B18" s="2406"/>
      <c r="C18" s="2406"/>
      <c r="D18" s="2406"/>
      <c r="E18" s="2407"/>
      <c r="F18" s="635" t="s">
        <v>924</v>
      </c>
      <c r="G18" s="1803"/>
      <c r="H18" s="1803"/>
      <c r="I18" s="1803"/>
      <c r="J18" s="1795"/>
      <c r="K18" s="1813"/>
    </row>
    <row r="19" spans="1:15" ht="21.75" customHeight="1" x14ac:dyDescent="0.2">
      <c r="A19" s="2428" t="s">
        <v>1787</v>
      </c>
      <c r="B19" s="2428"/>
      <c r="C19" s="2428"/>
      <c r="D19" s="2428"/>
      <c r="E19" s="2429"/>
      <c r="F19" s="635" t="s">
        <v>925</v>
      </c>
      <c r="G19" s="1803"/>
      <c r="H19" s="1803"/>
      <c r="I19" s="1803"/>
      <c r="J19" s="1795"/>
      <c r="K19" s="1813"/>
    </row>
    <row r="20" spans="1:15" x14ac:dyDescent="0.2">
      <c r="A20" s="2405" t="s">
        <v>1792</v>
      </c>
      <c r="B20" s="2406"/>
      <c r="C20" s="2406"/>
      <c r="D20" s="2406"/>
      <c r="E20" s="2407"/>
      <c r="F20" s="635" t="s">
        <v>926</v>
      </c>
      <c r="G20" s="1803"/>
      <c r="H20" s="1803"/>
      <c r="I20" s="1803"/>
      <c r="J20" s="1795"/>
      <c r="K20" s="1813"/>
    </row>
    <row r="21" spans="1:15" ht="13.5" thickBot="1" x14ac:dyDescent="0.25">
      <c r="A21" s="2411" t="s">
        <v>631</v>
      </c>
      <c r="B21" s="2411"/>
      <c r="C21" s="2411"/>
      <c r="D21" s="2411"/>
      <c r="E21" s="2411"/>
      <c r="F21" s="1483"/>
      <c r="G21" s="1810"/>
      <c r="H21" s="1814"/>
      <c r="I21" s="1814"/>
      <c r="J21" s="1815">
        <f>SUM(J18:J20)</f>
        <v>0</v>
      </c>
      <c r="K21" s="1811"/>
    </row>
    <row r="22" spans="1:15" ht="13.5" thickTop="1" x14ac:dyDescent="0.2">
      <c r="A22" s="2391" t="s">
        <v>1793</v>
      </c>
      <c r="B22" s="2391"/>
      <c r="C22" s="2391"/>
      <c r="D22" s="2391"/>
      <c r="E22" s="2421"/>
      <c r="F22" s="635" t="s">
        <v>855</v>
      </c>
      <c r="G22" s="1803"/>
      <c r="H22" s="1794"/>
      <c r="I22" s="1794"/>
      <c r="J22" s="1816"/>
      <c r="K22" s="1795"/>
    </row>
    <row r="23" spans="1:15" ht="13.5" thickBot="1" x14ac:dyDescent="0.25">
      <c r="A23" s="2412" t="s">
        <v>898</v>
      </c>
      <c r="B23" s="2411"/>
      <c r="C23" s="2411"/>
      <c r="D23" s="2411"/>
      <c r="E23" s="2411"/>
      <c r="F23" s="1485"/>
      <c r="G23" s="1805">
        <f>SUM(G14:G16,G21,G22)</f>
        <v>0</v>
      </c>
      <c r="H23" s="1805">
        <f>SUM(H14:H16,H21,H22)</f>
        <v>153158</v>
      </c>
      <c r="I23" s="1805">
        <f>SUM(I14:I16,I21,I22)</f>
        <v>0</v>
      </c>
      <c r="J23" s="1805">
        <f>SUM(J14:J16,J21,J22)</f>
        <v>0</v>
      </c>
      <c r="K23" s="1805">
        <f>SUM(K14:K16,K21,K22)</f>
        <v>6414</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423"/>
      <c r="I31" s="2424"/>
      <c r="J31" s="2424"/>
      <c r="K31" s="2424"/>
    </row>
    <row r="32" spans="1:15" x14ac:dyDescent="0.2">
      <c r="A32" s="649"/>
      <c r="B32" s="232"/>
      <c r="C32" s="232"/>
      <c r="D32" s="232"/>
      <c r="E32" s="645"/>
      <c r="F32" s="651" t="s">
        <v>535</v>
      </c>
      <c r="G32" s="618"/>
      <c r="H32" s="2425"/>
      <c r="I32" s="2424"/>
      <c r="J32" s="2424"/>
      <c r="K32" s="2424"/>
    </row>
    <row r="33" spans="1:11" ht="1.5" customHeight="1" x14ac:dyDescent="0.2">
      <c r="A33" s="652" t="s">
        <v>1159</v>
      </c>
      <c r="B33" s="341"/>
      <c r="C33" s="341"/>
      <c r="D33" s="341"/>
      <c r="E33" s="341"/>
      <c r="F33" s="341"/>
      <c r="G33" s="653"/>
      <c r="H33" s="2425"/>
      <c r="I33" s="2424"/>
      <c r="J33" s="2424"/>
      <c r="K33" s="2424"/>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1" t="s">
        <v>536</v>
      </c>
      <c r="B41" s="2392"/>
      <c r="C41" s="2392"/>
      <c r="D41" s="2392"/>
      <c r="E41" s="2392"/>
      <c r="F41" s="2393"/>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5" sqref="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1876</v>
      </c>
      <c r="B1" s="2433"/>
      <c r="C1" s="2434"/>
      <c r="D1" s="666"/>
      <c r="E1" s="667"/>
      <c r="F1" s="667"/>
      <c r="G1" s="668"/>
      <c r="H1" s="669"/>
      <c r="I1" s="670"/>
      <c r="J1" s="2430"/>
      <c r="K1" s="2431"/>
      <c r="L1" s="2431"/>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v>26166</v>
      </c>
      <c r="D5" s="1820"/>
      <c r="E5" s="1820"/>
      <c r="F5" s="1815">
        <f>(C5+D5)-E5</f>
        <v>26166</v>
      </c>
      <c r="G5" s="676"/>
      <c r="H5" s="680"/>
      <c r="I5" s="680"/>
      <c r="J5" s="680"/>
      <c r="K5" s="637"/>
      <c r="L5" s="1491">
        <f>F5-K5</f>
        <v>26166</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6949639</v>
      </c>
      <c r="D8" s="1821">
        <f>3891+73533</f>
        <v>77424</v>
      </c>
      <c r="E8" s="1821"/>
      <c r="F8" s="1815">
        <f>(C8+D8)-E8</f>
        <v>7027063</v>
      </c>
      <c r="G8" s="681">
        <v>50</v>
      </c>
      <c r="H8" s="619">
        <v>3142332</v>
      </c>
      <c r="I8" s="619">
        <v>140770</v>
      </c>
      <c r="J8" s="619"/>
      <c r="K8" s="1491">
        <f>(H8+I8)-J8</f>
        <v>3283102</v>
      </c>
      <c r="L8" s="1491">
        <f>F8-K8</f>
        <v>3743961</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220045</v>
      </c>
      <c r="D10" s="1822">
        <v>9564</v>
      </c>
      <c r="E10" s="1822"/>
      <c r="F10" s="1823">
        <f>(C10+D10)-E10</f>
        <v>229609</v>
      </c>
      <c r="G10" s="681">
        <v>20</v>
      </c>
      <c r="H10" s="683">
        <v>117875</v>
      </c>
      <c r="I10" s="683">
        <v>8626</v>
      </c>
      <c r="J10" s="683"/>
      <c r="K10" s="1491">
        <f>(H10+I10)-J10</f>
        <v>126501</v>
      </c>
      <c r="L10" s="1491">
        <f>F10-K10</f>
        <v>103108</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1867704</v>
      </c>
      <c r="D12" s="1821">
        <f>1306+19266+4372+9449+19225+3500+10000+8100+11185+25997</f>
        <v>112400</v>
      </c>
      <c r="E12" s="1821"/>
      <c r="F12" s="1815">
        <f>(C12+D12)-E12</f>
        <v>1980104</v>
      </c>
      <c r="G12" s="681">
        <v>10</v>
      </c>
      <c r="H12" s="619">
        <v>1580195</v>
      </c>
      <c r="I12" s="619">
        <f>2920+50930</f>
        <v>53850</v>
      </c>
      <c r="J12" s="619"/>
      <c r="K12" s="1491">
        <f>(H12+I12)-J12</f>
        <v>1634045</v>
      </c>
      <c r="L12" s="1491">
        <f>F12-K12</f>
        <v>346059</v>
      </c>
    </row>
    <row r="13" spans="1:14" ht="14.25" thickTop="1" thickBot="1" x14ac:dyDescent="0.25">
      <c r="A13" s="684" t="s">
        <v>1112</v>
      </c>
      <c r="B13" s="679">
        <v>252</v>
      </c>
      <c r="C13" s="1821">
        <v>37919</v>
      </c>
      <c r="D13" s="1821"/>
      <c r="E13" s="1821"/>
      <c r="F13" s="1815">
        <f>(C13+D13)-E13</f>
        <v>37919</v>
      </c>
      <c r="G13" s="681">
        <v>5</v>
      </c>
      <c r="H13" s="619">
        <v>27427</v>
      </c>
      <c r="I13" s="619">
        <v>4497</v>
      </c>
      <c r="J13" s="619"/>
      <c r="K13" s="1491">
        <f>(H13+I13)-J13</f>
        <v>31924</v>
      </c>
      <c r="L13" s="1491">
        <f>F13-K13</f>
        <v>5995</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c r="E15" s="1821"/>
      <c r="F15" s="1815">
        <f>(C15+D15)-E15</f>
        <v>0</v>
      </c>
      <c r="G15" s="685" t="s">
        <v>855</v>
      </c>
      <c r="H15" s="632"/>
      <c r="I15" s="632"/>
      <c r="J15" s="632"/>
      <c r="K15" s="632"/>
      <c r="L15" s="1491">
        <f>F15-K15</f>
        <v>0</v>
      </c>
    </row>
    <row r="16" spans="1:14" ht="15" customHeight="1" thickTop="1" thickBot="1" x14ac:dyDescent="0.25">
      <c r="A16" s="1487" t="s">
        <v>636</v>
      </c>
      <c r="B16" s="1488">
        <v>200</v>
      </c>
      <c r="C16" s="1815">
        <f>SUM(C3,C5:C6,C8:C10,C12:C15)</f>
        <v>9101473</v>
      </c>
      <c r="D16" s="1815">
        <f>SUM(D3,D5:D6,D8:D10,D12:D15)</f>
        <v>199388</v>
      </c>
      <c r="E16" s="1815">
        <f>SUM(E3,E5:E6,E8:E10,E12:E15)</f>
        <v>0</v>
      </c>
      <c r="F16" s="1815">
        <f>SUM(F3,F5:F6,F8:F10,F12:F15)</f>
        <v>9300861</v>
      </c>
      <c r="G16" s="681"/>
      <c r="H16" s="1484">
        <f>SUM(H3,H6,H8:H10,H12:H14,)</f>
        <v>4867829</v>
      </c>
      <c r="I16" s="1484">
        <f>SUM(I3,I6,I8:I10,I12:I14,)</f>
        <v>207743</v>
      </c>
      <c r="J16" s="1484">
        <f>SUM(J3,J6,J8:J10,J12:J14,)</f>
        <v>0</v>
      </c>
      <c r="K16" s="1484">
        <f>(H16+I16)-J16</f>
        <v>5075572</v>
      </c>
      <c r="L16" s="1484">
        <f>F16-K16</f>
        <v>4225289</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207743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6" activePane="bottomLeft" state="frozen"/>
      <selection activeCell="D37" sqref="D37"/>
      <selection pane="bottomLeft" activeCell="D37" sqref="D3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472</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4"/>
      <c r="B5" s="2445"/>
      <c r="C5" s="2445"/>
      <c r="D5" s="2445"/>
      <c r="E5" s="2445"/>
      <c r="F5" s="2445"/>
    </row>
    <row r="6" spans="1:9" ht="13.5" customHeight="1" thickBot="1" x14ac:dyDescent="0.25">
      <c r="A6" s="2435" t="s">
        <v>1095</v>
      </c>
      <c r="B6" s="2436"/>
      <c r="C6" s="2436"/>
      <c r="D6" s="2436"/>
      <c r="E6" s="2436"/>
      <c r="F6" s="2437"/>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4119972</v>
      </c>
      <c r="G8" s="701"/>
    </row>
    <row r="9" spans="1:9" x14ac:dyDescent="0.2">
      <c r="A9" s="705" t="s">
        <v>455</v>
      </c>
      <c r="B9" s="706" t="s">
        <v>1849</v>
      </c>
      <c r="C9" s="707"/>
      <c r="D9" s="705" t="s">
        <v>496</v>
      </c>
      <c r="E9" s="704"/>
      <c r="F9" s="1825">
        <f>'Expenditures 15-22'!K151</f>
        <v>444415</v>
      </c>
      <c r="G9" s="708"/>
    </row>
    <row r="10" spans="1:9" x14ac:dyDescent="0.2">
      <c r="A10" s="705" t="s">
        <v>494</v>
      </c>
      <c r="B10" s="706" t="s">
        <v>1850</v>
      </c>
      <c r="C10" s="707"/>
      <c r="D10" s="705" t="s">
        <v>496</v>
      </c>
      <c r="E10" s="704"/>
      <c r="F10" s="1825">
        <f>'Expenditures 15-22'!K174</f>
        <v>66815</v>
      </c>
      <c r="G10" s="708"/>
    </row>
    <row r="11" spans="1:9" x14ac:dyDescent="0.2">
      <c r="A11" s="705" t="s">
        <v>456</v>
      </c>
      <c r="B11" s="706" t="s">
        <v>1851</v>
      </c>
      <c r="C11" s="707"/>
      <c r="D11" s="705" t="s">
        <v>496</v>
      </c>
      <c r="E11" s="704"/>
      <c r="F11" s="1825">
        <f>'Expenditures 15-22'!K210</f>
        <v>301733</v>
      </c>
      <c r="G11" s="708"/>
    </row>
    <row r="12" spans="1:9" x14ac:dyDescent="0.2">
      <c r="A12" s="705" t="s">
        <v>457</v>
      </c>
      <c r="B12" s="706" t="s">
        <v>1852</v>
      </c>
      <c r="C12" s="707"/>
      <c r="D12" s="705" t="s">
        <v>496</v>
      </c>
      <c r="E12" s="704"/>
      <c r="F12" s="1825">
        <f>'Expenditures 15-22'!K295</f>
        <v>139108</v>
      </c>
      <c r="G12" s="708"/>
    </row>
    <row r="13" spans="1:9" x14ac:dyDescent="0.2">
      <c r="A13" s="705" t="s">
        <v>106</v>
      </c>
      <c r="B13" s="706" t="s">
        <v>1853</v>
      </c>
      <c r="C13" s="707"/>
      <c r="D13" s="705" t="s">
        <v>496</v>
      </c>
      <c r="E13" s="704"/>
      <c r="F13" s="1825">
        <f>'Expenditures 15-22'!K342</f>
        <v>50425</v>
      </c>
      <c r="G13" s="709"/>
    </row>
    <row r="14" spans="1:9" ht="12" customHeight="1" thickBot="1" x14ac:dyDescent="0.25">
      <c r="A14" s="1492"/>
      <c r="B14" s="1493"/>
      <c r="C14" s="1494"/>
      <c r="D14" s="1495" t="s">
        <v>496</v>
      </c>
      <c r="E14" s="1496" t="s">
        <v>950</v>
      </c>
      <c r="F14" s="1826">
        <f>SUM(F8:F13)</f>
        <v>5122468</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10710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832">
        <f>'Expenditures 15-22'!K102</f>
        <v>110249</v>
      </c>
      <c r="G53" s="701"/>
    </row>
    <row r="54" spans="1:7" x14ac:dyDescent="0.2">
      <c r="A54" s="705" t="s">
        <v>454</v>
      </c>
      <c r="B54" s="705" t="s">
        <v>1460</v>
      </c>
      <c r="C54" s="724" t="s">
        <v>973</v>
      </c>
      <c r="D54" s="720" t="s">
        <v>1086</v>
      </c>
      <c r="E54" s="704"/>
      <c r="F54" s="1832">
        <f>'Expenditures 15-22'!G114</f>
        <v>69268</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61687</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60300</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0</v>
      </c>
      <c r="G64" s="701"/>
    </row>
    <row r="65" spans="1:9" x14ac:dyDescent="0.2">
      <c r="A65" s="705" t="s">
        <v>456</v>
      </c>
      <c r="B65" s="705" t="s">
        <v>1862</v>
      </c>
      <c r="C65" s="721" t="s">
        <v>973</v>
      </c>
      <c r="D65" s="720" t="s">
        <v>1086</v>
      </c>
      <c r="E65" s="704"/>
      <c r="F65" s="1832">
        <f>'Expenditures 15-22'!G210</f>
        <v>0</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1984</v>
      </c>
      <c r="G67" s="701"/>
    </row>
    <row r="68" spans="1:9" x14ac:dyDescent="0.2">
      <c r="A68" s="705" t="s">
        <v>457</v>
      </c>
      <c r="B68" s="705" t="s">
        <v>1463</v>
      </c>
      <c r="C68" s="721" t="str">
        <f>'Expenditures 15-22'!B218</f>
        <v>1225</v>
      </c>
      <c r="D68" s="727" t="str">
        <f>'Expenditures 15-22'!A218</f>
        <v>Special Education Programs - Pre-K</v>
      </c>
      <c r="E68" s="704"/>
      <c r="F68" s="1832">
        <f>'Expenditures 15-22'!K218</f>
        <v>0</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314198</v>
      </c>
      <c r="G77" s="701"/>
    </row>
    <row r="78" spans="1:9" s="728" customFormat="1" ht="12" customHeight="1" thickTop="1" thickBot="1" x14ac:dyDescent="0.25">
      <c r="A78" s="1499"/>
      <c r="B78" s="1497"/>
      <c r="C78" s="1494"/>
      <c r="D78" s="1498" t="s">
        <v>2013</v>
      </c>
      <c r="E78" s="1496"/>
      <c r="F78" s="1838">
        <f>(F14-F77)</f>
        <v>4808270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454.39400000000001</v>
      </c>
      <c r="G79" s="733"/>
      <c r="H79" s="705"/>
      <c r="I79" s="705"/>
    </row>
    <row r="80" spans="1:9" s="728" customFormat="1" ht="12" customHeight="1" thickBot="1" x14ac:dyDescent="0.25">
      <c r="A80" s="1501"/>
      <c r="B80" s="1497"/>
      <c r="C80" s="1494"/>
      <c r="D80" s="1498" t="s">
        <v>2014</v>
      </c>
      <c r="E80" s="1496" t="s">
        <v>950</v>
      </c>
      <c r="F80" s="1840">
        <f>IF(F79&gt;0,F78/F79," Complete Line 79")</f>
        <v>10581.719829047039</v>
      </c>
      <c r="G80" s="705"/>
    </row>
    <row r="81" spans="1:7" s="728" customFormat="1" ht="8.25" customHeight="1" thickTop="1" x14ac:dyDescent="0.2">
      <c r="A81" s="734"/>
      <c r="B81" s="705"/>
      <c r="C81" s="707"/>
      <c r="D81" s="735"/>
      <c r="E81" s="704"/>
      <c r="F81" s="1841"/>
      <c r="G81" s="705"/>
    </row>
    <row r="82" spans="1:7" s="728" customFormat="1" ht="12" thickBot="1" x14ac:dyDescent="0.25">
      <c r="A82" s="2435" t="s">
        <v>1096</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43957</v>
      </c>
      <c r="G95" s="745"/>
    </row>
    <row r="96" spans="1:7" x14ac:dyDescent="0.2">
      <c r="A96" s="741" t="s">
        <v>139</v>
      </c>
      <c r="B96" s="741" t="s">
        <v>174</v>
      </c>
      <c r="C96" s="743">
        <v>1700</v>
      </c>
      <c r="D96" s="751" t="str">
        <f>'Revenues 9-14'!A82</f>
        <v>Total District/School Activity Income</v>
      </c>
      <c r="E96" s="739"/>
      <c r="F96" s="1843">
        <f>SUM('Revenues 9-14'!C82,'Revenues 9-14'!D82)</f>
        <v>38530</v>
      </c>
      <c r="G96" s="745"/>
    </row>
    <row r="97" spans="1:7" x14ac:dyDescent="0.2">
      <c r="A97" s="741" t="s">
        <v>454</v>
      </c>
      <c r="B97" s="741" t="s">
        <v>175</v>
      </c>
      <c r="C97" s="743">
        <f>'Revenues 9-14'!B84</f>
        <v>1811</v>
      </c>
      <c r="D97" s="744" t="str">
        <f>'Revenues 9-14'!A84</f>
        <v>Rentals - Regular Textbooks</v>
      </c>
      <c r="E97" s="739"/>
      <c r="F97" s="1843">
        <f>'Revenues 9-14'!C84</f>
        <v>13766</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45991</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12859</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949</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6414</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193924</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0</v>
      </c>
      <c r="G121" s="763"/>
    </row>
    <row r="122" spans="1:7" x14ac:dyDescent="0.2">
      <c r="A122" s="760" t="s">
        <v>495</v>
      </c>
      <c r="B122" s="760" t="s">
        <v>1927</v>
      </c>
      <c r="C122" s="761">
        <f>'Revenues 9-14'!B168</f>
        <v>3999</v>
      </c>
      <c r="D122" s="762" t="s">
        <v>538</v>
      </c>
      <c r="E122" s="764"/>
      <c r="F122" s="1843">
        <f>SUM('Revenues 9-14'!C168:G168,'Revenues 9-14'!J168)</f>
        <v>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1930</v>
      </c>
      <c r="C125" s="765">
        <v>4100</v>
      </c>
      <c r="D125" s="766" t="str">
        <f>'Revenues 9-14'!A188</f>
        <v>Total Title V</v>
      </c>
      <c r="E125" s="739"/>
      <c r="F125" s="1843">
        <f>SUM('Revenues 9-14'!C188,'Revenues 9-14'!D188,'Revenues 9-14'!F188,'Revenues 9-14'!G188)</f>
        <v>4889</v>
      </c>
      <c r="G125" s="763"/>
    </row>
    <row r="126" spans="1:7" x14ac:dyDescent="0.2">
      <c r="A126" s="760" t="s">
        <v>657</v>
      </c>
      <c r="B126" s="760" t="s">
        <v>1931</v>
      </c>
      <c r="C126" s="765">
        <v>4200</v>
      </c>
      <c r="D126" s="762" t="str">
        <f>'Revenues 9-14'!A198</f>
        <v>Total Food Service</v>
      </c>
      <c r="E126" s="739"/>
      <c r="F126" s="1843">
        <f>SUM('Revenues 9-14'!C198,'Revenues 9-14'!G198)</f>
        <v>82804</v>
      </c>
      <c r="G126" s="763"/>
    </row>
    <row r="127" spans="1:7" x14ac:dyDescent="0.2">
      <c r="A127" s="760" t="s">
        <v>661</v>
      </c>
      <c r="B127" s="760" t="s">
        <v>1932</v>
      </c>
      <c r="C127" s="765">
        <v>4300</v>
      </c>
      <c r="D127" s="766" t="str">
        <f>'Revenues 9-14'!A204</f>
        <v>Total Title I</v>
      </c>
      <c r="E127" s="739"/>
      <c r="F127" s="1843">
        <f>SUM('Revenues 9-14'!C204,'Revenues 9-14'!D204,'Revenues 9-14'!F204,'Revenues 9-14'!G204)</f>
        <v>56200</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1303</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24595</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12752</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0</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8950</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9690</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157325</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714898</v>
      </c>
    </row>
    <row r="176" spans="1:7" ht="12" customHeight="1" x14ac:dyDescent="0.2">
      <c r="A176" s="1492"/>
      <c r="B176" s="1502"/>
      <c r="C176" s="1503"/>
      <c r="D176" s="1504" t="s">
        <v>2015</v>
      </c>
      <c r="E176" s="1505"/>
      <c r="F176" s="1843">
        <f>'PCTC-OEPP 27-28'!F78-F175</f>
        <v>4093372</v>
      </c>
    </row>
    <row r="177" spans="1:9" ht="12" customHeight="1" x14ac:dyDescent="0.2">
      <c r="A177" s="1492"/>
      <c r="B177" s="1502"/>
      <c r="C177" s="1503"/>
      <c r="D177" s="1504" t="s">
        <v>1795</v>
      </c>
      <c r="E177" s="1505"/>
      <c r="F177" s="1843">
        <f>'Cap Outlay Deprec 26'!I18</f>
        <v>207743</v>
      </c>
    </row>
    <row r="178" spans="1:9" ht="12" customHeight="1" x14ac:dyDescent="0.2">
      <c r="A178" s="1492"/>
      <c r="B178" s="1502"/>
      <c r="C178" s="1503"/>
      <c r="D178" s="1504" t="s">
        <v>2016</v>
      </c>
      <c r="E178" s="1505"/>
      <c r="F178" s="1843">
        <f>F176+F177</f>
        <v>4301115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454.39400000000001</v>
      </c>
      <c r="G179" s="763"/>
      <c r="I179" s="701"/>
    </row>
    <row r="180" spans="1:9" ht="12" customHeight="1" thickBot="1" x14ac:dyDescent="0.25">
      <c r="A180" s="1492"/>
      <c r="B180" s="1506"/>
      <c r="C180" s="1503"/>
      <c r="D180" s="1504" t="s">
        <v>2018</v>
      </c>
      <c r="E180" s="1505" t="s">
        <v>1529</v>
      </c>
      <c r="F180" s="1848">
        <f>F178/F179</f>
        <v>9465.6069402324847</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A26" sqref="A26"/>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49" t="s">
        <v>1796</v>
      </c>
      <c r="B4" s="2450"/>
      <c r="C4" s="2450"/>
      <c r="D4" s="2450"/>
      <c r="E4" s="2450"/>
      <c r="F4" s="2451"/>
    </row>
    <row r="5" spans="1:6" x14ac:dyDescent="0.25">
      <c r="A5" s="2452"/>
      <c r="B5" s="2453"/>
      <c r="C5" s="2453"/>
      <c r="D5" s="2453"/>
      <c r="E5" s="2453"/>
      <c r="F5" s="2454"/>
    </row>
    <row r="6" spans="1:6" ht="18.75" x14ac:dyDescent="0.25">
      <c r="A6" s="1930" t="s">
        <v>1797</v>
      </c>
      <c r="B6" s="1931"/>
      <c r="C6" s="1932"/>
      <c r="D6" s="1932"/>
      <c r="E6" s="1932"/>
      <c r="F6" s="1933"/>
    </row>
    <row r="7" spans="1:6" ht="47.25" customHeight="1" x14ac:dyDescent="0.25">
      <c r="A7" s="2455" t="s">
        <v>1986</v>
      </c>
      <c r="B7" s="2456"/>
      <c r="C7" s="2456"/>
      <c r="D7" s="2456"/>
      <c r="E7" s="2456"/>
      <c r="F7" s="2457"/>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58" t="s">
        <v>1982</v>
      </c>
      <c r="B10" s="2459"/>
      <c r="C10" s="2459"/>
      <c r="D10" s="2459"/>
      <c r="E10" s="2459"/>
      <c r="F10" s="2460"/>
    </row>
    <row r="11" spans="1:6" ht="33" customHeight="1" x14ac:dyDescent="0.25">
      <c r="A11" s="2455" t="s">
        <v>1987</v>
      </c>
      <c r="B11" s="2456"/>
      <c r="C11" s="2456"/>
      <c r="D11" s="2456"/>
      <c r="E11" s="2456"/>
      <c r="F11" s="2457"/>
    </row>
    <row r="12" spans="1:6" ht="15" customHeight="1" x14ac:dyDescent="0.25">
      <c r="A12" s="1936" t="s">
        <v>1983</v>
      </c>
      <c r="B12" s="1937"/>
      <c r="C12" s="1938"/>
      <c r="D12" s="1938"/>
      <c r="E12" s="1938"/>
      <c r="F12" s="1939"/>
    </row>
    <row r="13" spans="1:6" ht="17.25" customHeight="1" x14ac:dyDescent="0.25">
      <c r="A13" s="2455" t="s">
        <v>1984</v>
      </c>
      <c r="B13" s="2456"/>
      <c r="C13" s="2456"/>
      <c r="D13" s="2456"/>
      <c r="E13" s="2456"/>
      <c r="F13" s="2457"/>
    </row>
    <row r="14" spans="1:6" ht="15" customHeight="1" x14ac:dyDescent="0.25">
      <c r="A14" s="1936" t="s">
        <v>1801</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1989" t="s">
        <v>2048</v>
      </c>
      <c r="B18" s="1971">
        <v>202540300</v>
      </c>
      <c r="C18" s="1988" t="s">
        <v>2041</v>
      </c>
      <c r="D18" s="1949">
        <v>20450</v>
      </c>
      <c r="E18" s="1969">
        <f t="shared" ref="E18:E81" si="0">IF(D18&lt;25000,D18,"25,000")</f>
        <v>20450</v>
      </c>
      <c r="F18" s="1969" t="str">
        <f t="shared" ref="F18:F81" si="1">IF(D18&gt;=25000,(D18-E18),"0")</f>
        <v>0</v>
      </c>
      <c r="G18" s="1950"/>
    </row>
    <row r="19" spans="1:7" ht="30" x14ac:dyDescent="0.25">
      <c r="A19" s="1989" t="s">
        <v>2049</v>
      </c>
      <c r="B19" s="1971">
        <v>402550300</v>
      </c>
      <c r="C19" s="1988" t="s">
        <v>2042</v>
      </c>
      <c r="D19" s="1949">
        <v>269779</v>
      </c>
      <c r="E19" s="1969" t="str">
        <f t="shared" si="0"/>
        <v>25,000</v>
      </c>
      <c r="F19" s="1969">
        <f t="shared" si="1"/>
        <v>244779</v>
      </c>
    </row>
    <row r="20" spans="1:7" x14ac:dyDescent="0.25">
      <c r="A20" s="1989" t="s">
        <v>2050</v>
      </c>
      <c r="B20" s="1971">
        <v>902540300</v>
      </c>
      <c r="C20" s="1988" t="s">
        <v>2043</v>
      </c>
      <c r="D20" s="1949">
        <v>6309</v>
      </c>
      <c r="E20" s="1969">
        <f t="shared" si="0"/>
        <v>6309</v>
      </c>
      <c r="F20" s="1969" t="str">
        <f t="shared" si="1"/>
        <v>0</v>
      </c>
    </row>
    <row r="21" spans="1:7" x14ac:dyDescent="0.25">
      <c r="A21" s="1989" t="s">
        <v>2050</v>
      </c>
      <c r="B21" s="1971">
        <v>902540300</v>
      </c>
      <c r="C21" s="1988" t="s">
        <v>2044</v>
      </c>
      <c r="D21" s="1949">
        <v>23714</v>
      </c>
      <c r="E21" s="1969">
        <f t="shared" si="0"/>
        <v>23714</v>
      </c>
      <c r="F21" s="1969" t="str">
        <f t="shared" si="1"/>
        <v>0</v>
      </c>
    </row>
    <row r="22" spans="1:7" x14ac:dyDescent="0.25">
      <c r="A22" s="1989" t="s">
        <v>2051</v>
      </c>
      <c r="B22" s="1971">
        <v>102520300</v>
      </c>
      <c r="C22" s="1988" t="s">
        <v>2039</v>
      </c>
      <c r="D22" s="1949">
        <v>8450</v>
      </c>
      <c r="E22" s="1969">
        <f t="shared" si="0"/>
        <v>8450</v>
      </c>
      <c r="F22" s="1969" t="str">
        <f t="shared" si="1"/>
        <v>0</v>
      </c>
    </row>
    <row r="23" spans="1:7" x14ac:dyDescent="0.25">
      <c r="A23" s="1989" t="s">
        <v>2052</v>
      </c>
      <c r="B23" s="1971">
        <v>101000300</v>
      </c>
      <c r="C23" s="1988" t="s">
        <v>2045</v>
      </c>
      <c r="D23" s="1949">
        <v>11323</v>
      </c>
      <c r="E23" s="1969">
        <f t="shared" si="0"/>
        <v>11323</v>
      </c>
      <c r="F23" s="1969" t="str">
        <f t="shared" si="1"/>
        <v>0</v>
      </c>
    </row>
    <row r="24" spans="1:7" x14ac:dyDescent="0.25">
      <c r="A24" s="1989" t="s">
        <v>2048</v>
      </c>
      <c r="B24" s="1971">
        <v>202540300</v>
      </c>
      <c r="C24" s="1988" t="s">
        <v>2046</v>
      </c>
      <c r="D24" s="1949">
        <v>16987</v>
      </c>
      <c r="E24" s="1969">
        <f t="shared" si="0"/>
        <v>16987</v>
      </c>
      <c r="F24" s="1969" t="str">
        <f t="shared" si="1"/>
        <v>0</v>
      </c>
    </row>
    <row r="25" spans="1:7" x14ac:dyDescent="0.25">
      <c r="A25" s="1989" t="s">
        <v>2053</v>
      </c>
      <c r="B25" s="1971">
        <v>102630300</v>
      </c>
      <c r="C25" s="1988" t="s">
        <v>2047</v>
      </c>
      <c r="D25" s="1949">
        <v>55758</v>
      </c>
      <c r="E25" s="1969" t="str">
        <f t="shared" si="0"/>
        <v>25,000</v>
      </c>
      <c r="F25" s="1969">
        <f t="shared" si="1"/>
        <v>30758</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412770</v>
      </c>
      <c r="E142" s="1956">
        <f>SUM(E18:E141)</f>
        <v>87233</v>
      </c>
      <c r="F142" s="1957">
        <f>SUM(F18:F141)</f>
        <v>275537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1" t="s">
        <v>1661</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v>68383</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3154571</v>
      </c>
      <c r="F19" s="1852"/>
      <c r="G19" s="1854">
        <f>'Expenditures 15-22'!K33-SUM('Expenditures 15-22'!G33,'Expenditures 15-22'!I33)+'Expenditures 15-22'!D229</f>
        <v>3154571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203895</v>
      </c>
      <c r="F21" s="1855"/>
      <c r="G21" s="1858">
        <f>'Expenditures 15-22'!K42-SUM('Expenditures 15-22'!G42,'Expenditures 15-22'!I42)+'Expenditures 15-22'!K120-SUM('Expenditures 15-22'!G120,'Expenditures 15-22'!I120)+'Expenditures 15-22'!K180-SUM('Expenditures 15-22'!G180,'Expenditures 15-22'!I180)+'Expenditures 15-22'!D238</f>
        <v>203895</v>
      </c>
      <c r="H21" s="817"/>
      <c r="I21" s="157"/>
    </row>
    <row r="22" spans="1:9" s="542" customFormat="1" ht="12" customHeight="1" x14ac:dyDescent="0.2">
      <c r="A22" s="824" t="s">
        <v>558</v>
      </c>
      <c r="B22" s="825"/>
      <c r="C22" s="823">
        <v>2200</v>
      </c>
      <c r="D22" s="1855"/>
      <c r="E22" s="1857">
        <f>'Expenditures 15-22'!K47-SUM('Expenditures 15-22'!G47,'Expenditures 15-22'!I47)+'Expenditures 15-22'!D243</f>
        <v>619</v>
      </c>
      <c r="F22" s="1855"/>
      <c r="G22" s="1858">
        <f>'Expenditures 15-22'!K47-SUM('Expenditures 15-22'!G47,'Expenditures 15-22'!I47)+'Expenditures 15-22'!D243</f>
        <v>619</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192862</v>
      </c>
      <c r="F23" s="1855"/>
      <c r="G23" s="1857">
        <f>'Expenditures 15-22'!K53-SUM('Expenditures 15-22'!G53,'Expenditures 15-22'!I53)+'Expenditures 15-22'!D257+'Expenditures 15-22'!K330-SUM('Expenditures 15-22'!G330,'Expenditures 15-22'!I330)</f>
        <v>192862</v>
      </c>
      <c r="H23" s="817"/>
      <c r="I23" s="157"/>
    </row>
    <row r="24" spans="1:9" s="542" customFormat="1" ht="12" customHeight="1" x14ac:dyDescent="0.2">
      <c r="A24" s="824" t="s">
        <v>560</v>
      </c>
      <c r="B24" s="825"/>
      <c r="C24" s="823">
        <v>2400</v>
      </c>
      <c r="D24" s="1855"/>
      <c r="E24" s="1857">
        <f>'Expenditures 15-22'!K57-SUM('Expenditures 15-22'!G57,'Expenditures 15-22'!I57)+'Expenditures 15-22'!D261</f>
        <v>110253</v>
      </c>
      <c r="F24" s="1855"/>
      <c r="G24" s="1858">
        <f>'Expenditures 15-22'!K57-SUM('Expenditures 15-22'!G57,'Expenditures 15-22'!I57)+'Expenditures 15-22'!D261</f>
        <v>110253</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79792</v>
      </c>
      <c r="E27" s="1857">
        <f>E8</f>
        <v>0</v>
      </c>
      <c r="F27" s="1857">
        <f>'Expenditures 15-22'!K60-SUM('Expenditures 15-22'!G60,'Expenditures 15-22'!I60)+'Expenditures 15-22'!D264-E8</f>
        <v>79792</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408328</v>
      </c>
      <c r="F28" s="1859">
        <f>'Expenditures 15-22'!K61-SUM('Expenditures 15-22'!G61,'Expenditures 15-22'!I61)+'Expenditures 15-22'!K124-SUM('Expenditures 15-22'!G124,'Expenditures 15-22'!I124)+'Expenditures 15-22'!D266-E9</f>
        <v>408328</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301807</v>
      </c>
      <c r="F29" s="1855"/>
      <c r="G29" s="1858">
        <f>'Expenditures 15-22'!K62-SUM('Expenditures 15-22'!G62,'Expenditures 15-22'!I62)+'Expenditures 15-22'!K125-SUM('Expenditures 15-22'!G125,'Expenditures 15-22'!I125)+'Expenditures 15-22'!K182-SUM('Expenditures 15-22'!G182,'Expenditures 15-22'!I182)+'Expenditures 15-22'!D267</f>
        <v>301807</v>
      </c>
      <c r="H29" s="815"/>
    </row>
    <row r="30" spans="1:9" ht="12" customHeight="1" x14ac:dyDescent="0.2">
      <c r="A30" s="824" t="s">
        <v>100</v>
      </c>
      <c r="B30" s="827"/>
      <c r="C30" s="823">
        <v>2560</v>
      </c>
      <c r="D30" s="1855"/>
      <c r="E30" s="1857">
        <f>'Expenditures 15-22'!K63-SUM('Expenditures 15-22'!G63,'Expenditures 15-22'!I63)+'Expenditures 15-22'!D268-E10</f>
        <v>202059</v>
      </c>
      <c r="F30" s="1855"/>
      <c r="G30" s="1857">
        <f>'Expenditures 15-22'!K63-SUM('Expenditures 15-22'!G63,'Expenditures 15-22'!I63)+'Expenditures 15-22'!D268-E10</f>
        <v>202059</v>
      </c>
    </row>
    <row r="31" spans="1:9" ht="12" customHeight="1" x14ac:dyDescent="0.2">
      <c r="A31" s="824" t="s">
        <v>101</v>
      </c>
      <c r="B31" s="827"/>
      <c r="C31" s="823">
        <v>2570</v>
      </c>
      <c r="D31" s="1857">
        <f>'Expenditures 15-22'!K64-SUM('Expenditures 15-22'!G64,'Expenditures 15-22'!I64)+'Expenditures 15-22'!D269-E12</f>
        <v>64335</v>
      </c>
      <c r="E31" s="1857">
        <f>E12</f>
        <v>0</v>
      </c>
      <c r="F31" s="1857">
        <f>'Expenditures 15-22'!K64-SUM('Expenditures 15-22'!G64,'Expenditures 15-22'!I64)+'Expenditures 15-22'!D269-E12</f>
        <v>64335</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95928</v>
      </c>
      <c r="F35" s="1855"/>
      <c r="G35" s="1857">
        <f>'Expenditures 15-22'!K69-SUM('Expenditures 15-22'!G69,'Expenditures 15-22'!I69)+'Expenditures 15-22'!D274</f>
        <v>95928</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-275537</v>
      </c>
      <c r="F40" s="1855"/>
      <c r="G40" s="1859">
        <f>-'Contracts Paid in CY 29'!F142</f>
        <v>-275537</v>
      </c>
    </row>
    <row r="41" spans="1:7" ht="12" customHeight="1" x14ac:dyDescent="0.2">
      <c r="A41" s="828" t="s">
        <v>155</v>
      </c>
      <c r="B41" s="829"/>
      <c r="C41" s="830"/>
      <c r="D41" s="1859">
        <f>SUM(D19:D39)</f>
        <v>144127</v>
      </c>
      <c r="E41" s="1859">
        <f>SUM(E19:E40)</f>
        <v>4394785</v>
      </c>
      <c r="F41" s="1859">
        <f>SUM(F19:F39)</f>
        <v>552455</v>
      </c>
      <c r="G41" s="1859">
        <f>SUM(G19:G40)</f>
        <v>3986457</v>
      </c>
    </row>
    <row r="42" spans="1:7" x14ac:dyDescent="0.2">
      <c r="A42" s="817"/>
      <c r="B42" s="157"/>
      <c r="C42" s="831"/>
      <c r="D42" s="2464" t="s">
        <v>517</v>
      </c>
      <c r="E42" s="2465"/>
      <c r="F42" s="832" t="s">
        <v>518</v>
      </c>
      <c r="G42" s="833"/>
    </row>
    <row r="43" spans="1:7" ht="12" customHeight="1" x14ac:dyDescent="0.2">
      <c r="A43" s="817"/>
      <c r="B43" s="157"/>
      <c r="C43" s="831"/>
      <c r="D43" s="1507" t="s">
        <v>468</v>
      </c>
      <c r="E43" s="1860">
        <f>D41</f>
        <v>144127</v>
      </c>
      <c r="F43" s="1507" t="s">
        <v>468</v>
      </c>
      <c r="G43" s="1860">
        <f>F41</f>
        <v>552455</v>
      </c>
    </row>
    <row r="44" spans="1:7" ht="12" customHeight="1" x14ac:dyDescent="0.2">
      <c r="A44" s="817"/>
      <c r="B44" s="157"/>
      <c r="C44" s="831"/>
      <c r="D44" s="1507" t="s">
        <v>469</v>
      </c>
      <c r="E44" s="1860">
        <f>E41</f>
        <v>4394785</v>
      </c>
      <c r="F44" s="1507" t="s">
        <v>469</v>
      </c>
      <c r="G44" s="1860">
        <f>G41</f>
        <v>3986457</v>
      </c>
    </row>
    <row r="45" spans="1:7" ht="12" customHeight="1" x14ac:dyDescent="0.2">
      <c r="A45" s="817"/>
      <c r="B45" s="157"/>
      <c r="C45" s="157"/>
      <c r="D45" s="1508" t="s">
        <v>997</v>
      </c>
      <c r="E45" s="1861">
        <f>(E43/E44)</f>
        <v>3.2795005899037152E-2</v>
      </c>
      <c r="F45" s="1508" t="s">
        <v>997</v>
      </c>
      <c r="G45" s="1861">
        <f>(G43/G44)</f>
        <v>0.13858295724750072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A47" sqref="A47"/>
      <selection pane="bottomLeft" activeCell="F27" sqref="F2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1363</v>
      </c>
      <c r="B1" s="2472"/>
      <c r="C1" s="2472"/>
      <c r="D1" s="2472"/>
      <c r="E1" s="2472"/>
      <c r="F1" s="2472"/>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1530</v>
      </c>
      <c r="B5" s="2474"/>
      <c r="C5" s="2475"/>
      <c r="D5" s="2475"/>
      <c r="E5" s="2475"/>
      <c r="F5" s="2475"/>
      <c r="G5" s="1556"/>
      <c r="L5" s="1556"/>
      <c r="M5" s="1913"/>
      <c r="N5" s="1913"/>
      <c r="O5" s="1913"/>
    </row>
    <row r="6" spans="1:15" ht="12" customHeight="1" x14ac:dyDescent="0.25">
      <c r="A6" s="1529"/>
      <c r="B6" s="1530"/>
      <c r="C6" s="2476" t="str">
        <f>COVER!A17</f>
        <v>Woodlawn Community Unit School District #209</v>
      </c>
      <c r="D6" s="2476"/>
      <c r="E6" s="2476"/>
      <c r="F6" s="1531"/>
      <c r="G6" s="1556"/>
      <c r="L6" s="1556"/>
      <c r="M6" s="1913"/>
      <c r="N6" s="1913"/>
      <c r="O6" s="1913"/>
    </row>
    <row r="7" spans="1:15" ht="11.25" customHeight="1" thickBot="1" x14ac:dyDescent="0.3">
      <c r="A7" s="1529"/>
      <c r="B7" s="1530"/>
      <c r="C7" s="2477" t="str">
        <f>COVER!A13</f>
        <v>13-041-2090-27</v>
      </c>
      <c r="D7" s="2477"/>
      <c r="E7" s="2477"/>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2027</v>
      </c>
      <c r="D26" s="1544" t="s">
        <v>2027</v>
      </c>
      <c r="E26" s="1547"/>
      <c r="F26" s="1546" t="s">
        <v>2055</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t="s">
        <v>2027</v>
      </c>
      <c r="D31" s="1544" t="s">
        <v>2027</v>
      </c>
      <c r="E31" s="1547"/>
      <c r="F31" s="1546" t="s">
        <v>2054</v>
      </c>
      <c r="G31" s="1556"/>
      <c r="H31" s="1556">
        <f t="shared" si="0"/>
        <v>5</v>
      </c>
      <c r="I31" s="1556">
        <f t="shared" si="1"/>
        <v>5</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1376</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1375</v>
      </c>
      <c r="B40" s="1553"/>
      <c r="C40" s="2486"/>
      <c r="D40" s="2486"/>
      <c r="E40" s="2486"/>
      <c r="F40" s="2487"/>
      <c r="H40" s="1557"/>
      <c r="I40" s="1557"/>
      <c r="J40" s="1557"/>
      <c r="K40" s="1557"/>
    </row>
    <row r="41" spans="1:15" s="1548" customFormat="1" ht="12" customHeight="1" x14ac:dyDescent="0.25">
      <c r="A41" s="2488"/>
      <c r="B41" s="2489"/>
      <c r="C41" s="2489"/>
      <c r="D41" s="2489"/>
      <c r="E41" s="2489"/>
      <c r="F41" s="2490"/>
      <c r="H41" s="1557"/>
      <c r="I41" s="1557"/>
      <c r="J41" s="1557"/>
      <c r="K41" s="1557"/>
    </row>
    <row r="42" spans="1:15" s="1548" customFormat="1" ht="12" customHeight="1" x14ac:dyDescent="0.25">
      <c r="A42" s="2488"/>
      <c r="B42" s="2489"/>
      <c r="C42" s="2489"/>
      <c r="D42" s="2489"/>
      <c r="E42" s="2489"/>
      <c r="F42" s="2490"/>
      <c r="H42" s="1557"/>
      <c r="I42" s="1557"/>
      <c r="J42" s="1557"/>
      <c r="K42" s="1557"/>
    </row>
    <row r="43" spans="1:15" s="1548" customFormat="1" ht="15" x14ac:dyDescent="0.25">
      <c r="A43" s="2480"/>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6" t="str">
        <f>COVER!A17</f>
        <v>Woodlawn Community Unit School District #209</v>
      </c>
      <c r="J6" s="2497"/>
      <c r="K6" s="2498"/>
      <c r="R6" s="1427"/>
    </row>
    <row r="7" spans="1:18" x14ac:dyDescent="0.2">
      <c r="A7" s="2499" t="s">
        <v>862</v>
      </c>
      <c r="B7" s="2500"/>
      <c r="C7" s="2500"/>
      <c r="D7" s="2500"/>
      <c r="E7" s="2501"/>
      <c r="F7" s="847"/>
      <c r="G7" s="839"/>
      <c r="H7" s="846" t="s">
        <v>367</v>
      </c>
      <c r="I7" s="2502" t="str">
        <f>COVER!A13</f>
        <v>13-041-2090-27</v>
      </c>
      <c r="J7" s="2502"/>
      <c r="K7" s="250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3" t="s">
        <v>476</v>
      </c>
      <c r="B11" s="2504"/>
      <c r="C11" s="2505"/>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99837</v>
      </c>
      <c r="F12" s="1864"/>
      <c r="G12" s="1863">
        <f t="shared" ref="G12:G18" si="0">SUM(E12:F12)</f>
        <v>99837</v>
      </c>
      <c r="H12" s="1865">
        <v>97056</v>
      </c>
      <c r="I12" s="1864"/>
      <c r="J12" s="1865"/>
      <c r="K12" s="1863">
        <f t="shared" ref="K12:K18" si="1">SUM(H12:J12)</f>
        <v>97056</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55667</v>
      </c>
      <c r="F16" s="1864"/>
      <c r="G16" s="1863">
        <f t="shared" si="0"/>
        <v>55667</v>
      </c>
      <c r="H16" s="1865">
        <v>61351</v>
      </c>
      <c r="I16" s="1864"/>
      <c r="J16" s="1865"/>
      <c r="K16" s="1863">
        <f t="shared" si="1"/>
        <v>61351</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6" t="s">
        <v>7</v>
      </c>
      <c r="C18" s="2507"/>
      <c r="D18" s="2508"/>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155504</v>
      </c>
      <c r="F19" s="1868">
        <f t="shared" si="2"/>
        <v>0</v>
      </c>
      <c r="G19" s="1868">
        <f t="shared" si="2"/>
        <v>155504</v>
      </c>
      <c r="H19" s="1868">
        <f t="shared" si="2"/>
        <v>158407</v>
      </c>
      <c r="I19" s="1868">
        <f t="shared" si="2"/>
        <v>0</v>
      </c>
      <c r="J19" s="1868">
        <f t="shared" si="2"/>
        <v>0</v>
      </c>
      <c r="K19" s="1868">
        <f t="shared" si="2"/>
        <v>158407</v>
      </c>
    </row>
    <row r="20" spans="1:11" ht="13.5" thickTop="1" x14ac:dyDescent="0.2">
      <c r="A20" s="863">
        <v>9</v>
      </c>
      <c r="B20" s="2509" t="str">
        <f>"Percent Increase (Decrease) for FY"&amp;'AFR20'!E2+1&amp;" (Budgeted) over FY"&amp;'AFR20'!E2&amp;" (Actual)"</f>
        <v>Percent Increase (Decrease) for FY2021 (Budgeted) over FY2020 (Actual)</v>
      </c>
      <c r="C20" s="2509"/>
      <c r="D20" s="2510"/>
      <c r="E20" s="1869"/>
      <c r="F20" s="1869"/>
      <c r="G20" s="1869"/>
      <c r="H20" s="1869"/>
      <c r="I20" s="1869"/>
      <c r="J20" s="1978"/>
      <c r="K20" s="1870">
        <f>IF(AND(G19&gt;0,K19&gt;0),(((K19-G19)/G19)),"Enter Budget Data")</f>
        <v>1.8668330075110609E-2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5"/>
      <c r="D26" s="2515"/>
      <c r="E26" s="874"/>
      <c r="F26" s="2514"/>
      <c r="G26" s="2514"/>
    </row>
    <row r="27" spans="1:11" x14ac:dyDescent="0.2">
      <c r="B27" s="871"/>
      <c r="C27" s="875" t="s">
        <v>1024</v>
      </c>
      <c r="D27" s="876"/>
      <c r="E27" s="877"/>
      <c r="F27" s="2511" t="s">
        <v>1493</v>
      </c>
      <c r="G27" s="2511"/>
    </row>
    <row r="28" spans="1:11" ht="28.5" customHeight="1" x14ac:dyDescent="0.2">
      <c r="B28" s="871"/>
      <c r="C28" s="2513"/>
      <c r="D28" s="2513"/>
      <c r="E28" s="878"/>
      <c r="F28" s="2513"/>
      <c r="G28" s="2513"/>
    </row>
    <row r="29" spans="1:11" x14ac:dyDescent="0.2">
      <c r="B29" s="871"/>
      <c r="C29" s="879" t="s">
        <v>1545</v>
      </c>
      <c r="E29" s="880"/>
      <c r="F29" s="2512" t="s">
        <v>1494</v>
      </c>
      <c r="G29" s="2512"/>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4"/>
      <c r="E33" s="2494"/>
      <c r="F33" s="2494"/>
      <c r="G33" s="2494"/>
      <c r="H33" s="2494"/>
      <c r="I33" s="2494"/>
      <c r="J33" s="1976"/>
    </row>
    <row r="34" spans="1:11" ht="10.35" customHeight="1" x14ac:dyDescent="0.2">
      <c r="C34" s="2494"/>
      <c r="D34" s="2494"/>
      <c r="E34" s="2494"/>
      <c r="F34" s="2494"/>
      <c r="G34" s="2494"/>
      <c r="H34" s="2494"/>
      <c r="I34" s="2494"/>
      <c r="J34" s="1976"/>
    </row>
    <row r="35" spans="1:11" ht="7.5" customHeight="1" x14ac:dyDescent="0.2">
      <c r="C35" s="886"/>
    </row>
    <row r="36" spans="1:11" ht="13.5" customHeight="1" x14ac:dyDescent="0.2">
      <c r="B36" s="885"/>
      <c r="C36" s="24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4"/>
      <c r="E36" s="2494"/>
      <c r="F36" s="2494"/>
      <c r="G36" s="2494"/>
      <c r="H36" s="2494"/>
      <c r="I36" s="2494"/>
      <c r="J36" s="1976"/>
      <c r="K36" s="887"/>
    </row>
    <row r="37" spans="1:11" ht="22.5" customHeight="1" x14ac:dyDescent="0.2">
      <c r="C37" s="2494"/>
      <c r="D37" s="2494"/>
      <c r="E37" s="2494"/>
      <c r="F37" s="2494"/>
      <c r="G37" s="2494"/>
      <c r="H37" s="2494"/>
      <c r="I37" s="2494"/>
      <c r="J37" s="1976"/>
      <c r="K37" s="887"/>
    </row>
    <row r="38" spans="1:11" ht="7.5" customHeight="1" x14ac:dyDescent="0.2">
      <c r="C38" s="886"/>
      <c r="D38" s="888"/>
      <c r="E38" s="889"/>
      <c r="F38" s="890"/>
      <c r="G38" s="889"/>
    </row>
    <row r="39" spans="1:11" ht="13.5" customHeight="1" x14ac:dyDescent="0.2">
      <c r="B39" s="885"/>
      <c r="C39" s="2491" t="str">
        <f>"The district will amend their budget to become in compliance with the limitation."</f>
        <v>The district will amend their budget to become in compliance with the limitation.</v>
      </c>
      <c r="D39" s="2492"/>
      <c r="E39" s="2492"/>
      <c r="F39" s="2492"/>
      <c r="G39" s="2492"/>
      <c r="H39" s="2492"/>
      <c r="I39" s="249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6" zoomScaleNormal="100" workbookViewId="0">
      <selection activeCell="E67" sqref="E67"/>
    </sheetView>
  </sheetViews>
  <sheetFormatPr defaultColWidth="8.85546875" defaultRowHeight="15" x14ac:dyDescent="0.25"/>
  <cols>
    <col min="1" max="1" width="2.7109375" style="1998" customWidth="1"/>
    <col min="2" max="2" width="3" style="1998" customWidth="1"/>
    <col min="3" max="3" width="38" style="1998" customWidth="1"/>
    <col min="4" max="4" width="7.7109375" style="1998" customWidth="1"/>
    <col min="5" max="5" width="10.7109375" style="1998" customWidth="1"/>
    <col min="6" max="6" width="11" style="1998" customWidth="1"/>
    <col min="7" max="8" width="8.85546875" style="1998"/>
    <col min="9" max="9" width="10.85546875" style="1998" customWidth="1"/>
    <col min="10" max="10" width="12.42578125" style="1998" customWidth="1"/>
    <col min="11" max="11" width="8.85546875" style="1998"/>
    <col min="12" max="12" width="13.140625" style="1998" customWidth="1"/>
    <col min="13" max="13" width="8.85546875" style="1998"/>
    <col min="14" max="14" width="17.85546875" style="1998" customWidth="1"/>
    <col min="15" max="16384" width="8.85546875" style="1998"/>
  </cols>
  <sheetData>
    <row r="1" spans="1:14" x14ac:dyDescent="0.25">
      <c r="A1" s="1993"/>
      <c r="B1" s="1994"/>
      <c r="C1" s="1994"/>
      <c r="D1" s="1994"/>
      <c r="E1" s="1994"/>
      <c r="F1" s="1994"/>
      <c r="G1" s="1995" t="s">
        <v>400</v>
      </c>
      <c r="H1" s="1996"/>
      <c r="I1" s="1994"/>
      <c r="J1" s="1994"/>
      <c r="K1" s="1994"/>
      <c r="L1" s="1994"/>
      <c r="M1" s="1994"/>
      <c r="N1" s="1997"/>
    </row>
    <row r="2" spans="1:14" x14ac:dyDescent="0.25">
      <c r="A2" s="1999"/>
      <c r="B2" s="839"/>
      <c r="C2" s="839"/>
      <c r="D2" s="839"/>
      <c r="E2" s="839"/>
      <c r="F2" s="839"/>
      <c r="G2" s="2000" t="s">
        <v>2003</v>
      </c>
      <c r="H2" s="2001"/>
      <c r="I2" s="839"/>
      <c r="J2" s="839"/>
      <c r="K2" s="839"/>
      <c r="L2" s="839"/>
      <c r="M2" s="839"/>
      <c r="N2" s="2002"/>
    </row>
    <row r="3" spans="1:14" x14ac:dyDescent="0.25">
      <c r="A3" s="1999"/>
      <c r="B3" s="839"/>
      <c r="C3" s="839"/>
      <c r="D3" s="839"/>
      <c r="E3" s="839"/>
      <c r="F3" s="839"/>
      <c r="G3" s="2000" t="s">
        <v>401</v>
      </c>
      <c r="H3" s="839"/>
      <c r="I3" s="839"/>
      <c r="J3" s="839"/>
      <c r="K3" s="839"/>
      <c r="L3" s="839"/>
      <c r="M3" s="839"/>
      <c r="N3" s="2002"/>
    </row>
    <row r="4" spans="1:14" x14ac:dyDescent="0.25">
      <c r="A4" s="1999"/>
      <c r="B4" s="839"/>
      <c r="C4" s="839"/>
      <c r="D4" s="839"/>
      <c r="E4" s="839"/>
      <c r="F4" s="839"/>
      <c r="G4" s="2000" t="s">
        <v>861</v>
      </c>
      <c r="H4" s="839"/>
      <c r="I4" s="839"/>
      <c r="J4" s="839"/>
      <c r="K4" s="839"/>
      <c r="L4" s="839"/>
      <c r="M4" s="839"/>
      <c r="N4" s="2002"/>
    </row>
    <row r="5" spans="1:14" x14ac:dyDescent="0.25">
      <c r="A5" s="1999"/>
      <c r="B5" s="839"/>
      <c r="C5" s="839"/>
      <c r="D5" s="839"/>
      <c r="E5" s="839"/>
      <c r="F5" s="2000"/>
      <c r="G5" s="2000"/>
      <c r="H5" s="839"/>
      <c r="I5" s="839"/>
      <c r="J5" s="839"/>
      <c r="K5" s="839"/>
      <c r="L5" s="839"/>
      <c r="M5" s="839"/>
      <c r="N5" s="2002"/>
    </row>
    <row r="6" spans="1:14" x14ac:dyDescent="0.25">
      <c r="A6" s="2003" t="s">
        <v>665</v>
      </c>
      <c r="B6" s="1422"/>
      <c r="C6" s="1422"/>
      <c r="D6" s="1422"/>
      <c r="E6" s="1423"/>
      <c r="F6" s="2004"/>
      <c r="G6" s="2000"/>
      <c r="H6" s="839"/>
      <c r="I6" s="2005" t="s">
        <v>1019</v>
      </c>
      <c r="J6" s="2518" t="str">
        <f>COVER!A17</f>
        <v>Woodlawn Community Unit School District #209</v>
      </c>
      <c r="K6" s="2518"/>
      <c r="L6" s="2519"/>
      <c r="M6" s="839"/>
      <c r="N6" s="2002"/>
    </row>
    <row r="7" spans="1:14" x14ac:dyDescent="0.25">
      <c r="A7" s="2520" t="s">
        <v>862</v>
      </c>
      <c r="B7" s="2521"/>
      <c r="C7" s="2521"/>
      <c r="D7" s="2521"/>
      <c r="E7" s="2522"/>
      <c r="F7" s="847"/>
      <c r="G7" s="839"/>
      <c r="H7" s="839"/>
      <c r="I7" s="2005" t="s">
        <v>367</v>
      </c>
      <c r="J7" s="2523" t="str">
        <f>COVER!A13</f>
        <v>13-041-2090-27</v>
      </c>
      <c r="K7" s="2523"/>
      <c r="L7" s="2523"/>
      <c r="M7" s="839"/>
      <c r="N7" s="2002"/>
    </row>
    <row r="8" spans="1:14" x14ac:dyDescent="0.25">
      <c r="A8" s="2006"/>
      <c r="B8" s="2007"/>
      <c r="C8" s="2007"/>
      <c r="D8" s="2007"/>
      <c r="E8" s="2008"/>
      <c r="F8" s="2009"/>
      <c r="G8" s="1977"/>
      <c r="H8" s="1977"/>
      <c r="I8" s="1977"/>
      <c r="J8" s="1977"/>
      <c r="K8" s="1977"/>
      <c r="L8" s="1977"/>
      <c r="M8" s="839"/>
      <c r="N8" s="2002"/>
    </row>
    <row r="9" spans="1:14" x14ac:dyDescent="0.25">
      <c r="A9" s="2010"/>
      <c r="B9" s="851"/>
      <c r="C9" s="851"/>
      <c r="D9" s="852"/>
      <c r="E9" s="2011" t="s">
        <v>2070</v>
      </c>
      <c r="F9" s="1916"/>
      <c r="G9" s="1916"/>
      <c r="H9" s="1916"/>
      <c r="I9" s="2012" t="s">
        <v>2071</v>
      </c>
      <c r="J9" s="1916"/>
      <c r="K9" s="1916"/>
      <c r="L9" s="1918"/>
      <c r="M9" s="839"/>
      <c r="N9" s="2002"/>
    </row>
    <row r="10" spans="1:14" x14ac:dyDescent="0.25">
      <c r="A10" s="2013"/>
      <c r="B10" s="2014"/>
      <c r="C10" s="2015"/>
      <c r="D10" s="2016"/>
      <c r="E10" s="2017" t="s">
        <v>420</v>
      </c>
      <c r="F10" s="2018" t="s">
        <v>421</v>
      </c>
      <c r="G10" s="2019" t="s">
        <v>427</v>
      </c>
      <c r="H10" s="2020"/>
      <c r="I10" s="2018" t="s">
        <v>420</v>
      </c>
      <c r="J10" s="2018" t="s">
        <v>421</v>
      </c>
      <c r="K10" s="2019" t="s">
        <v>427</v>
      </c>
      <c r="L10" s="2018"/>
      <c r="M10" s="839"/>
      <c r="N10" s="2002"/>
    </row>
    <row r="11" spans="1:14" ht="51" x14ac:dyDescent="0.25">
      <c r="A11" s="2524" t="s">
        <v>476</v>
      </c>
      <c r="B11" s="2525"/>
      <c r="C11" s="2526"/>
      <c r="D11" s="2021" t="s">
        <v>864</v>
      </c>
      <c r="E11" s="2021" t="s">
        <v>64</v>
      </c>
      <c r="F11" s="2021" t="s">
        <v>6</v>
      </c>
      <c r="G11" s="2022" t="s">
        <v>2072</v>
      </c>
      <c r="H11" s="2023" t="s">
        <v>155</v>
      </c>
      <c r="I11" s="2021" t="s">
        <v>64</v>
      </c>
      <c r="J11" s="2021" t="s">
        <v>6</v>
      </c>
      <c r="K11" s="2022" t="s">
        <v>2002</v>
      </c>
      <c r="L11" s="2023" t="s">
        <v>155</v>
      </c>
      <c r="M11" s="839"/>
      <c r="N11" s="2002"/>
    </row>
    <row r="12" spans="1:14" x14ac:dyDescent="0.25">
      <c r="A12" s="2024">
        <v>1</v>
      </c>
      <c r="B12" s="2025" t="s">
        <v>811</v>
      </c>
      <c r="C12" s="865"/>
      <c r="D12" s="2026">
        <v>2320</v>
      </c>
      <c r="E12" s="2027">
        <f>'Expenditures 15-22'!K50</f>
        <v>99837</v>
      </c>
      <c r="F12" s="2028"/>
      <c r="G12" s="2029">
        <f>G68</f>
        <v>0</v>
      </c>
      <c r="H12" s="2030">
        <f t="shared" ref="H12:H18" si="0">SUM(E12:G12)</f>
        <v>99837</v>
      </c>
      <c r="I12" s="2031">
        <v>97056</v>
      </c>
      <c r="J12" s="2028"/>
      <c r="K12" s="2031"/>
      <c r="L12" s="2030">
        <f t="shared" ref="L12:L18" si="1">SUM(I12:K12)</f>
        <v>97056</v>
      </c>
      <c r="M12" s="839"/>
      <c r="N12" s="2002"/>
    </row>
    <row r="13" spans="1:14" x14ac:dyDescent="0.25">
      <c r="A13" s="2024">
        <v>2</v>
      </c>
      <c r="B13" s="2025" t="s">
        <v>42</v>
      </c>
      <c r="C13" s="865"/>
      <c r="D13" s="2026">
        <v>2330</v>
      </c>
      <c r="E13" s="2027">
        <f>'Expenditures 15-22'!K51</f>
        <v>0</v>
      </c>
      <c r="F13" s="2028"/>
      <c r="G13" s="2029">
        <f>H68</f>
        <v>0</v>
      </c>
      <c r="H13" s="2030">
        <f t="shared" si="0"/>
        <v>0</v>
      </c>
      <c r="I13" s="2031"/>
      <c r="J13" s="2028"/>
      <c r="K13" s="2031"/>
      <c r="L13" s="2030">
        <f t="shared" si="1"/>
        <v>0</v>
      </c>
      <c r="M13" s="839"/>
      <c r="N13" s="2002"/>
    </row>
    <row r="14" spans="1:14" x14ac:dyDescent="0.25">
      <c r="A14" s="2024">
        <v>3</v>
      </c>
      <c r="B14" s="2025" t="s">
        <v>43</v>
      </c>
      <c r="C14" s="865"/>
      <c r="D14" s="2032">
        <v>2490</v>
      </c>
      <c r="E14" s="2027">
        <f>'Expenditures 15-22'!K56</f>
        <v>0</v>
      </c>
      <c r="F14" s="2028"/>
      <c r="G14" s="2029">
        <f>I68</f>
        <v>0</v>
      </c>
      <c r="H14" s="2030">
        <f t="shared" si="0"/>
        <v>0</v>
      </c>
      <c r="I14" s="2031"/>
      <c r="J14" s="2028"/>
      <c r="K14" s="2031"/>
      <c r="L14" s="2030">
        <f t="shared" si="1"/>
        <v>0</v>
      </c>
      <c r="M14" s="839"/>
      <c r="N14" s="2002"/>
    </row>
    <row r="15" spans="1:14" x14ac:dyDescent="0.25">
      <c r="A15" s="2024">
        <v>4</v>
      </c>
      <c r="B15" s="2025" t="s">
        <v>1059</v>
      </c>
      <c r="C15" s="865"/>
      <c r="D15" s="2026">
        <v>2510</v>
      </c>
      <c r="E15" s="2027">
        <f>'Expenditures 15-22'!K59</f>
        <v>0</v>
      </c>
      <c r="F15" s="2027">
        <f>'Expenditures 15-22'!K122</f>
        <v>0</v>
      </c>
      <c r="G15" s="2029">
        <f>J68</f>
        <v>0</v>
      </c>
      <c r="H15" s="2030">
        <f t="shared" si="0"/>
        <v>0</v>
      </c>
      <c r="I15" s="2031"/>
      <c r="J15" s="2031"/>
      <c r="K15" s="2031"/>
      <c r="L15" s="2030">
        <f t="shared" si="1"/>
        <v>0</v>
      </c>
      <c r="M15" s="839"/>
      <c r="N15" s="2002"/>
    </row>
    <row r="16" spans="1:14" x14ac:dyDescent="0.25">
      <c r="A16" s="2024">
        <v>5</v>
      </c>
      <c r="B16" s="2025" t="s">
        <v>101</v>
      </c>
      <c r="C16" s="865"/>
      <c r="D16" s="2026">
        <v>2570</v>
      </c>
      <c r="E16" s="2027">
        <f>'Expenditures 15-22'!K64</f>
        <v>55667</v>
      </c>
      <c r="F16" s="2028"/>
      <c r="G16" s="2029">
        <f>K68</f>
        <v>0</v>
      </c>
      <c r="H16" s="2030">
        <f t="shared" si="0"/>
        <v>55667</v>
      </c>
      <c r="I16" s="2031">
        <v>61351</v>
      </c>
      <c r="J16" s="2028"/>
      <c r="K16" s="2031"/>
      <c r="L16" s="2030">
        <f t="shared" si="1"/>
        <v>61351</v>
      </c>
      <c r="M16" s="839"/>
      <c r="N16" s="2002"/>
    </row>
    <row r="17" spans="1:14" x14ac:dyDescent="0.25">
      <c r="A17" s="2024">
        <v>6</v>
      </c>
      <c r="B17" s="2025" t="s">
        <v>1051</v>
      </c>
      <c r="C17" s="865"/>
      <c r="D17" s="2026">
        <v>2610</v>
      </c>
      <c r="E17" s="2027">
        <f>'Expenditures 15-22'!K67</f>
        <v>0</v>
      </c>
      <c r="F17" s="2028"/>
      <c r="G17" s="2029">
        <f>L68</f>
        <v>0</v>
      </c>
      <c r="H17" s="2030">
        <f t="shared" si="0"/>
        <v>0</v>
      </c>
      <c r="I17" s="2031"/>
      <c r="J17" s="2028"/>
      <c r="K17" s="2031"/>
      <c r="L17" s="2030">
        <f t="shared" si="1"/>
        <v>0</v>
      </c>
      <c r="M17" s="839"/>
      <c r="N17" s="2002"/>
    </row>
    <row r="18" spans="1:14" ht="28.5" customHeight="1" x14ac:dyDescent="0.25">
      <c r="A18" s="2033">
        <v>7</v>
      </c>
      <c r="B18" s="2527" t="s">
        <v>7</v>
      </c>
      <c r="C18" s="2507"/>
      <c r="D18" s="2508"/>
      <c r="E18" s="2034"/>
      <c r="F18" s="2034"/>
      <c r="G18" s="2031"/>
      <c r="H18" s="2035">
        <f t="shared" si="0"/>
        <v>0</v>
      </c>
      <c r="I18" s="2031"/>
      <c r="J18" s="2031"/>
      <c r="K18" s="2031"/>
      <c r="L18" s="2030">
        <f t="shared" si="1"/>
        <v>0</v>
      </c>
      <c r="M18" s="839"/>
      <c r="N18" s="2002"/>
    </row>
    <row r="19" spans="1:14" ht="15.75" thickBot="1" x14ac:dyDescent="0.3">
      <c r="A19" s="2024">
        <v>8</v>
      </c>
      <c r="B19" s="2036" t="s">
        <v>1151</v>
      </c>
      <c r="C19" s="839"/>
      <c r="D19" s="2037"/>
      <c r="E19" s="2038">
        <f t="shared" ref="E19:L19" si="2">SUM(E12:E17)-E18</f>
        <v>155504</v>
      </c>
      <c r="F19" s="2038">
        <f t="shared" si="2"/>
        <v>0</v>
      </c>
      <c r="G19" s="2038">
        <f t="shared" ref="G19" si="3">SUM(G12:G17)-G18</f>
        <v>0</v>
      </c>
      <c r="H19" s="2038">
        <f t="shared" si="2"/>
        <v>155504</v>
      </c>
      <c r="I19" s="2038">
        <f t="shared" si="2"/>
        <v>158407</v>
      </c>
      <c r="J19" s="2038">
        <f t="shared" si="2"/>
        <v>0</v>
      </c>
      <c r="K19" s="2038">
        <f t="shared" si="2"/>
        <v>0</v>
      </c>
      <c r="L19" s="2038">
        <f t="shared" si="2"/>
        <v>158407</v>
      </c>
      <c r="M19" s="839"/>
      <c r="N19" s="2002"/>
    </row>
    <row r="20" spans="1:14" ht="15.75" thickTop="1" x14ac:dyDescent="0.25">
      <c r="A20" s="2024">
        <v>9</v>
      </c>
      <c r="B20" s="2516" t="s">
        <v>2073</v>
      </c>
      <c r="C20" s="2516"/>
      <c r="D20" s="2517"/>
      <c r="E20" s="2039"/>
      <c r="F20" s="2039"/>
      <c r="G20" s="2039"/>
      <c r="H20" s="2039"/>
      <c r="I20" s="2039"/>
      <c r="J20" s="2039"/>
      <c r="K20" s="2039"/>
      <c r="L20" s="2040">
        <f>IF(AND(H19&gt;0,L19&gt;0),(((L19-H19)/H19)),"Enter Budget Data")</f>
        <v>1.8668330075110609E-2</v>
      </c>
      <c r="M20" s="839"/>
      <c r="N20" s="2002"/>
    </row>
    <row r="21" spans="1:14" x14ac:dyDescent="0.25">
      <c r="A21" s="2041" t="s">
        <v>194</v>
      </c>
      <c r="B21" s="2042" t="s">
        <v>2074</v>
      </c>
      <c r="C21" s="839"/>
      <c r="D21" s="2043"/>
      <c r="E21" s="2044"/>
      <c r="F21" s="2045"/>
      <c r="G21" s="2045"/>
      <c r="H21" s="2045"/>
      <c r="I21" s="2045"/>
      <c r="J21" s="2045"/>
      <c r="K21" s="2045"/>
      <c r="L21" s="2046"/>
      <c r="M21" s="839"/>
      <c r="N21" s="2002"/>
    </row>
    <row r="22" spans="1:14" x14ac:dyDescent="0.25">
      <c r="A22" s="1999"/>
      <c r="B22" s="2047"/>
      <c r="C22" s="839"/>
      <c r="D22" s="839"/>
      <c r="E22" s="839"/>
      <c r="F22" s="839"/>
      <c r="G22" s="839"/>
      <c r="H22" s="839"/>
      <c r="I22" s="839"/>
      <c r="J22" s="839"/>
      <c r="K22" s="839"/>
      <c r="L22" s="839"/>
      <c r="M22" s="839"/>
      <c r="N22" s="2002"/>
    </row>
    <row r="23" spans="1:14" x14ac:dyDescent="0.25">
      <c r="A23" s="2048" t="s">
        <v>132</v>
      </c>
      <c r="B23" s="2047"/>
      <c r="C23" s="839"/>
      <c r="D23" s="839"/>
      <c r="E23" s="839"/>
      <c r="F23" s="839"/>
      <c r="G23" s="839"/>
      <c r="H23" s="839"/>
      <c r="I23" s="839"/>
      <c r="J23" s="839"/>
      <c r="K23" s="839"/>
      <c r="L23" s="839"/>
      <c r="M23" s="839"/>
      <c r="N23" s="2002"/>
    </row>
    <row r="24" spans="1:14" x14ac:dyDescent="0.25">
      <c r="A24" s="2049" t="s">
        <v>2075</v>
      </c>
      <c r="B24" s="2050"/>
      <c r="C24" s="2051"/>
      <c r="D24" s="2051"/>
      <c r="E24" s="2051"/>
      <c r="F24" s="2051"/>
      <c r="G24" s="2051"/>
      <c r="H24" s="2051"/>
      <c r="I24" s="2051"/>
      <c r="J24" s="2051"/>
      <c r="K24" s="2051"/>
      <c r="L24" s="839"/>
      <c r="M24" s="839"/>
      <c r="N24" s="2002"/>
    </row>
    <row r="25" spans="1:14" x14ac:dyDescent="0.25">
      <c r="A25" s="2049" t="s">
        <v>2076</v>
      </c>
      <c r="B25" s="2050"/>
      <c r="C25" s="2051"/>
      <c r="D25" s="2051"/>
      <c r="E25" s="2051"/>
      <c r="F25" s="2051"/>
      <c r="G25" s="2051"/>
      <c r="H25" s="2051"/>
      <c r="I25" s="2051"/>
      <c r="J25" s="2051"/>
      <c r="K25" s="2051"/>
      <c r="L25" s="839"/>
      <c r="M25" s="839"/>
      <c r="N25" s="2002"/>
    </row>
    <row r="26" spans="1:14" x14ac:dyDescent="0.25">
      <c r="A26" s="2052"/>
      <c r="B26" s="2047"/>
      <c r="C26" s="839"/>
      <c r="D26" s="839"/>
      <c r="E26" s="839"/>
      <c r="F26" s="839"/>
      <c r="G26" s="839"/>
      <c r="H26" s="839"/>
      <c r="I26" s="839"/>
      <c r="J26" s="839"/>
      <c r="K26" s="839"/>
      <c r="L26" s="839"/>
      <c r="M26" s="839"/>
      <c r="N26" s="2002"/>
    </row>
    <row r="27" spans="1:14" x14ac:dyDescent="0.25">
      <c r="A27" s="1999"/>
      <c r="B27" s="2047"/>
      <c r="C27" s="2515"/>
      <c r="D27" s="2515"/>
      <c r="E27" s="874"/>
      <c r="F27" s="2514"/>
      <c r="G27" s="2514"/>
      <c r="H27" s="2514"/>
      <c r="I27" s="839"/>
      <c r="J27" s="839"/>
      <c r="K27" s="839"/>
      <c r="L27" s="839"/>
      <c r="M27" s="839"/>
      <c r="N27" s="2002"/>
    </row>
    <row r="28" spans="1:14" x14ac:dyDescent="0.25">
      <c r="A28" s="1999"/>
      <c r="B28" s="2047"/>
      <c r="C28" s="2053" t="s">
        <v>1024</v>
      </c>
      <c r="D28" s="876"/>
      <c r="E28" s="2054"/>
      <c r="F28" s="2530" t="s">
        <v>1493</v>
      </c>
      <c r="G28" s="2530"/>
      <c r="H28" s="2530"/>
      <c r="I28" s="839"/>
      <c r="J28" s="839"/>
      <c r="K28" s="839"/>
      <c r="L28" s="839"/>
      <c r="M28" s="839"/>
      <c r="N28" s="2002"/>
    </row>
    <row r="29" spans="1:14" x14ac:dyDescent="0.25">
      <c r="A29" s="1999"/>
      <c r="B29" s="2047"/>
      <c r="C29" s="2513"/>
      <c r="D29" s="2513"/>
      <c r="E29" s="878"/>
      <c r="F29" s="2513"/>
      <c r="G29" s="2513"/>
      <c r="H29" s="2513"/>
      <c r="I29" s="839"/>
      <c r="J29" s="839"/>
      <c r="K29" s="839"/>
      <c r="L29" s="839"/>
      <c r="M29" s="839"/>
      <c r="N29" s="2002"/>
    </row>
    <row r="30" spans="1:14" x14ac:dyDescent="0.25">
      <c r="A30" s="1999"/>
      <c r="B30" s="2047"/>
      <c r="C30" s="2055" t="s">
        <v>1545</v>
      </c>
      <c r="D30" s="839"/>
      <c r="E30" s="2056"/>
      <c r="F30" s="2531" t="s">
        <v>1494</v>
      </c>
      <c r="G30" s="2531"/>
      <c r="H30" s="2531"/>
      <c r="I30" s="839"/>
      <c r="J30" s="839"/>
      <c r="K30" s="839"/>
      <c r="L30" s="839"/>
      <c r="M30" s="839"/>
      <c r="N30" s="2002"/>
    </row>
    <row r="31" spans="1:14" x14ac:dyDescent="0.25">
      <c r="A31" s="1999"/>
      <c r="B31" s="2047"/>
      <c r="C31" s="2057"/>
      <c r="D31" s="839"/>
      <c r="E31" s="2043"/>
      <c r="F31" s="2044"/>
      <c r="G31" s="2044"/>
      <c r="H31" s="2044"/>
      <c r="I31" s="839"/>
      <c r="J31" s="839"/>
      <c r="K31" s="839"/>
      <c r="L31" s="839"/>
      <c r="M31" s="839"/>
      <c r="N31" s="2002"/>
    </row>
    <row r="32" spans="1:14" x14ac:dyDescent="0.25">
      <c r="A32" s="1999"/>
      <c r="B32" s="2058" t="s">
        <v>1025</v>
      </c>
      <c r="C32" s="839"/>
      <c r="D32" s="839"/>
      <c r="E32" s="839"/>
      <c r="F32" s="839"/>
      <c r="G32" s="839"/>
      <c r="H32" s="839"/>
      <c r="I32" s="839"/>
      <c r="J32" s="839"/>
      <c r="K32" s="839"/>
      <c r="L32" s="839"/>
      <c r="M32" s="839"/>
      <c r="N32" s="2002"/>
    </row>
    <row r="33" spans="1:14" x14ac:dyDescent="0.25">
      <c r="A33" s="1999"/>
      <c r="B33" s="2059"/>
      <c r="C33" s="839"/>
      <c r="D33" s="839"/>
      <c r="E33" s="839"/>
      <c r="F33" s="839"/>
      <c r="G33" s="839"/>
      <c r="H33" s="839"/>
      <c r="I33" s="839"/>
      <c r="J33" s="839"/>
      <c r="K33" s="839"/>
      <c r="L33" s="839"/>
      <c r="M33" s="839"/>
      <c r="N33" s="2002"/>
    </row>
    <row r="34" spans="1:14" x14ac:dyDescent="0.25">
      <c r="A34" s="1999"/>
      <c r="B34" s="885"/>
      <c r="C34" s="2532" t="s">
        <v>2077</v>
      </c>
      <c r="D34" s="2533"/>
      <c r="E34" s="2533"/>
      <c r="F34" s="2533"/>
      <c r="G34" s="2533"/>
      <c r="H34" s="2533"/>
      <c r="I34" s="2533"/>
      <c r="J34" s="2533"/>
      <c r="K34" s="2060"/>
      <c r="L34" s="839"/>
      <c r="M34" s="839"/>
      <c r="N34" s="2002"/>
    </row>
    <row r="35" spans="1:14" x14ac:dyDescent="0.25">
      <c r="A35" s="1999"/>
      <c r="B35" s="839"/>
      <c r="C35" s="2533"/>
      <c r="D35" s="2533"/>
      <c r="E35" s="2533"/>
      <c r="F35" s="2533"/>
      <c r="G35" s="2533"/>
      <c r="H35" s="2533"/>
      <c r="I35" s="2533"/>
      <c r="J35" s="2533"/>
      <c r="K35" s="2060"/>
      <c r="L35" s="839"/>
      <c r="M35" s="839"/>
      <c r="N35" s="2002"/>
    </row>
    <row r="36" spans="1:14" x14ac:dyDescent="0.25">
      <c r="A36" s="1999"/>
      <c r="B36" s="839"/>
      <c r="C36" s="2061"/>
      <c r="D36" s="839"/>
      <c r="E36" s="839"/>
      <c r="F36" s="839"/>
      <c r="G36" s="839"/>
      <c r="H36" s="839"/>
      <c r="I36" s="839"/>
      <c r="J36" s="839"/>
      <c r="K36" s="839"/>
      <c r="L36" s="839"/>
      <c r="M36" s="839"/>
      <c r="N36" s="2002"/>
    </row>
    <row r="37" spans="1:14" x14ac:dyDescent="0.25">
      <c r="A37" s="1999"/>
      <c r="B37" s="885"/>
      <c r="C37" s="2532" t="s">
        <v>2078</v>
      </c>
      <c r="D37" s="2533"/>
      <c r="E37" s="2533"/>
      <c r="F37" s="2533"/>
      <c r="G37" s="2533"/>
      <c r="H37" s="2533"/>
      <c r="I37" s="2533"/>
      <c r="J37" s="2533"/>
      <c r="K37" s="2060"/>
      <c r="L37" s="2062"/>
      <c r="M37" s="839"/>
      <c r="N37" s="2002"/>
    </row>
    <row r="38" spans="1:14" x14ac:dyDescent="0.25">
      <c r="A38" s="1999"/>
      <c r="B38" s="839"/>
      <c r="C38" s="2533"/>
      <c r="D38" s="2533"/>
      <c r="E38" s="2533"/>
      <c r="F38" s="2533"/>
      <c r="G38" s="2533"/>
      <c r="H38" s="2533"/>
      <c r="I38" s="2533"/>
      <c r="J38" s="2533"/>
      <c r="K38" s="2060"/>
      <c r="L38" s="2062"/>
      <c r="M38" s="839"/>
      <c r="N38" s="2002"/>
    </row>
    <row r="39" spans="1:14" x14ac:dyDescent="0.25">
      <c r="A39" s="1999"/>
      <c r="B39" s="839"/>
      <c r="C39" s="2061"/>
      <c r="D39" s="839"/>
      <c r="E39" s="2063"/>
      <c r="F39" s="2064"/>
      <c r="G39" s="2064"/>
      <c r="H39" s="2063"/>
      <c r="I39" s="839"/>
      <c r="J39" s="839"/>
      <c r="K39" s="839"/>
      <c r="L39" s="839"/>
      <c r="M39" s="839"/>
      <c r="N39" s="2002"/>
    </row>
    <row r="40" spans="1:14" x14ac:dyDescent="0.25">
      <c r="A40" s="1999"/>
      <c r="B40" s="885"/>
      <c r="C40" s="2534" t="s">
        <v>2079</v>
      </c>
      <c r="D40" s="2535"/>
      <c r="E40" s="2535"/>
      <c r="F40" s="2535"/>
      <c r="G40" s="2535"/>
      <c r="H40" s="2535"/>
      <c r="I40" s="2535"/>
      <c r="J40" s="2535"/>
      <c r="K40" s="2065"/>
      <c r="L40" s="839"/>
      <c r="M40" s="839"/>
      <c r="N40" s="2002"/>
    </row>
    <row r="41" spans="1:14" x14ac:dyDescent="0.25">
      <c r="A41" s="1999"/>
      <c r="B41" s="839"/>
      <c r="C41" s="2066"/>
      <c r="D41" s="2066"/>
      <c r="E41" s="2066"/>
      <c r="F41" s="2066"/>
      <c r="G41" s="2066"/>
      <c r="H41" s="2066"/>
      <c r="I41" s="2066"/>
      <c r="J41" s="2066"/>
      <c r="K41" s="2066"/>
      <c r="L41" s="839"/>
      <c r="M41" s="839"/>
      <c r="N41" s="2002"/>
    </row>
    <row r="42" spans="1:14" ht="15.75" thickBot="1" x14ac:dyDescent="0.3">
      <c r="A42" s="2067"/>
      <c r="B42" s="2068"/>
      <c r="C42" s="2068"/>
      <c r="D42" s="2068"/>
      <c r="E42" s="2068"/>
      <c r="F42" s="2068"/>
      <c r="G42" s="2068"/>
      <c r="H42" s="2068"/>
      <c r="I42" s="2068"/>
      <c r="J42" s="2068"/>
      <c r="K42" s="2068"/>
      <c r="L42" s="2068"/>
      <c r="M42" s="2068"/>
      <c r="N42" s="2069"/>
    </row>
    <row r="43" spans="1:14" ht="27" thickBot="1" x14ac:dyDescent="0.45">
      <c r="A43" s="2536" t="s">
        <v>2080</v>
      </c>
      <c r="B43" s="2537"/>
      <c r="C43" s="2537"/>
      <c r="D43" s="2537"/>
      <c r="E43" s="2537"/>
      <c r="F43" s="2537"/>
      <c r="G43" s="2537"/>
      <c r="H43" s="2537"/>
      <c r="I43" s="2537"/>
      <c r="J43" s="2537"/>
      <c r="K43" s="2537"/>
      <c r="L43" s="2537"/>
      <c r="M43" s="2537"/>
      <c r="N43" s="2538"/>
    </row>
    <row r="44" spans="1:14" x14ac:dyDescent="0.25">
      <c r="A44" s="2070"/>
      <c r="B44" s="2071"/>
      <c r="C44" s="2071"/>
      <c r="D44" s="2071"/>
      <c r="E44" s="2071"/>
      <c r="F44" s="2071"/>
      <c r="G44" s="2071"/>
      <c r="H44" s="2071"/>
      <c r="I44" s="2071"/>
      <c r="J44" s="2071"/>
      <c r="K44" s="2071"/>
      <c r="L44" s="2071"/>
      <c r="M44" s="2071"/>
      <c r="N44" s="2072"/>
    </row>
    <row r="45" spans="1:14" x14ac:dyDescent="0.25">
      <c r="A45" s="2070" t="s">
        <v>2081</v>
      </c>
      <c r="B45" s="2071"/>
      <c r="C45" s="2071"/>
      <c r="D45" s="2071"/>
      <c r="E45" s="2071"/>
      <c r="F45" s="2071"/>
      <c r="G45" s="2071"/>
      <c r="H45" s="2071"/>
      <c r="I45" s="2071"/>
      <c r="J45" s="2071"/>
      <c r="K45" s="2071"/>
      <c r="L45" s="2071"/>
      <c r="M45" s="2071"/>
      <c r="N45" s="2072"/>
    </row>
    <row r="46" spans="1:14" x14ac:dyDescent="0.25">
      <c r="A46" s="2539" t="s">
        <v>2082</v>
      </c>
      <c r="B46" s="2540"/>
      <c r="C46" s="2540"/>
      <c r="D46" s="2540"/>
      <c r="E46" s="2540"/>
      <c r="F46" s="2540"/>
      <c r="G46" s="2540"/>
      <c r="H46" s="2540"/>
      <c r="I46" s="2540"/>
      <c r="J46" s="2540"/>
      <c r="K46" s="2540"/>
      <c r="L46" s="2540"/>
      <c r="M46" s="2540"/>
      <c r="N46" s="2541"/>
    </row>
    <row r="47" spans="1:14" x14ac:dyDescent="0.25">
      <c r="A47" s="2539"/>
      <c r="B47" s="2540"/>
      <c r="C47" s="2540"/>
      <c r="D47" s="2540"/>
      <c r="E47" s="2540"/>
      <c r="F47" s="2540"/>
      <c r="G47" s="2540"/>
      <c r="H47" s="2540"/>
      <c r="I47" s="2540"/>
      <c r="J47" s="2540"/>
      <c r="K47" s="2540"/>
      <c r="L47" s="2540"/>
      <c r="M47" s="2540"/>
      <c r="N47" s="2541"/>
    </row>
    <row r="48" spans="1:14" x14ac:dyDescent="0.25">
      <c r="A48" s="2073"/>
      <c r="B48" s="2071"/>
      <c r="C48" s="2071"/>
      <c r="D48" s="2074"/>
      <c r="E48" s="2074"/>
      <c r="F48" s="2074"/>
      <c r="G48" s="2074"/>
      <c r="H48" s="2074"/>
      <c r="I48" s="2074"/>
      <c r="J48" s="2074"/>
      <c r="K48" s="2074"/>
      <c r="L48" s="2074"/>
      <c r="M48" s="2074"/>
      <c r="N48" s="2075"/>
    </row>
    <row r="49" spans="1:14" ht="15.75" x14ac:dyDescent="0.25">
      <c r="A49" s="2076" t="s">
        <v>2083</v>
      </c>
      <c r="B49" s="2077"/>
      <c r="C49" s="2077"/>
      <c r="D49" s="2078"/>
      <c r="E49" s="2078"/>
      <c r="F49" s="2078"/>
      <c r="G49" s="2078"/>
      <c r="H49" s="2078"/>
      <c r="I49" s="2078"/>
      <c r="J49" s="2078"/>
      <c r="K49" s="2078"/>
      <c r="L49" s="2078"/>
      <c r="M49" s="2078"/>
      <c r="N49" s="2079"/>
    </row>
    <row r="50" spans="1:14" x14ac:dyDescent="0.25">
      <c r="A50" s="2076" t="s">
        <v>2084</v>
      </c>
      <c r="B50" s="2071"/>
      <c r="C50" s="2071"/>
      <c r="D50" s="2071"/>
      <c r="E50" s="2071"/>
      <c r="F50" s="2071"/>
      <c r="G50" s="2071"/>
      <c r="H50" s="2071"/>
      <c r="I50" s="2071"/>
      <c r="J50" s="2071"/>
      <c r="K50" s="2071"/>
      <c r="L50" s="2071"/>
      <c r="M50" s="2071"/>
      <c r="N50" s="2072"/>
    </row>
    <row r="51" spans="1:14" x14ac:dyDescent="0.25">
      <c r="A51" s="2070"/>
      <c r="B51" s="2071"/>
      <c r="C51" s="2071"/>
      <c r="D51" s="2071"/>
      <c r="E51" s="2071"/>
      <c r="F51" s="2071"/>
      <c r="G51" s="2071"/>
      <c r="H51" s="2071"/>
      <c r="I51" s="2071"/>
      <c r="J51" s="2071"/>
      <c r="K51" s="2071"/>
      <c r="L51" s="2071"/>
      <c r="M51" s="2071"/>
      <c r="N51" s="2072"/>
    </row>
    <row r="52" spans="1:14" x14ac:dyDescent="0.25">
      <c r="A52" s="2070"/>
      <c r="B52" s="2071"/>
      <c r="C52" s="2071"/>
      <c r="D52" s="2071"/>
      <c r="E52" s="2071"/>
      <c r="F52" s="2071"/>
      <c r="G52" s="2071"/>
      <c r="H52" s="2071"/>
      <c r="I52" s="2071"/>
      <c r="J52" s="2071"/>
      <c r="K52" s="2005" t="s">
        <v>1019</v>
      </c>
      <c r="L52" s="2528" t="str">
        <f>J6</f>
        <v>Woodlawn Community Unit School District #209</v>
      </c>
      <c r="M52" s="2528"/>
      <c r="N52" s="2529"/>
    </row>
    <row r="53" spans="1:14" x14ac:dyDescent="0.25">
      <c r="A53" s="2070"/>
      <c r="B53" s="2071"/>
      <c r="C53" s="2071"/>
      <c r="D53" s="2071"/>
      <c r="E53" s="2071"/>
      <c r="F53" s="2071"/>
      <c r="G53" s="2071"/>
      <c r="H53" s="2071"/>
      <c r="I53" s="2071"/>
      <c r="J53" s="2071"/>
      <c r="K53" s="2005" t="s">
        <v>367</v>
      </c>
      <c r="L53" s="2544" t="str">
        <f>J7</f>
        <v>13-041-2090-27</v>
      </c>
      <c r="M53" s="2544"/>
      <c r="N53" s="2545"/>
    </row>
    <row r="54" spans="1:14" ht="15.75" thickBot="1" x14ac:dyDescent="0.3">
      <c r="A54" s="2070"/>
      <c r="B54" s="2071"/>
      <c r="C54" s="2071"/>
      <c r="D54" s="2071"/>
      <c r="E54" s="2071"/>
      <c r="F54" s="2071"/>
      <c r="G54" s="2071"/>
      <c r="H54" s="2071"/>
      <c r="I54" s="2071"/>
      <c r="J54" s="2071"/>
      <c r="K54" s="2071"/>
      <c r="L54" s="2071"/>
      <c r="M54" s="2071"/>
      <c r="N54" s="2072"/>
    </row>
    <row r="55" spans="1:14" x14ac:dyDescent="0.25">
      <c r="A55" s="2546"/>
      <c r="B55" s="2547"/>
      <c r="C55" s="2547"/>
      <c r="D55" s="2080"/>
      <c r="E55" s="2080"/>
      <c r="F55" s="2080"/>
      <c r="G55" s="2548" t="s">
        <v>2085</v>
      </c>
      <c r="H55" s="2548"/>
      <c r="I55" s="2548"/>
      <c r="J55" s="2548"/>
      <c r="K55" s="2548"/>
      <c r="L55" s="2548"/>
      <c r="M55" s="2548"/>
      <c r="N55" s="2549"/>
    </row>
    <row r="56" spans="1:14" ht="77.25" x14ac:dyDescent="0.25">
      <c r="A56" s="2550" t="s">
        <v>2086</v>
      </c>
      <c r="B56" s="2551"/>
      <c r="C56" s="2552"/>
      <c r="D56" s="2081" t="s">
        <v>2087</v>
      </c>
      <c r="E56" s="2081" t="s">
        <v>2088</v>
      </c>
      <c r="F56" s="2082"/>
      <c r="G56" s="2081" t="s">
        <v>2089</v>
      </c>
      <c r="H56" s="2081" t="s">
        <v>2090</v>
      </c>
      <c r="I56" s="2081" t="s">
        <v>2091</v>
      </c>
      <c r="J56" s="2081" t="s">
        <v>2092</v>
      </c>
      <c r="K56" s="2081" t="s">
        <v>2093</v>
      </c>
      <c r="L56" s="2081" t="s">
        <v>2094</v>
      </c>
      <c r="M56" s="2081" t="s">
        <v>2095</v>
      </c>
      <c r="N56" s="2083" t="s">
        <v>2096</v>
      </c>
    </row>
    <row r="57" spans="1:14" ht="24" customHeight="1" x14ac:dyDescent="0.25">
      <c r="A57" s="2553" t="s">
        <v>294</v>
      </c>
      <c r="B57" s="2554"/>
      <c r="C57" s="2554"/>
      <c r="D57" s="2084">
        <v>2361</v>
      </c>
      <c r="E57" s="2085">
        <f>'Expenditures 15-22'!K319</f>
        <v>0</v>
      </c>
      <c r="F57" s="2086"/>
      <c r="G57" s="2087"/>
      <c r="H57" s="2088"/>
      <c r="I57" s="2088"/>
      <c r="J57" s="2088"/>
      <c r="K57" s="2088"/>
      <c r="L57" s="2088"/>
      <c r="M57" s="2088"/>
      <c r="N57" s="2089">
        <f>IF((SUM(G57:M57))=E57,SUM(G57:M57),"Column N does not agree with Column E")</f>
        <v>0</v>
      </c>
    </row>
    <row r="58" spans="1:14" ht="24.75" customHeight="1" x14ac:dyDescent="0.25">
      <c r="A58" s="2555" t="s">
        <v>2097</v>
      </c>
      <c r="B58" s="2556"/>
      <c r="C58" s="2556"/>
      <c r="D58" s="2090">
        <v>2362</v>
      </c>
      <c r="E58" s="2091">
        <f>'Expenditures 15-22'!K320</f>
        <v>0</v>
      </c>
      <c r="F58" s="2086"/>
      <c r="G58" s="2092"/>
      <c r="H58" s="2093"/>
      <c r="I58" s="2093"/>
      <c r="J58" s="2093"/>
      <c r="K58" s="2093"/>
      <c r="L58" s="2093"/>
      <c r="M58" s="2093"/>
      <c r="N58" s="2089">
        <f>IF((SUM(G58:M58))=E58,SUM(G58:M58),"Column N does not agree with Column E")</f>
        <v>0</v>
      </c>
    </row>
    <row r="59" spans="1:14" ht="24.75" customHeight="1" x14ac:dyDescent="0.25">
      <c r="A59" s="2542" t="s">
        <v>295</v>
      </c>
      <c r="B59" s="2543"/>
      <c r="C59" s="2543"/>
      <c r="D59" s="2090">
        <v>2363</v>
      </c>
      <c r="E59" s="2091">
        <f>'Expenditures 15-22'!K321</f>
        <v>163</v>
      </c>
      <c r="F59" s="2086"/>
      <c r="G59" s="2092"/>
      <c r="H59" s="2093"/>
      <c r="I59" s="2093"/>
      <c r="J59" s="2093"/>
      <c r="K59" s="2093"/>
      <c r="L59" s="2093"/>
      <c r="M59" s="2093">
        <v>163</v>
      </c>
      <c r="N59" s="2089">
        <f t="shared" ref="N59:N67" si="4">IF((SUM(G59:M59))=E59,SUM(G59:M59),"Column N does not agree with Column E")</f>
        <v>163</v>
      </c>
    </row>
    <row r="60" spans="1:14" ht="24.75" customHeight="1" x14ac:dyDescent="0.25">
      <c r="A60" s="2542" t="s">
        <v>236</v>
      </c>
      <c r="B60" s="2543"/>
      <c r="C60" s="2543"/>
      <c r="D60" s="2090">
        <v>2364</v>
      </c>
      <c r="E60" s="2091">
        <f>'Expenditures 15-22'!K322</f>
        <v>45982</v>
      </c>
      <c r="F60" s="2086"/>
      <c r="G60" s="2092"/>
      <c r="H60" s="2093"/>
      <c r="I60" s="2093"/>
      <c r="J60" s="2093"/>
      <c r="K60" s="2093"/>
      <c r="L60" s="2093"/>
      <c r="M60" s="2093">
        <v>45982</v>
      </c>
      <c r="N60" s="2089">
        <f t="shared" si="4"/>
        <v>45982</v>
      </c>
    </row>
    <row r="61" spans="1:14" ht="24.75" customHeight="1" x14ac:dyDescent="0.25">
      <c r="A61" s="2542" t="s">
        <v>695</v>
      </c>
      <c r="B61" s="2543"/>
      <c r="C61" s="2543"/>
      <c r="D61" s="2090">
        <v>2365</v>
      </c>
      <c r="E61" s="2091">
        <f>'Expenditures 15-22'!K323</f>
        <v>3180</v>
      </c>
      <c r="F61" s="2086"/>
      <c r="G61" s="2092"/>
      <c r="H61" s="2093"/>
      <c r="I61" s="2093"/>
      <c r="J61" s="2093"/>
      <c r="K61" s="2093"/>
      <c r="L61" s="2093"/>
      <c r="M61" s="2093">
        <v>3180</v>
      </c>
      <c r="N61" s="2089">
        <f t="shared" si="4"/>
        <v>3180</v>
      </c>
    </row>
    <row r="62" spans="1:14" ht="24.75" customHeight="1" x14ac:dyDescent="0.25">
      <c r="A62" s="2542" t="s">
        <v>237</v>
      </c>
      <c r="B62" s="2543"/>
      <c r="C62" s="2543"/>
      <c r="D62" s="2090">
        <v>2366</v>
      </c>
      <c r="E62" s="2091">
        <f>'Expenditures 15-22'!K324</f>
        <v>0</v>
      </c>
      <c r="F62" s="2086"/>
      <c r="G62" s="2092"/>
      <c r="H62" s="2093"/>
      <c r="I62" s="2093"/>
      <c r="J62" s="2093"/>
      <c r="K62" s="2093"/>
      <c r="L62" s="2093"/>
      <c r="M62" s="2093"/>
      <c r="N62" s="2089">
        <f t="shared" si="4"/>
        <v>0</v>
      </c>
    </row>
    <row r="63" spans="1:14" ht="24.75" customHeight="1" x14ac:dyDescent="0.25">
      <c r="A63" s="2555" t="s">
        <v>1020</v>
      </c>
      <c r="B63" s="2556"/>
      <c r="C63" s="2556"/>
      <c r="D63" s="2090">
        <v>2367</v>
      </c>
      <c r="E63" s="2091">
        <f>'Expenditures 15-22'!K325</f>
        <v>0</v>
      </c>
      <c r="F63" s="2086"/>
      <c r="G63" s="2092"/>
      <c r="H63" s="2093"/>
      <c r="I63" s="2093"/>
      <c r="J63" s="2093"/>
      <c r="K63" s="2093"/>
      <c r="L63" s="2093"/>
      <c r="M63" s="2093"/>
      <c r="N63" s="2089">
        <f t="shared" si="4"/>
        <v>0</v>
      </c>
    </row>
    <row r="64" spans="1:14" ht="24.75" customHeight="1" x14ac:dyDescent="0.25">
      <c r="A64" s="2542" t="s">
        <v>1021</v>
      </c>
      <c r="B64" s="2543"/>
      <c r="C64" s="2543"/>
      <c r="D64" s="2090">
        <v>2368</v>
      </c>
      <c r="E64" s="2091">
        <f>'Expenditures 15-22'!K326</f>
        <v>0</v>
      </c>
      <c r="F64" s="2086"/>
      <c r="G64" s="2092"/>
      <c r="H64" s="2093"/>
      <c r="I64" s="2093"/>
      <c r="J64" s="2093"/>
      <c r="K64" s="2093"/>
      <c r="L64" s="2093"/>
      <c r="M64" s="2093"/>
      <c r="N64" s="2089">
        <f t="shared" si="4"/>
        <v>0</v>
      </c>
    </row>
    <row r="65" spans="1:14" ht="24" customHeight="1" x14ac:dyDescent="0.25">
      <c r="A65" s="2542" t="s">
        <v>963</v>
      </c>
      <c r="B65" s="2543"/>
      <c r="C65" s="2543"/>
      <c r="D65" s="2090">
        <v>2369</v>
      </c>
      <c r="E65" s="2091">
        <f>'Expenditures 15-22'!K327</f>
        <v>1100</v>
      </c>
      <c r="F65" s="2086"/>
      <c r="G65" s="2092"/>
      <c r="H65" s="2093"/>
      <c r="I65" s="2093"/>
      <c r="J65" s="2093"/>
      <c r="K65" s="2093"/>
      <c r="L65" s="2093"/>
      <c r="M65" s="2093">
        <v>1100</v>
      </c>
      <c r="N65" s="2089">
        <f t="shared" si="4"/>
        <v>1100</v>
      </c>
    </row>
    <row r="66" spans="1:14" ht="24.75" customHeight="1" x14ac:dyDescent="0.25">
      <c r="A66" s="2542" t="s">
        <v>467</v>
      </c>
      <c r="B66" s="2543"/>
      <c r="C66" s="2543"/>
      <c r="D66" s="2090">
        <v>2371</v>
      </c>
      <c r="E66" s="2091">
        <f>'Expenditures 15-22'!K328</f>
        <v>0</v>
      </c>
      <c r="F66" s="2086"/>
      <c r="G66" s="2092"/>
      <c r="H66" s="2093"/>
      <c r="I66" s="2093"/>
      <c r="J66" s="2093"/>
      <c r="K66" s="2093"/>
      <c r="L66" s="2093"/>
      <c r="M66" s="2093"/>
      <c r="N66" s="2089">
        <f t="shared" si="4"/>
        <v>0</v>
      </c>
    </row>
    <row r="67" spans="1:14" ht="24.75" customHeight="1" x14ac:dyDescent="0.25">
      <c r="A67" s="2561" t="s">
        <v>2098</v>
      </c>
      <c r="B67" s="2562"/>
      <c r="C67" s="2562"/>
      <c r="D67" s="2094">
        <v>2372</v>
      </c>
      <c r="E67" s="2095">
        <f>'Expenditures 15-22'!K329</f>
        <v>0</v>
      </c>
      <c r="F67" s="2086"/>
      <c r="G67" s="2096"/>
      <c r="H67" s="2097"/>
      <c r="I67" s="2097"/>
      <c r="J67" s="2097"/>
      <c r="K67" s="2097"/>
      <c r="L67" s="2097"/>
      <c r="M67" s="2097"/>
      <c r="N67" s="2089">
        <f t="shared" si="4"/>
        <v>0</v>
      </c>
    </row>
    <row r="68" spans="1:14" x14ac:dyDescent="0.25">
      <c r="A68" s="2563" t="s">
        <v>1151</v>
      </c>
      <c r="B68" s="2564"/>
      <c r="C68" s="2564"/>
      <c r="D68" s="2080"/>
      <c r="E68" s="2098">
        <f>SUM(E57:E67)</f>
        <v>50425</v>
      </c>
      <c r="F68" s="2099"/>
      <c r="G68" s="2098">
        <f t="shared" ref="G68:N68" si="5">SUM(G57:G67)</f>
        <v>0</v>
      </c>
      <c r="H68" s="2098">
        <f t="shared" si="5"/>
        <v>0</v>
      </c>
      <c r="I68" s="2098">
        <f t="shared" si="5"/>
        <v>0</v>
      </c>
      <c r="J68" s="2098">
        <f t="shared" si="5"/>
        <v>0</v>
      </c>
      <c r="K68" s="2098">
        <f t="shared" si="5"/>
        <v>0</v>
      </c>
      <c r="L68" s="2098">
        <f t="shared" si="5"/>
        <v>0</v>
      </c>
      <c r="M68" s="2098">
        <f t="shared" si="5"/>
        <v>50425</v>
      </c>
      <c r="N68" s="2100">
        <f t="shared" si="5"/>
        <v>50425</v>
      </c>
    </row>
    <row r="69" spans="1:14" x14ac:dyDescent="0.25">
      <c r="A69" s="2101"/>
      <c r="B69" s="2102"/>
      <c r="C69" s="2102"/>
      <c r="D69" s="2102"/>
      <c r="E69" s="2102"/>
      <c r="F69" s="2102"/>
      <c r="G69" s="2102"/>
      <c r="H69" s="2103" t="s">
        <v>2099</v>
      </c>
      <c r="I69" s="2102"/>
      <c r="J69" s="2102"/>
      <c r="K69" s="2102"/>
      <c r="L69" s="2103" t="s">
        <v>2100</v>
      </c>
      <c r="M69" s="2102"/>
      <c r="N69" s="2104"/>
    </row>
    <row r="70" spans="1:14" ht="46.5" customHeight="1" x14ac:dyDescent="0.25">
      <c r="A70" s="2105" t="s">
        <v>2101</v>
      </c>
      <c r="B70" s="2102"/>
      <c r="C70" s="2102"/>
      <c r="D70" s="2102"/>
      <c r="E70" s="2102"/>
      <c r="F70" s="2102"/>
      <c r="G70" s="2102"/>
      <c r="H70" s="2557" t="s">
        <v>2102</v>
      </c>
      <c r="I70" s="2557"/>
      <c r="J70" s="2557"/>
      <c r="K70" s="2102"/>
      <c r="L70" s="2557" t="s">
        <v>2103</v>
      </c>
      <c r="M70" s="2557"/>
      <c r="N70" s="2565"/>
    </row>
    <row r="71" spans="1:14" ht="42.75" customHeight="1" x14ac:dyDescent="0.25">
      <c r="A71" s="2101"/>
      <c r="B71" s="2102"/>
      <c r="C71" s="2102"/>
      <c r="D71" s="2102"/>
      <c r="E71" s="2102"/>
      <c r="F71" s="2102"/>
      <c r="G71" s="2102"/>
      <c r="H71" s="2557" t="s">
        <v>2104</v>
      </c>
      <c r="I71" s="2557"/>
      <c r="J71" s="2557"/>
      <c r="K71" s="2102"/>
      <c r="L71" s="2558" t="s">
        <v>2105</v>
      </c>
      <c r="M71" s="2558"/>
      <c r="N71" s="2559"/>
    </row>
    <row r="72" spans="1:14" ht="52.5" customHeight="1" thickBot="1" x14ac:dyDescent="0.3">
      <c r="A72" s="2106"/>
      <c r="B72" s="2107"/>
      <c r="C72" s="2107"/>
      <c r="D72" s="2107"/>
      <c r="E72" s="2107"/>
      <c r="F72" s="2107"/>
      <c r="G72" s="2107"/>
      <c r="H72" s="2560" t="s">
        <v>2106</v>
      </c>
      <c r="I72" s="2560"/>
      <c r="J72" s="2560"/>
      <c r="K72" s="2107"/>
      <c r="L72" s="2107"/>
      <c r="M72" s="2107"/>
      <c r="N72" s="2108"/>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9" firstPageNumber="32" fitToHeight="0" orientation="landscape" useFirstPageNumber="1" r:id="rId1"/>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5" t="s">
        <v>1056</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684</v>
      </c>
      <c r="B40" s="2222"/>
      <c r="C40" s="2222"/>
      <c r="D40" s="2222"/>
      <c r="E40" s="2222"/>
    </row>
    <row r="41" spans="1:5" x14ac:dyDescent="0.2">
      <c r="A41" s="2223" t="s">
        <v>1592</v>
      </c>
      <c r="B41" s="2223"/>
      <c r="C41" s="2223"/>
      <c r="D41" s="2223"/>
      <c r="E41" s="2223"/>
    </row>
    <row r="42" spans="1:5" ht="12.75" customHeight="1" x14ac:dyDescent="0.2">
      <c r="A42" s="2224" t="s">
        <v>1013</v>
      </c>
      <c r="B42" s="2224"/>
      <c r="C42" s="2224"/>
      <c r="D42" s="2224"/>
      <c r="E42" s="2224"/>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H65"/>
  <sheetViews>
    <sheetView showGridLines="0" zoomScale="110" zoomScaleNormal="110" workbookViewId="0">
      <selection activeCell="H22" sqref="H22"/>
    </sheetView>
  </sheetViews>
  <sheetFormatPr defaultColWidth="9.140625" defaultRowHeight="12.75" x14ac:dyDescent="0.2"/>
  <cols>
    <col min="1" max="1" width="3" style="307" customWidth="1"/>
    <col min="2" max="2" width="2.7109375" style="307" customWidth="1"/>
    <col min="3" max="3" width="3.140625" style="307" customWidth="1"/>
    <col min="4" max="7" width="9.140625" style="307"/>
    <col min="8" max="8" width="10" style="1990" bestFit="1" customWidth="1"/>
    <col min="9" max="16384" width="9.140625" style="307"/>
  </cols>
  <sheetData>
    <row r="2" spans="1:8" x14ac:dyDescent="0.2">
      <c r="A2" s="366" t="s">
        <v>2056</v>
      </c>
    </row>
    <row r="3" spans="1:8" x14ac:dyDescent="0.2">
      <c r="B3" s="307" t="s">
        <v>2057</v>
      </c>
    </row>
    <row r="4" spans="1:8" ht="13.5" thickBot="1" x14ac:dyDescent="0.25">
      <c r="C4" s="307" t="s">
        <v>2058</v>
      </c>
      <c r="H4" s="1991">
        <v>1650</v>
      </c>
    </row>
    <row r="5" spans="1:8" ht="13.5" thickTop="1" x14ac:dyDescent="0.2">
      <c r="A5" s="892"/>
    </row>
    <row r="6" spans="1:8" x14ac:dyDescent="0.2">
      <c r="A6" s="892"/>
    </row>
    <row r="7" spans="1:8" x14ac:dyDescent="0.2">
      <c r="A7" s="892"/>
      <c r="B7" s="307" t="s">
        <v>2059</v>
      </c>
    </row>
    <row r="8" spans="1:8" x14ac:dyDescent="0.2">
      <c r="A8" s="892"/>
      <c r="C8" s="307" t="s">
        <v>2060</v>
      </c>
      <c r="H8" s="1990">
        <v>39408</v>
      </c>
    </row>
    <row r="9" spans="1:8" x14ac:dyDescent="0.2">
      <c r="A9" s="893"/>
      <c r="C9" s="307" t="s">
        <v>2061</v>
      </c>
      <c r="H9" s="1990">
        <v>6422</v>
      </c>
    </row>
    <row r="10" spans="1:8" x14ac:dyDescent="0.2">
      <c r="A10" s="893"/>
      <c r="C10" s="307" t="s">
        <v>2062</v>
      </c>
      <c r="H10" s="1990">
        <v>3751</v>
      </c>
    </row>
    <row r="11" spans="1:8" x14ac:dyDescent="0.2">
      <c r="A11" s="893"/>
      <c r="C11" s="307" t="s">
        <v>2063</v>
      </c>
      <c r="H11" s="1990">
        <v>1161</v>
      </c>
    </row>
    <row r="12" spans="1:8" x14ac:dyDescent="0.2">
      <c r="A12" s="893"/>
      <c r="C12" s="307" t="s">
        <v>2064</v>
      </c>
      <c r="H12" s="1990">
        <v>882</v>
      </c>
    </row>
    <row r="13" spans="1:8" x14ac:dyDescent="0.2">
      <c r="A13" s="893"/>
      <c r="C13" s="307" t="s">
        <v>2065</v>
      </c>
      <c r="H13" s="1992">
        <v>3443</v>
      </c>
    </row>
    <row r="14" spans="1:8" ht="13.5" thickBot="1" x14ac:dyDescent="0.25">
      <c r="A14" s="893"/>
      <c r="H14" s="1991">
        <f>SUM(H8:H13)</f>
        <v>55067</v>
      </c>
    </row>
    <row r="15" spans="1:8" ht="13.5" thickTop="1" x14ac:dyDescent="0.2">
      <c r="A15" s="893"/>
    </row>
    <row r="16" spans="1:8" x14ac:dyDescent="0.2">
      <c r="A16" s="893"/>
    </row>
    <row r="17" spans="1:8" x14ac:dyDescent="0.2">
      <c r="A17" s="893"/>
      <c r="B17" s="307" t="s">
        <v>2066</v>
      </c>
    </row>
    <row r="18" spans="1:8" ht="13.5" thickBot="1" x14ac:dyDescent="0.25">
      <c r="A18" s="893"/>
      <c r="C18" s="307" t="s">
        <v>2067</v>
      </c>
      <c r="H18" s="1991">
        <v>293</v>
      </c>
    </row>
    <row r="19" spans="1:8" ht="13.5" thickTop="1" x14ac:dyDescent="0.2">
      <c r="A19" s="893"/>
    </row>
    <row r="20" spans="1:8" x14ac:dyDescent="0.2">
      <c r="A20" s="893"/>
    </row>
    <row r="21" spans="1:8" x14ac:dyDescent="0.2">
      <c r="A21" s="893"/>
      <c r="B21" s="307" t="s">
        <v>2068</v>
      </c>
    </row>
    <row r="22" spans="1:8" ht="13.5" thickBot="1" x14ac:dyDescent="0.25">
      <c r="A22" s="893"/>
      <c r="C22" s="307" t="s">
        <v>2069</v>
      </c>
      <c r="H22" s="1991">
        <v>185</v>
      </c>
    </row>
    <row r="23" spans="1:8" ht="13.5" thickTop="1" x14ac:dyDescent="0.2">
      <c r="A23" s="893"/>
    </row>
    <row r="24" spans="1:8" x14ac:dyDescent="0.2">
      <c r="A24" s="893"/>
    </row>
    <row r="25" spans="1:8" x14ac:dyDescent="0.2">
      <c r="A25" s="893"/>
    </row>
    <row r="26" spans="1:8" x14ac:dyDescent="0.2">
      <c r="A26" s="893"/>
    </row>
    <row r="27" spans="1:8" x14ac:dyDescent="0.2">
      <c r="A27" s="893"/>
    </row>
    <row r="28" spans="1:8" x14ac:dyDescent="0.2">
      <c r="A28" s="893"/>
    </row>
    <row r="29" spans="1:8" x14ac:dyDescent="0.2">
      <c r="A29" s="893"/>
    </row>
    <row r="30" spans="1:8" x14ac:dyDescent="0.2">
      <c r="A30" s="893"/>
    </row>
    <row r="31" spans="1:8" x14ac:dyDescent="0.2">
      <c r="A31" s="893"/>
    </row>
    <row r="32" spans="1:8"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Woodlawn Community Unit School District #209</v>
      </c>
    </row>
    <row r="65" spans="2:2" x14ac:dyDescent="0.2">
      <c r="B65" s="894" t="str">
        <f>COVER!A13</f>
        <v>13-041-2090-27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6" t="s">
        <v>1666</v>
      </c>
      <c r="B18" s="25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autoPict="0" r:id="rId5">
            <anchor moveWithCells="1">
              <from>
                <xdr:col>1</xdr:col>
                <xdr:colOff>123825</xdr:colOff>
                <xdr:row>5</xdr:row>
                <xdr:rowOff>9525</xdr:rowOff>
              </from>
              <to>
                <xdr:col>1</xdr:col>
                <xdr:colOff>1038225</xdr:colOff>
                <xdr:row>10</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7" t="s">
        <v>1670</v>
      </c>
      <c r="B1" s="2568"/>
      <c r="C1" s="2568"/>
      <c r="D1" s="2568"/>
      <c r="E1" s="2568"/>
      <c r="F1" s="2569"/>
    </row>
    <row r="2" spans="1:8" ht="45" customHeight="1" x14ac:dyDescent="0.2">
      <c r="A2" s="25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8"/>
      <c r="C2" s="2578"/>
      <c r="D2" s="2578"/>
      <c r="E2" s="2578"/>
      <c r="F2" s="2579"/>
      <c r="G2" s="898"/>
      <c r="H2" s="898"/>
    </row>
    <row r="3" spans="1:8" ht="57" customHeight="1" x14ac:dyDescent="0.2">
      <c r="A3" s="2580" t="s">
        <v>1973</v>
      </c>
      <c r="B3" s="2581"/>
      <c r="C3" s="2581"/>
      <c r="D3" s="2581"/>
      <c r="E3" s="2581"/>
      <c r="F3" s="2582"/>
      <c r="G3" s="898"/>
      <c r="H3" s="898"/>
    </row>
    <row r="4" spans="1:8" ht="14.25" customHeight="1" x14ac:dyDescent="0.2">
      <c r="A4" s="25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7"/>
      <c r="C4" s="2587"/>
      <c r="D4" s="2587"/>
      <c r="E4" s="2587"/>
      <c r="F4" s="2588"/>
      <c r="G4" s="898"/>
      <c r="H4" s="898"/>
    </row>
    <row r="5" spans="1:8" ht="14.25" customHeight="1" x14ac:dyDescent="0.2">
      <c r="A5" s="25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0"/>
      <c r="C5" s="2590"/>
      <c r="D5" s="2590"/>
      <c r="E5" s="2590"/>
      <c r="F5" s="2591"/>
      <c r="G5" s="898"/>
      <c r="H5" s="898"/>
    </row>
    <row r="6" spans="1:8" s="899" customFormat="1" ht="41.25" customHeight="1" x14ac:dyDescent="0.2">
      <c r="A6" s="2583" t="s">
        <v>1671</v>
      </c>
      <c r="B6" s="2584"/>
      <c r="C6" s="2584"/>
      <c r="D6" s="2584"/>
      <c r="E6" s="2584"/>
      <c r="F6" s="2585"/>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4731466</v>
      </c>
      <c r="C8" s="1871">
        <f>'Acct Summary 7-8'!D8</f>
        <v>442092</v>
      </c>
      <c r="D8" s="1871">
        <f>'Acct Summary 7-8'!F8</f>
        <v>341942</v>
      </c>
      <c r="E8" s="1871">
        <f>'Acct Summary 7-8'!I8</f>
        <v>34523</v>
      </c>
      <c r="F8" s="1871">
        <f>SUM(B8:E8)</f>
        <v>5550023</v>
      </c>
    </row>
    <row r="9" spans="1:8" s="903" customFormat="1" ht="14.25" customHeight="1" thickBot="1" x14ac:dyDescent="0.25">
      <c r="A9" s="902" t="s">
        <v>1353</v>
      </c>
      <c r="B9" s="1872">
        <f>'Acct Summary 7-8'!C17</f>
        <v>4119972</v>
      </c>
      <c r="C9" s="1872">
        <f>'Acct Summary 7-8'!D17</f>
        <v>444415</v>
      </c>
      <c r="D9" s="1872">
        <f>'Acct Summary 7-8'!F17</f>
        <v>301733</v>
      </c>
      <c r="E9" s="1871"/>
      <c r="F9" s="1871">
        <f>SUM(B9:E9)</f>
        <v>4866120</v>
      </c>
    </row>
    <row r="10" spans="1:8" s="903" customFormat="1" ht="14.25" thickTop="1" thickBot="1" x14ac:dyDescent="0.25">
      <c r="A10" s="904" t="s">
        <v>1354</v>
      </c>
      <c r="B10" s="1873">
        <f>(B8-B9)</f>
        <v>611494</v>
      </c>
      <c r="C10" s="1873">
        <f>(C8-C9)</f>
        <v>-2323</v>
      </c>
      <c r="D10" s="1873">
        <f>(D8-D9)</f>
        <v>40209</v>
      </c>
      <c r="E10" s="1872">
        <f>(E8-E9)</f>
        <v>34523</v>
      </c>
      <c r="F10" s="1874">
        <f>SUM(F8-F9)</f>
        <v>683903</v>
      </c>
    </row>
    <row r="11" spans="1:8" s="903" customFormat="1" ht="14.25" thickTop="1" thickBot="1" x14ac:dyDescent="0.25">
      <c r="A11" s="905" t="s">
        <v>1904</v>
      </c>
      <c r="B11" s="1875">
        <f>'Acct Summary 7-8'!C81</f>
        <v>2897065</v>
      </c>
      <c r="C11" s="1875">
        <f>'Acct Summary 7-8'!D81</f>
        <v>12464</v>
      </c>
      <c r="D11" s="1875">
        <f>'Acct Summary 7-8'!F81</f>
        <v>151323</v>
      </c>
      <c r="E11" s="1875">
        <f>'Acct Summary 7-8'!I81</f>
        <v>97650</v>
      </c>
      <c r="F11" s="1876">
        <f>SUM(B11:E11)</f>
        <v>3158502</v>
      </c>
    </row>
    <row r="12" spans="1:8" ht="16.5" customHeight="1" thickTop="1" x14ac:dyDescent="0.2">
      <c r="A12" s="906"/>
      <c r="B12" s="907"/>
      <c r="C12" s="2571" t="str">
        <f>IF(AND(F10&lt;0,F11&gt;=0,ABS(F10*3)&gt;ABS(F11)),A16,IF(AND(F10&lt;0,F11&gt;0,ABS(F10*3)&lt;=ABS(F11)),A17,IF(AND(F10&lt;0,F11&lt;0),A16,IF(F11=0,A19,A18))))</f>
        <v>Balanced - no deficit reduction plan is required.</v>
      </c>
      <c r="D12" s="2572"/>
      <c r="E12" s="2572"/>
      <c r="F12" s="2573"/>
    </row>
    <row r="13" spans="1:8" ht="19.5" customHeight="1" x14ac:dyDescent="0.2">
      <c r="A13" s="908"/>
      <c r="B13" s="909"/>
      <c r="C13" s="2571"/>
      <c r="D13" s="2572"/>
      <c r="E13" s="2572"/>
      <c r="F13" s="2573"/>
      <c r="H13" s="898"/>
    </row>
    <row r="14" spans="1:8" ht="19.5" customHeight="1" x14ac:dyDescent="0.2">
      <c r="A14" s="908"/>
      <c r="B14" s="909"/>
      <c r="C14" s="2571"/>
      <c r="D14" s="2572"/>
      <c r="E14" s="2572"/>
      <c r="F14" s="2573"/>
      <c r="H14" s="898"/>
    </row>
    <row r="15" spans="1:8" ht="17.25" customHeight="1" x14ac:dyDescent="0.2">
      <c r="A15" s="908"/>
      <c r="B15" s="909"/>
      <c r="C15" s="2574"/>
      <c r="D15" s="2575"/>
      <c r="E15" s="2575"/>
      <c r="F15" s="2576"/>
      <c r="H15" s="898"/>
    </row>
    <row r="16" spans="1:8" s="288" customFormat="1" ht="51.75" hidden="1" customHeight="1" x14ac:dyDescent="0.2">
      <c r="A16" s="2570" t="s">
        <v>1667</v>
      </c>
      <c r="B16" s="2570"/>
      <c r="C16" s="2570"/>
      <c r="D16" s="2570"/>
      <c r="E16" s="2570"/>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3"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2" t="s">
        <v>658</v>
      </c>
      <c r="B3" s="2593"/>
      <c r="C3" s="2593"/>
      <c r="D3" s="2594"/>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3" t="s">
        <v>1488</v>
      </c>
      <c r="D7" s="2604"/>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5" t="s">
        <v>999</v>
      </c>
      <c r="B15" s="2596"/>
      <c r="C15" s="2596"/>
      <c r="D15" s="2597"/>
    </row>
    <row r="16" spans="1:4" s="542" customFormat="1" ht="24" customHeight="1" x14ac:dyDescent="0.2">
      <c r="A16" s="2598" t="s">
        <v>656</v>
      </c>
      <c r="B16" s="2599"/>
      <c r="C16" s="2599"/>
      <c r="D16" s="2600"/>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07" t="s">
        <v>309</v>
      </c>
      <c r="D21" s="2608"/>
    </row>
    <row r="22" spans="1:10" ht="12.75" x14ac:dyDescent="0.2">
      <c r="A22" s="963"/>
      <c r="B22" s="964">
        <v>2</v>
      </c>
      <c r="C22" s="2605" t="s">
        <v>1508</v>
      </c>
      <c r="D22" s="2606"/>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PLEASE CHECK YES or NO.</v>
      </c>
    </row>
    <row r="28" spans="1:10" ht="24" hidden="1" customHeight="1" x14ac:dyDescent="0.2">
      <c r="A28" s="930"/>
      <c r="B28" s="967"/>
      <c r="C28" s="926" t="s">
        <v>835</v>
      </c>
      <c r="D28" s="931" t="str">
        <f>IF('Aud Quest 2'!B53="X",IF('Aud Quest 2'!F53&gt;"00/00/00 ","Enter Effective Date","ok"))</f>
        <v>ok</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09" t="s">
        <v>531</v>
      </c>
      <c r="D43" s="2610"/>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1" t="s">
        <v>777</v>
      </c>
      <c r="D56" s="2602"/>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1" t="s">
        <v>1675</v>
      </c>
      <c r="D70" s="2602"/>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t="str">
        <f>COVER!A13</f>
        <v>13-041-2090-27</v>
      </c>
      <c r="E2" s="1592">
        <v>2020</v>
      </c>
      <c r="F2" s="1592">
        <v>1</v>
      </c>
      <c r="G2" s="1962">
        <v>101000300</v>
      </c>
    </row>
    <row r="3" spans="1:7" ht="15" x14ac:dyDescent="0.25">
      <c r="A3" t="s">
        <v>948</v>
      </c>
      <c r="B3" s="135" t="str">
        <f>COVER!A15</f>
        <v>Jefferson</v>
      </c>
      <c r="E3" s="1888" t="s">
        <v>1972</v>
      </c>
      <c r="F3" s="1888" t="s">
        <v>1971</v>
      </c>
      <c r="G3" s="1962">
        <v>101000400</v>
      </c>
    </row>
    <row r="4" spans="1:7" ht="15" x14ac:dyDescent="0.25">
      <c r="A4" t="s">
        <v>998</v>
      </c>
      <c r="B4" s="135" t="str">
        <f>COVER!A17</f>
        <v>Woodlawn Community Unit School District #209</v>
      </c>
      <c r="E4" s="1886">
        <v>44119</v>
      </c>
      <c r="F4" s="1887">
        <v>44151</v>
      </c>
      <c r="G4" s="1962">
        <v>101000600</v>
      </c>
    </row>
    <row r="5" spans="1:7" ht="15" x14ac:dyDescent="0.25">
      <c r="A5" t="s">
        <v>697</v>
      </c>
      <c r="B5" s="135" t="str">
        <f>COVER!A38</f>
        <v>Eric Helbig</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t="str">
        <f>IF(COVER!J30="x","Yes",IF(COVER!L30="x","No",0))</f>
        <v>No</v>
      </c>
      <c r="G13" s="1962">
        <v>202100800</v>
      </c>
    </row>
    <row r="14" spans="1:7" ht="15" x14ac:dyDescent="0.25">
      <c r="A14" t="s">
        <v>471</v>
      </c>
      <c r="B14" s="135" t="str">
        <f>IF(COVER!J31="x","Yes",IF(COVER!L31="x","No",0))</f>
        <v>Yes</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t="str">
        <f>COVER!U34</f>
        <v>X</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Yes</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Yes</v>
      </c>
      <c r="G49" s="1962">
        <v>102540800</v>
      </c>
    </row>
    <row r="50" spans="1:7" ht="15" x14ac:dyDescent="0.25">
      <c r="A50" s="1" t="s">
        <v>1464</v>
      </c>
      <c r="B50" s="146">
        <f>'Aud Quest 2'!H53</f>
        <v>36161</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2897865</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800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800</v>
      </c>
      <c r="C91" s="2" t="s">
        <v>567</v>
      </c>
      <c r="D91" s="2" t="str">
        <f t="shared" si="0"/>
        <v>Error?</v>
      </c>
      <c r="G91" s="1962">
        <v>102640400</v>
      </c>
    </row>
    <row r="92" spans="1:7" ht="15" x14ac:dyDescent="0.25">
      <c r="A92" s="5">
        <v>31</v>
      </c>
      <c r="B92" s="1890">
        <f>'Assets-Liab 5-6'!C39</f>
        <v>2826654</v>
      </c>
      <c r="D92" s="2" t="str">
        <f t="shared" si="0"/>
        <v>Error?</v>
      </c>
      <c r="G92" s="1962">
        <v>102640600</v>
      </c>
    </row>
    <row r="93" spans="1:7" ht="15" x14ac:dyDescent="0.25">
      <c r="A93" s="5">
        <v>32</v>
      </c>
      <c r="B93" s="1890">
        <f>'Assets-Liab 5-6'!C41</f>
        <v>2897865</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12464</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12464</v>
      </c>
      <c r="D123" s="2" t="str">
        <f t="shared" si="0"/>
        <v>Error?</v>
      </c>
      <c r="G123" s="1962">
        <v>203000400</v>
      </c>
    </row>
    <row r="124" spans="1:7" ht="15" x14ac:dyDescent="0.25">
      <c r="A124" s="5">
        <v>63</v>
      </c>
      <c r="B124" s="1890">
        <f>'Assets-Liab 5-6'!D41</f>
        <v>12464</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7023</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7023</v>
      </c>
      <c r="D140" s="2" t="str">
        <f t="shared" si="1"/>
        <v>Error?</v>
      </c>
    </row>
    <row r="141" spans="1:7" x14ac:dyDescent="0.2">
      <c r="A141" s="5">
        <v>80</v>
      </c>
      <c r="B141" s="1890">
        <f>'Assets-Liab 5-6'!E41</f>
        <v>7023</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151323</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151323</v>
      </c>
      <c r="D170" s="2" t="str">
        <f t="shared" si="1"/>
        <v>Error?</v>
      </c>
    </row>
    <row r="171" spans="1:4" x14ac:dyDescent="0.2">
      <c r="A171" s="5">
        <v>110</v>
      </c>
      <c r="B171" s="1890">
        <f>'Assets-Liab 5-6'!F41</f>
        <v>151323</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175231</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175231</v>
      </c>
      <c r="D189" s="2" t="str">
        <f t="shared" si="1"/>
        <v>Error?</v>
      </c>
    </row>
    <row r="190" spans="1:4" x14ac:dyDescent="0.2">
      <c r="A190" s="5">
        <v>129</v>
      </c>
      <c r="B190" s="1890">
        <f>'Assets-Liab 5-6'!G41</f>
        <v>175231</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50000</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0</v>
      </c>
      <c r="D212" s="2" t="str">
        <f t="shared" si="2"/>
        <v>Error?</v>
      </c>
    </row>
    <row r="213" spans="1:4" x14ac:dyDescent="0.2">
      <c r="A213" s="12">
        <v>152</v>
      </c>
      <c r="B213" s="1890">
        <f>'Assets-Liab 5-6'!H41</f>
        <v>50000</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26166</v>
      </c>
      <c r="D273" s="2" t="str">
        <f t="shared" si="3"/>
        <v>Error?</v>
      </c>
    </row>
    <row r="274" spans="1:4" x14ac:dyDescent="0.2">
      <c r="A274" s="5">
        <v>213</v>
      </c>
      <c r="B274" s="1890">
        <f>'Assets-Liab 5-6'!M17</f>
        <v>7027063</v>
      </c>
      <c r="D274" s="2" t="str">
        <f t="shared" si="3"/>
        <v>Error?</v>
      </c>
    </row>
    <row r="275" spans="1:4" x14ac:dyDescent="0.2">
      <c r="A275" s="5">
        <v>214</v>
      </c>
      <c r="B275" s="1890">
        <f>'Assets-Liab 5-6'!M18</f>
        <v>229609</v>
      </c>
      <c r="D275" s="2" t="str">
        <f t="shared" si="3"/>
        <v>Error?</v>
      </c>
    </row>
    <row r="276" spans="1:4" x14ac:dyDescent="0.2">
      <c r="A276" s="5">
        <v>215</v>
      </c>
      <c r="B276" s="1890">
        <f>'Assets-Liab 5-6'!M19</f>
        <v>2018023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9300861</v>
      </c>
      <c r="C279" s="2" t="s">
        <v>567</v>
      </c>
      <c r="D279" s="2" t="str">
        <f t="shared" si="3"/>
        <v>Error?</v>
      </c>
    </row>
    <row r="280" spans="1:4" x14ac:dyDescent="0.2">
      <c r="A280" s="5">
        <v>219</v>
      </c>
      <c r="B280" s="1890">
        <f>'Assets-Liab 5-6'!M40</f>
        <v>9300861</v>
      </c>
      <c r="D280" s="2" t="str">
        <f t="shared" si="3"/>
        <v>Error?</v>
      </c>
    </row>
    <row r="281" spans="1:4" x14ac:dyDescent="0.2">
      <c r="A281" s="5">
        <v>220</v>
      </c>
      <c r="B281" s="1890">
        <f>'Assets-Liab 5-6'!M41</f>
        <v>9300861</v>
      </c>
      <c r="C281" s="2" t="s">
        <v>567</v>
      </c>
      <c r="D281" s="2" t="str">
        <f t="shared" si="3"/>
        <v>Error?</v>
      </c>
    </row>
    <row r="282" spans="1:4" x14ac:dyDescent="0.2">
      <c r="A282" s="5">
        <v>221</v>
      </c>
      <c r="B282" s="1890">
        <f>'Assets-Liab 5-6'!N21</f>
        <v>7023</v>
      </c>
      <c r="D282" s="2" t="str">
        <f t="shared" si="3"/>
        <v>Error?</v>
      </c>
    </row>
    <row r="283" spans="1:4" x14ac:dyDescent="0.2">
      <c r="A283" s="5">
        <v>222</v>
      </c>
      <c r="B283" s="1890">
        <f>'Assets-Liab 5-6'!N22</f>
        <v>184277</v>
      </c>
      <c r="D283" s="2" t="str">
        <f t="shared" si="3"/>
        <v>Error?</v>
      </c>
    </row>
    <row r="284" spans="1:4" x14ac:dyDescent="0.2">
      <c r="A284" s="5">
        <v>223</v>
      </c>
      <c r="B284" s="1890">
        <f>'Assets-Liab 5-6'!N23</f>
        <v>191300</v>
      </c>
      <c r="C284" s="2" t="s">
        <v>567</v>
      </c>
      <c r="D284" s="2" t="str">
        <f t="shared" si="3"/>
        <v>Error?</v>
      </c>
    </row>
    <row r="285" spans="1:4" x14ac:dyDescent="0.2">
      <c r="A285" s="5">
        <v>224</v>
      </c>
      <c r="B285" s="1890">
        <f>'Assets-Liab 5-6'!N36</f>
        <v>191300</v>
      </c>
      <c r="D285" s="2" t="str">
        <f t="shared" si="3"/>
        <v>Error?</v>
      </c>
    </row>
    <row r="286" spans="1:4" x14ac:dyDescent="0.2">
      <c r="A286" s="10">
        <v>225</v>
      </c>
      <c r="B286" s="1890"/>
      <c r="D286" s="2" t="str">
        <f t="shared" si="3"/>
        <v>OK</v>
      </c>
    </row>
    <row r="287" spans="1:4" x14ac:dyDescent="0.2">
      <c r="A287" s="5">
        <v>226</v>
      </c>
      <c r="B287" s="1890">
        <f>'Assets-Liab 5-6'!N37</f>
        <v>191300</v>
      </c>
      <c r="C287" s="2" t="s">
        <v>567</v>
      </c>
      <c r="D287" s="2" t="str">
        <f t="shared" si="3"/>
        <v>Error?</v>
      </c>
    </row>
    <row r="288" spans="1:4" x14ac:dyDescent="0.2">
      <c r="A288" s="5">
        <v>227</v>
      </c>
      <c r="B288" s="1890">
        <f>'Assets-Liab 5-6'!N41</f>
        <v>191300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1741104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157137</v>
      </c>
      <c r="D717" s="2" t="str">
        <f t="shared" si="10"/>
        <v>Error?</v>
      </c>
    </row>
    <row r="718" spans="1:4" x14ac:dyDescent="0.2">
      <c r="A718" s="5">
        <v>657</v>
      </c>
      <c r="B718" s="1890">
        <f>'Expenditures 15-22'!C14</f>
        <v>60545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2502936</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114272</v>
      </c>
      <c r="D722" s="2" t="str">
        <f t="shared" si="10"/>
        <v>Error?</v>
      </c>
    </row>
    <row r="723" spans="1:4" x14ac:dyDescent="0.2">
      <c r="A723" s="5">
        <v>662</v>
      </c>
      <c r="B723" s="1890">
        <f>'Expenditures 15-22'!C38</f>
        <v>33272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147544</v>
      </c>
      <c r="C727" s="2" t="s">
        <v>567</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567</v>
      </c>
      <c r="D731" s="2" t="str">
        <f t="shared" si="10"/>
        <v>Error?</v>
      </c>
    </row>
    <row r="732" spans="1:4" x14ac:dyDescent="0.2">
      <c r="A732" s="5">
        <v>671</v>
      </c>
      <c r="B732" s="1890">
        <f>'Expenditures 15-22'!C49</f>
        <v>1350</v>
      </c>
      <c r="D732" s="2" t="str">
        <f t="shared" si="10"/>
        <v>Error?</v>
      </c>
    </row>
    <row r="733" spans="1:4" x14ac:dyDescent="0.2">
      <c r="A733" s="5">
        <v>672</v>
      </c>
      <c r="B733" s="1890">
        <f>'Expenditures 15-22'!C50</f>
        <v>86100</v>
      </c>
      <c r="D733" s="2" t="str">
        <f t="shared" si="10"/>
        <v>Error?</v>
      </c>
    </row>
    <row r="734" spans="1:4" x14ac:dyDescent="0.2">
      <c r="A734" s="5">
        <v>673</v>
      </c>
      <c r="B734" s="1890">
        <f>'Expenditures 15-22'!C53</f>
        <v>87450</v>
      </c>
      <c r="C734" s="2" t="s">
        <v>567</v>
      </c>
      <c r="D734" s="2" t="str">
        <f t="shared" si="10"/>
        <v>Error?</v>
      </c>
    </row>
    <row r="735" spans="1:4" x14ac:dyDescent="0.2">
      <c r="A735" s="5">
        <v>674</v>
      </c>
      <c r="B735" s="1890">
        <f>'Expenditures 15-22'!C55</f>
        <v>95550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95550</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47500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100680</v>
      </c>
      <c r="D742" s="2" t="str">
        <f t="shared" si="10"/>
        <v>Error?</v>
      </c>
    </row>
    <row r="743" spans="1:4" x14ac:dyDescent="0.2">
      <c r="A743" s="5">
        <v>682</v>
      </c>
      <c r="B743" s="1890">
        <f>'Expenditures 15-22'!C64</f>
        <v>53798</v>
      </c>
      <c r="D743" s="2" t="str">
        <f t="shared" si="10"/>
        <v>Error?</v>
      </c>
    </row>
    <row r="744" spans="1:4" x14ac:dyDescent="0.2">
      <c r="A744" s="10">
        <v>683</v>
      </c>
      <c r="B744" s="1890"/>
      <c r="D744" s="2" t="str">
        <f t="shared" si="10"/>
        <v>OK</v>
      </c>
    </row>
    <row r="745" spans="1:4" x14ac:dyDescent="0.2">
      <c r="A745" s="5">
        <v>684</v>
      </c>
      <c r="B745" s="1890">
        <f>'Expenditures 15-22'!C65</f>
        <v>201978</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532522</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3035458</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226603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20483</v>
      </c>
      <c r="D775" s="2" t="str">
        <f t="shared" si="11"/>
        <v>Error?</v>
      </c>
    </row>
    <row r="776" spans="1:4" x14ac:dyDescent="0.2">
      <c r="A776" s="5">
        <v>715</v>
      </c>
      <c r="B776" s="1890">
        <f>'Expenditures 15-22'!D14</f>
        <v>2694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325657</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14838</v>
      </c>
      <c r="D780" s="2" t="str">
        <f t="shared" si="11"/>
        <v>Error?</v>
      </c>
    </row>
    <row r="781" spans="1:4" x14ac:dyDescent="0.2">
      <c r="A781" s="5">
        <v>720</v>
      </c>
      <c r="B781" s="1890">
        <f>'Expenditures 15-22'!D38</f>
        <v>11709</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26547</v>
      </c>
      <c r="C785" s="2" t="s">
        <v>567</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567</v>
      </c>
      <c r="D789" s="2" t="str">
        <f t="shared" si="11"/>
        <v>Error?</v>
      </c>
    </row>
    <row r="790" spans="1:4" x14ac:dyDescent="0.2">
      <c r="A790" s="5">
        <v>729</v>
      </c>
      <c r="B790" s="1890">
        <f>'Expenditures 15-22'!D49</f>
        <v>64</v>
      </c>
      <c r="D790" s="2" t="str">
        <f t="shared" si="11"/>
        <v>Error?</v>
      </c>
    </row>
    <row r="791" spans="1:4" x14ac:dyDescent="0.2">
      <c r="A791" s="5">
        <v>730</v>
      </c>
      <c r="B791" s="1890">
        <f>'Expenditures 15-22'!D50</f>
        <v>11108</v>
      </c>
      <c r="D791" s="2" t="str">
        <f t="shared" si="11"/>
        <v>Error?</v>
      </c>
    </row>
    <row r="792" spans="1:4" x14ac:dyDescent="0.2">
      <c r="A792" s="5">
        <v>731</v>
      </c>
      <c r="B792" s="1890">
        <f>'Expenditures 15-22'!D53</f>
        <v>11172</v>
      </c>
      <c r="C792" s="2" t="s">
        <v>567</v>
      </c>
      <c r="D792" s="2" t="str">
        <f t="shared" si="11"/>
        <v>Error?</v>
      </c>
    </row>
    <row r="793" spans="1:4" x14ac:dyDescent="0.2">
      <c r="A793" s="5">
        <v>732</v>
      </c>
      <c r="B793" s="1890">
        <f>'Expenditures 15-22'!D55</f>
        <v>12323</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12323</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4363</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13992</v>
      </c>
      <c r="D800" s="2" t="str">
        <f t="shared" si="11"/>
        <v>Error?</v>
      </c>
    </row>
    <row r="801" spans="1:4" x14ac:dyDescent="0.2">
      <c r="A801" s="5">
        <v>740</v>
      </c>
      <c r="B801" s="1890">
        <f>'Expenditures 15-22'!D64</f>
        <v>1869</v>
      </c>
      <c r="D801" s="2" t="str">
        <f t="shared" si="11"/>
        <v>Error?</v>
      </c>
    </row>
    <row r="802" spans="1:4" x14ac:dyDescent="0.2">
      <c r="A802" s="10">
        <v>741</v>
      </c>
      <c r="B802" s="1890"/>
      <c r="D802" s="2" t="str">
        <f t="shared" si="11"/>
        <v>OK</v>
      </c>
    </row>
    <row r="803" spans="1:4" x14ac:dyDescent="0.2">
      <c r="A803" s="5">
        <v>742</v>
      </c>
      <c r="B803" s="1890">
        <f>'Expenditures 15-22'!D65</f>
        <v>20224</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70266</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395923</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43660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437</v>
      </c>
      <c r="D833" s="2" t="str">
        <f t="shared" si="12"/>
        <v>Error?</v>
      </c>
    </row>
    <row r="834" spans="1:4" x14ac:dyDescent="0.2">
      <c r="A834" s="5">
        <v>773</v>
      </c>
      <c r="B834" s="1890">
        <f>'Expenditures 15-22'!E14</f>
        <v>28638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147180</v>
      </c>
      <c r="C836" s="2" t="s">
        <v>567</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634</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20013</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20647</v>
      </c>
      <c r="C843" s="2" t="s">
        <v>567</v>
      </c>
      <c r="D843" s="2" t="str">
        <f t="shared" si="12"/>
        <v>Error?</v>
      </c>
    </row>
    <row r="844" spans="1:4" x14ac:dyDescent="0.2">
      <c r="A844" s="5">
        <v>783</v>
      </c>
      <c r="B844" s="1890">
        <f>'Expenditures 15-22'!E44</f>
        <v>555</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555</v>
      </c>
      <c r="C847" s="2" t="s">
        <v>567</v>
      </c>
      <c r="D847" s="2" t="str">
        <f t="shared" si="12"/>
        <v>Error?</v>
      </c>
    </row>
    <row r="848" spans="1:4" x14ac:dyDescent="0.2">
      <c r="A848" s="5">
        <v>787</v>
      </c>
      <c r="B848" s="1890">
        <f>'Expenditures 15-22'!E49</f>
        <v>19999</v>
      </c>
      <c r="D848" s="2" t="str">
        <f t="shared" si="12"/>
        <v>Error?</v>
      </c>
    </row>
    <row r="849" spans="1:4" x14ac:dyDescent="0.2">
      <c r="A849" s="5">
        <v>788</v>
      </c>
      <c r="B849" s="1890">
        <f>'Expenditures 15-22'!E50</f>
        <v>1291</v>
      </c>
      <c r="D849" s="2" t="str">
        <f t="shared" si="12"/>
        <v>Error?</v>
      </c>
    </row>
    <row r="850" spans="1:4" x14ac:dyDescent="0.2">
      <c r="A850" s="5">
        <v>789</v>
      </c>
      <c r="B850" s="1890">
        <f>'Expenditures 15-22'!E53</f>
        <v>21290</v>
      </c>
      <c r="C850" s="2" t="s">
        <v>567</v>
      </c>
      <c r="D850" s="2" t="str">
        <f t="shared" si="12"/>
        <v>Error?</v>
      </c>
    </row>
    <row r="851" spans="1:4" x14ac:dyDescent="0.2">
      <c r="A851" s="5">
        <v>790</v>
      </c>
      <c r="B851" s="1890">
        <f>'Expenditures 15-22'!E55</f>
        <v>1039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1039</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18730</v>
      </c>
      <c r="D855" s="2" t="str">
        <f t="shared" si="12"/>
        <v>Error?</v>
      </c>
    </row>
    <row r="856" spans="1:4" x14ac:dyDescent="0.2">
      <c r="A856" s="5">
        <v>795</v>
      </c>
      <c r="B856" s="1890">
        <f>'Expenditures 15-22'!E61</f>
        <v>1993</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135</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20858</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89468</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89468</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153857</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301037</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65741</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15392</v>
      </c>
      <c r="D891" s="2" t="str">
        <f t="shared" si="12"/>
        <v>Error?</v>
      </c>
    </row>
    <row r="892" spans="1:4" x14ac:dyDescent="0.2">
      <c r="A892" s="5">
        <v>831</v>
      </c>
      <c r="B892" s="1890">
        <f>'Expenditures 15-22'!F14</f>
        <v>19580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109481</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2093</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2093</v>
      </c>
      <c r="C901" s="2" t="s">
        <v>567</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64</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64</v>
      </c>
      <c r="C905" s="2" t="s">
        <v>567</v>
      </c>
      <c r="D905" s="2" t="str">
        <f t="shared" si="13"/>
        <v>Error?</v>
      </c>
    </row>
    <row r="906" spans="1:4" x14ac:dyDescent="0.2">
      <c r="A906" s="5">
        <v>845</v>
      </c>
      <c r="B906" s="1890">
        <f>'Expenditures 15-22'!F49</f>
        <v>4745</v>
      </c>
      <c r="D906" s="2" t="str">
        <f t="shared" si="13"/>
        <v>Error?</v>
      </c>
    </row>
    <row r="907" spans="1:4" x14ac:dyDescent="0.2">
      <c r="A907" s="5">
        <v>846</v>
      </c>
      <c r="B907" s="1890">
        <f>'Expenditures 15-22'!F50</f>
        <v>23</v>
      </c>
      <c r="D907" s="2" t="str">
        <f t="shared" si="13"/>
        <v>Error?</v>
      </c>
    </row>
    <row r="908" spans="1:4" x14ac:dyDescent="0.2">
      <c r="A908" s="5">
        <v>847</v>
      </c>
      <c r="B908" s="1890">
        <f>'Expenditures 15-22'!F53</f>
        <v>4768</v>
      </c>
      <c r="C908" s="2" t="s">
        <v>567</v>
      </c>
      <c r="D908" s="2" t="str">
        <f t="shared" si="13"/>
        <v>Error?</v>
      </c>
    </row>
    <row r="909" spans="1:4" x14ac:dyDescent="0.2">
      <c r="A909" s="5">
        <v>848</v>
      </c>
      <c r="B909" s="1890">
        <f>'Expenditures 15-22'!F55</f>
        <v>100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100</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251</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68248</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68499</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6460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6460</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81984</v>
      </c>
      <c r="C929" s="2" t="s">
        <v>567</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191465</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8263</v>
      </c>
      <c r="D949" s="2" t="str">
        <f t="shared" si="13"/>
        <v>Error?</v>
      </c>
    </row>
    <row r="950" spans="1:4" x14ac:dyDescent="0.2">
      <c r="A950" s="5">
        <v>889</v>
      </c>
      <c r="B950" s="1890">
        <f>'Expenditures 15-22'!G14</f>
        <v>13064</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40594</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28674</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28674</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28674</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69268</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235</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235</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15022</v>
      </c>
      <c r="D1022" s="2" t="str">
        <f t="shared" si="14"/>
        <v>Error?</v>
      </c>
    </row>
    <row r="1023" spans="1:4" x14ac:dyDescent="0.2">
      <c r="A1023" s="5">
        <v>962</v>
      </c>
      <c r="B1023" s="1890">
        <f>'Expenditures 15-22'!H50</f>
        <v>1315</v>
      </c>
      <c r="D1023" s="2" t="str">
        <f t="shared" ref="D1023:D1086" si="15">IF(ISBLANK(B1023),"OK",IF(A1023-B1023=0,"OK","Error?"))</f>
        <v>Error?</v>
      </c>
    </row>
    <row r="1024" spans="1:4" x14ac:dyDescent="0.2">
      <c r="A1024" s="5">
        <v>963</v>
      </c>
      <c r="B1024" s="1890">
        <f>'Expenditures 15-22'!H53</f>
        <v>16337</v>
      </c>
      <c r="C1024" s="2" t="s">
        <v>567</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16337</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110249</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126821</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2077108</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201947</v>
      </c>
      <c r="C1105" s="2" t="s">
        <v>567</v>
      </c>
      <c r="D1105" s="2" t="str">
        <f t="shared" si="16"/>
        <v>Error?</v>
      </c>
    </row>
    <row r="1106" spans="1:4" x14ac:dyDescent="0.2">
      <c r="A1106" s="5">
        <v>1045</v>
      </c>
      <c r="B1106" s="1890">
        <f>'Expenditures 15-22'!K14</f>
        <v>124521</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3126083</v>
      </c>
      <c r="C1108" s="2" t="s">
        <v>567</v>
      </c>
      <c r="D1108" s="2" t="str">
        <f t="shared" si="16"/>
        <v>Error?</v>
      </c>
    </row>
    <row r="1109" spans="1:4" x14ac:dyDescent="0.2">
      <c r="A1109" s="5">
        <v>1048</v>
      </c>
      <c r="B1109" s="1890">
        <f>'Expenditures 15-22'!K36</f>
        <v>0</v>
      </c>
      <c r="C1109" s="2" t="s">
        <v>567</v>
      </c>
      <c r="D1109" s="2" t="str">
        <f t="shared" si="16"/>
        <v>Error?</v>
      </c>
    </row>
    <row r="1110" spans="1:4" x14ac:dyDescent="0.2">
      <c r="A1110" s="5">
        <v>1049</v>
      </c>
      <c r="B1110" s="1890">
        <f>'Expenditures 15-22'!K37</f>
        <v>129744</v>
      </c>
      <c r="C1110" s="2" t="s">
        <v>567</v>
      </c>
      <c r="D1110" s="2" t="str">
        <f t="shared" si="16"/>
        <v>Error?</v>
      </c>
    </row>
    <row r="1111" spans="1:4" x14ac:dyDescent="0.2">
      <c r="A1111" s="5">
        <v>1050</v>
      </c>
      <c r="B1111" s="1890">
        <f>'Expenditures 15-22'!K38</f>
        <v>47074</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20013</v>
      </c>
      <c r="C1113" s="2" t="s">
        <v>567</v>
      </c>
      <c r="D1113" s="2" t="str">
        <f t="shared" si="16"/>
        <v>Error?</v>
      </c>
    </row>
    <row r="1114" spans="1:4" x14ac:dyDescent="0.2">
      <c r="A1114" s="5">
        <v>1053</v>
      </c>
      <c r="B1114" s="1890">
        <f>'Expenditures 15-22'!K41</f>
        <v>0</v>
      </c>
      <c r="C1114" s="2" t="s">
        <v>567</v>
      </c>
      <c r="D1114" s="2" t="str">
        <f t="shared" si="16"/>
        <v>Error?</v>
      </c>
    </row>
    <row r="1115" spans="1:4" x14ac:dyDescent="0.2">
      <c r="A1115" s="5">
        <v>1054</v>
      </c>
      <c r="B1115" s="1890">
        <f>'Expenditures 15-22'!K42</f>
        <v>196831</v>
      </c>
      <c r="C1115" s="2" t="s">
        <v>567</v>
      </c>
      <c r="D1115" s="2" t="str">
        <f t="shared" si="16"/>
        <v>Error?</v>
      </c>
    </row>
    <row r="1116" spans="1:4" x14ac:dyDescent="0.2">
      <c r="A1116" s="5">
        <v>1055</v>
      </c>
      <c r="B1116" s="1890">
        <f>'Expenditures 15-22'!K44</f>
        <v>555</v>
      </c>
      <c r="C1116" s="2" t="s">
        <v>567</v>
      </c>
      <c r="D1116" s="2" t="str">
        <f t="shared" si="16"/>
        <v>Error?</v>
      </c>
    </row>
    <row r="1117" spans="1:4" x14ac:dyDescent="0.2">
      <c r="A1117" s="5">
        <v>1056</v>
      </c>
      <c r="B1117" s="1890">
        <f>'Expenditures 15-22'!K45</f>
        <v>64</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619</v>
      </c>
      <c r="C1119" s="2" t="s">
        <v>567</v>
      </c>
      <c r="D1119" s="2" t="str">
        <f t="shared" si="16"/>
        <v>Error?</v>
      </c>
    </row>
    <row r="1120" spans="1:4" x14ac:dyDescent="0.2">
      <c r="A1120" s="5">
        <v>1059</v>
      </c>
      <c r="B1120" s="1890">
        <f>'Expenditures 15-22'!K49</f>
        <v>41180</v>
      </c>
      <c r="C1120" s="2" t="s">
        <v>567</v>
      </c>
      <c r="D1120" s="2" t="str">
        <f t="shared" si="16"/>
        <v>Error?</v>
      </c>
    </row>
    <row r="1121" spans="1:4" x14ac:dyDescent="0.2">
      <c r="A1121" s="5">
        <v>1060</v>
      </c>
      <c r="B1121" s="1890">
        <f>'Expenditures 15-22'!K50</f>
        <v>99837</v>
      </c>
      <c r="C1121" s="2" t="s">
        <v>567</v>
      </c>
      <c r="D1121" s="2" t="str">
        <f t="shared" si="16"/>
        <v>Error?</v>
      </c>
    </row>
    <row r="1122" spans="1:4" x14ac:dyDescent="0.2">
      <c r="A1122" s="5">
        <v>1061</v>
      </c>
      <c r="B1122" s="1890">
        <f>'Expenditures 15-22'!K53</f>
        <v>141017</v>
      </c>
      <c r="C1122" s="2" t="s">
        <v>567</v>
      </c>
      <c r="D1122" s="2" t="str">
        <f t="shared" si="16"/>
        <v>Error?</v>
      </c>
    </row>
    <row r="1123" spans="1:4" x14ac:dyDescent="0.2">
      <c r="A1123" s="5">
        <v>1062</v>
      </c>
      <c r="B1123" s="1890">
        <f>'Expenditures 15-22'!K55</f>
        <v>109012</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109012</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70844</v>
      </c>
      <c r="C1127" s="2" t="s">
        <v>567</v>
      </c>
      <c r="D1127" s="2" t="str">
        <f t="shared" si="16"/>
        <v>Error?</v>
      </c>
    </row>
    <row r="1128" spans="1:4" x14ac:dyDescent="0.2">
      <c r="A1128" s="5">
        <v>1067</v>
      </c>
      <c r="B1128" s="1890">
        <f>'Expenditures 15-22'!K61</f>
        <v>1993</v>
      </c>
      <c r="C1128" s="2" t="s">
        <v>567</v>
      </c>
      <c r="D1128" s="2" t="str">
        <f t="shared" si="16"/>
        <v>Error?</v>
      </c>
    </row>
    <row r="1129" spans="1:4" x14ac:dyDescent="0.2">
      <c r="A1129" s="5">
        <v>1068</v>
      </c>
      <c r="B1129" s="1890">
        <f>'Expenditures 15-22'!K62</f>
        <v>0</v>
      </c>
      <c r="C1129" s="2" t="s">
        <v>567</v>
      </c>
      <c r="D1129" s="2" t="str">
        <f t="shared" si="16"/>
        <v>Error?</v>
      </c>
    </row>
    <row r="1130" spans="1:4" x14ac:dyDescent="0.2">
      <c r="A1130" s="5">
        <v>1069</v>
      </c>
      <c r="B1130" s="1890">
        <f>'Expenditures 15-22'!K63</f>
        <v>183055</v>
      </c>
      <c r="C1130" s="2" t="s">
        <v>567</v>
      </c>
      <c r="D1130" s="2" t="str">
        <f t="shared" si="16"/>
        <v>Error?</v>
      </c>
    </row>
    <row r="1131" spans="1:4" x14ac:dyDescent="0.2">
      <c r="A1131" s="5">
        <v>1070</v>
      </c>
      <c r="B1131" s="1890">
        <f>'Expenditures 15-22'!K64</f>
        <v>55667</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311559</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124602</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124602</v>
      </c>
      <c r="C1141" s="2" t="s">
        <v>567</v>
      </c>
      <c r="D1141" s="2" t="str">
        <f t="shared" si="16"/>
        <v>Error?</v>
      </c>
    </row>
    <row r="1142" spans="1:4" x14ac:dyDescent="0.2">
      <c r="A1142" s="5">
        <v>1081</v>
      </c>
      <c r="B1142" s="1890">
        <f>'Expenditures 15-22'!K73</f>
        <v>0</v>
      </c>
      <c r="C1142" s="2" t="s">
        <v>567</v>
      </c>
      <c r="D1142" s="2" t="str">
        <f t="shared" si="16"/>
        <v>Error?</v>
      </c>
    </row>
    <row r="1143" spans="1:4" x14ac:dyDescent="0.2">
      <c r="A1143" s="5">
        <v>1082</v>
      </c>
      <c r="B1143" s="1890">
        <f>'Expenditures 15-22'!K74</f>
        <v>883640</v>
      </c>
      <c r="C1143" s="2" t="s">
        <v>567</v>
      </c>
      <c r="D1143" s="2" t="str">
        <f t="shared" si="16"/>
        <v>Error?</v>
      </c>
    </row>
    <row r="1144" spans="1:4" x14ac:dyDescent="0.2">
      <c r="A1144" s="5">
        <v>1083</v>
      </c>
      <c r="B1144" s="1890">
        <f>'Expenditures 15-22'!K75</f>
        <v>0</v>
      </c>
      <c r="C1144" s="2" t="s">
        <v>567</v>
      </c>
      <c r="D1144" s="2" t="str">
        <f t="shared" si="16"/>
        <v>Error?</v>
      </c>
    </row>
    <row r="1145" spans="1:4" x14ac:dyDescent="0.2">
      <c r="A1145" s="5">
        <v>1084</v>
      </c>
      <c r="B1145" s="1890">
        <f>'Expenditures 15-22'!K102</f>
        <v>110249</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4119972</v>
      </c>
      <c r="C1152" s="2" t="s">
        <v>567</v>
      </c>
      <c r="D1152" s="2" t="str">
        <f t="shared" si="17"/>
        <v>Error?</v>
      </c>
    </row>
    <row r="1153" spans="1:4" x14ac:dyDescent="0.2">
      <c r="A1153" s="5">
        <v>1092</v>
      </c>
      <c r="B1153" s="1890">
        <f>'Expenditures 15-22'!K115</f>
        <v>611494</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136817</v>
      </c>
      <c r="D1221" s="2" t="str">
        <f t="shared" si="18"/>
        <v>Error?</v>
      </c>
    </row>
    <row r="1222" spans="1:4" x14ac:dyDescent="0.2">
      <c r="A1222" s="10">
        <v>1161</v>
      </c>
      <c r="B1222" s="1890"/>
      <c r="D1222" s="2" t="str">
        <f t="shared" si="18"/>
        <v>OK</v>
      </c>
    </row>
    <row r="1223" spans="1:4" x14ac:dyDescent="0.2">
      <c r="A1223" s="5">
        <v>1162</v>
      </c>
      <c r="B1223" s="1890">
        <f>'Expenditures 15-22'!C127</f>
        <v>136817</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136817</v>
      </c>
      <c r="C1225" s="2" t="s">
        <v>567</v>
      </c>
      <c r="D1225" s="2" t="str">
        <f t="shared" si="18"/>
        <v>Error?</v>
      </c>
    </row>
    <row r="1226" spans="1:4" x14ac:dyDescent="0.2">
      <c r="A1226" s="5">
        <v>1165</v>
      </c>
      <c r="B1226" s="1890">
        <f>'Expenditures 15-22'!C151</f>
        <v>136817</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5932</v>
      </c>
      <c r="D1229" s="2" t="str">
        <f t="shared" si="18"/>
        <v>Error?</v>
      </c>
    </row>
    <row r="1230" spans="1:4" x14ac:dyDescent="0.2">
      <c r="A1230" s="10">
        <v>1169</v>
      </c>
      <c r="B1230" s="1890"/>
      <c r="D1230" s="2" t="str">
        <f t="shared" si="18"/>
        <v>OK</v>
      </c>
    </row>
    <row r="1231" spans="1:4" x14ac:dyDescent="0.2">
      <c r="A1231" s="5">
        <v>1170</v>
      </c>
      <c r="B1231" s="1890">
        <f>'Expenditures 15-22'!D127</f>
        <v>5932</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5932</v>
      </c>
      <c r="C1233" s="2" t="s">
        <v>567</v>
      </c>
      <c r="D1233" s="2" t="str">
        <f t="shared" si="18"/>
        <v>Error?</v>
      </c>
    </row>
    <row r="1234" spans="1:4" x14ac:dyDescent="0.2">
      <c r="A1234" s="5">
        <v>1173</v>
      </c>
      <c r="B1234" s="1890">
        <f>'Expenditures 15-22'!D151</f>
        <v>5932</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124541</v>
      </c>
      <c r="D1237" s="2" t="str">
        <f t="shared" si="18"/>
        <v>Error?</v>
      </c>
    </row>
    <row r="1238" spans="1:4" x14ac:dyDescent="0.2">
      <c r="A1238" s="10">
        <v>1177</v>
      </c>
      <c r="B1238" s="1890"/>
      <c r="D1238" s="2" t="str">
        <f t="shared" si="18"/>
        <v>OK</v>
      </c>
    </row>
    <row r="1239" spans="1:4" x14ac:dyDescent="0.2">
      <c r="A1239" s="5">
        <v>1178</v>
      </c>
      <c r="B1239" s="1890">
        <f>'Expenditures 15-22'!E127</f>
        <v>124541</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124541</v>
      </c>
      <c r="C1241" s="2" t="s">
        <v>567</v>
      </c>
      <c r="D1241" s="2" t="str">
        <f t="shared" si="18"/>
        <v>Error?</v>
      </c>
    </row>
    <row r="1242" spans="1:4" x14ac:dyDescent="0.2">
      <c r="A1242" s="5">
        <v>1181</v>
      </c>
      <c r="B1242" s="1890">
        <f>'Expenditures 15-22'!E151</f>
        <v>124541</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115438</v>
      </c>
      <c r="D1245" s="2" t="str">
        <f t="shared" si="18"/>
        <v>Error?</v>
      </c>
    </row>
    <row r="1246" spans="1:4" x14ac:dyDescent="0.2">
      <c r="A1246" s="10">
        <v>1185</v>
      </c>
      <c r="B1246" s="1890"/>
      <c r="D1246" s="2" t="str">
        <f t="shared" si="18"/>
        <v>OK</v>
      </c>
    </row>
    <row r="1247" spans="1:4" x14ac:dyDescent="0.2">
      <c r="A1247" s="5">
        <v>1186</v>
      </c>
      <c r="B1247" s="1890">
        <f>'Expenditures 15-22'!F127</f>
        <v>115438</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115438</v>
      </c>
      <c r="C1249" s="2" t="s">
        <v>567</v>
      </c>
      <c r="D1249" s="2" t="str">
        <f t="shared" si="18"/>
        <v>Error?</v>
      </c>
    </row>
    <row r="1250" spans="1:4" x14ac:dyDescent="0.2">
      <c r="A1250" s="5">
        <v>1189</v>
      </c>
      <c r="B1250" s="1890">
        <f>'Expenditures 15-22'!F151</f>
        <v>115438</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61687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61687</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61687</v>
      </c>
      <c r="C1258" s="2" t="s">
        <v>567</v>
      </c>
      <c r="D1258" s="2" t="str">
        <f t="shared" si="18"/>
        <v>Error?</v>
      </c>
    </row>
    <row r="1259" spans="1:4" x14ac:dyDescent="0.2">
      <c r="A1259" s="5">
        <v>1198</v>
      </c>
      <c r="B1259" s="1890">
        <f>'Expenditures 15-22'!G151</f>
        <v>61687</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444415</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444415</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444415</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444415</v>
      </c>
      <c r="C1288" s="2" t="s">
        <v>567</v>
      </c>
      <c r="D1288" s="2" t="str">
        <f t="shared" si="19"/>
        <v>Error?</v>
      </c>
    </row>
    <row r="1289" spans="1:4" x14ac:dyDescent="0.2">
      <c r="A1289" s="5">
        <v>1228</v>
      </c>
      <c r="B1289" s="1890">
        <f>'Expenditures 15-22'!K152</f>
        <v>-2323</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6515</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60300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66815</v>
      </c>
      <c r="C1317" s="2" t="s">
        <v>567</v>
      </c>
      <c r="D1317" s="2" t="str">
        <f t="shared" si="19"/>
        <v>Error?</v>
      </c>
    </row>
    <row r="1318" spans="1:4" x14ac:dyDescent="0.2">
      <c r="A1318" s="5">
        <v>1257</v>
      </c>
      <c r="B1318" s="1890">
        <f>'Expenditures 15-22'!H174</f>
        <v>66815</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6515</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60300</v>
      </c>
      <c r="C1329" s="2" t="s">
        <v>567</v>
      </c>
      <c r="D1329" s="2" t="str">
        <f t="shared" si="19"/>
        <v>Error?</v>
      </c>
    </row>
    <row r="1330" spans="1:4" x14ac:dyDescent="0.2">
      <c r="A1330" s="5">
        <v>1269</v>
      </c>
      <c r="B1330" s="1890">
        <f>'Expenditures 15-22'!K171</f>
        <v>0</v>
      </c>
      <c r="C1330" s="2" t="s">
        <v>567</v>
      </c>
      <c r="D1330" s="2" t="str">
        <f t="shared" si="19"/>
        <v>Error?</v>
      </c>
    </row>
    <row r="1331" spans="1:4" x14ac:dyDescent="0.2">
      <c r="A1331" s="5">
        <v>1270</v>
      </c>
      <c r="B1331" s="1890">
        <f>'Expenditures 15-22'!K172</f>
        <v>66815</v>
      </c>
      <c r="C1331" s="2" t="s">
        <v>567</v>
      </c>
      <c r="D1331" s="2" t="str">
        <f t="shared" si="19"/>
        <v>Error?</v>
      </c>
    </row>
    <row r="1332" spans="1:4" x14ac:dyDescent="0.2">
      <c r="A1332" s="5">
        <v>1271</v>
      </c>
      <c r="B1332" s="1890">
        <f>'Expenditures 15-22'!K174</f>
        <v>66815</v>
      </c>
      <c r="C1332" s="2" t="s">
        <v>567</v>
      </c>
      <c r="D1332" s="2" t="str">
        <f t="shared" si="19"/>
        <v>Error?</v>
      </c>
    </row>
    <row r="1333" spans="1:4" x14ac:dyDescent="0.2">
      <c r="A1333" s="5">
        <v>1272</v>
      </c>
      <c r="B1333" s="1890">
        <f>'Expenditures 15-22'!K175</f>
        <v>111</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5500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5500</v>
      </c>
      <c r="C1339" s="2" t="s">
        <v>567</v>
      </c>
      <c r="D1339" s="2" t="str">
        <f t="shared" si="19"/>
        <v>Error?</v>
      </c>
    </row>
    <row r="1340" spans="1:4" x14ac:dyDescent="0.2">
      <c r="A1340" s="5">
        <v>1279</v>
      </c>
      <c r="B1340" s="1890">
        <f>'Expenditures 15-22'!C210</f>
        <v>5500</v>
      </c>
      <c r="C1340" s="2" t="s">
        <v>567</v>
      </c>
      <c r="D1340" s="2" t="str">
        <f t="shared" si="19"/>
        <v>Error?</v>
      </c>
    </row>
    <row r="1341" spans="1:4" x14ac:dyDescent="0.2">
      <c r="A1341" s="5">
        <v>1280</v>
      </c>
      <c r="B1341" s="1890">
        <f>'Expenditures 15-22'!D182</f>
        <v>710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710</v>
      </c>
      <c r="C1345" s="2" t="s">
        <v>567</v>
      </c>
      <c r="D1345" s="2" t="str">
        <f t="shared" si="20"/>
        <v>Error?</v>
      </c>
    </row>
    <row r="1346" spans="1:4" x14ac:dyDescent="0.2">
      <c r="A1346" s="5">
        <v>1285</v>
      </c>
      <c r="B1346" s="1890">
        <f>'Expenditures 15-22'!D210</f>
        <v>710</v>
      </c>
      <c r="C1346" s="2" t="s">
        <v>567</v>
      </c>
      <c r="D1346" s="2" t="str">
        <f t="shared" si="20"/>
        <v>Error?</v>
      </c>
    </row>
    <row r="1347" spans="1:4" x14ac:dyDescent="0.2">
      <c r="A1347" s="5">
        <v>1286</v>
      </c>
      <c r="B1347" s="1890">
        <f>'Expenditures 15-22'!E182</f>
        <v>269851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269851</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269851</v>
      </c>
      <c r="C1353" s="2" t="s">
        <v>567</v>
      </c>
      <c r="D1353" s="2" t="str">
        <f t="shared" si="20"/>
        <v>Error?</v>
      </c>
    </row>
    <row r="1354" spans="1:4" x14ac:dyDescent="0.2">
      <c r="A1354" s="5">
        <v>1293</v>
      </c>
      <c r="B1354" s="1890">
        <f>'Expenditures 15-22'!F182</f>
        <v>25672</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25672</v>
      </c>
      <c r="C1358" s="2" t="s">
        <v>567</v>
      </c>
      <c r="D1358" s="2" t="str">
        <f t="shared" si="20"/>
        <v>Error?</v>
      </c>
    </row>
    <row r="1359" spans="1:4" x14ac:dyDescent="0.2">
      <c r="A1359" s="5">
        <v>1298</v>
      </c>
      <c r="B1359" s="1890">
        <f>'Expenditures 15-22'!F210</f>
        <v>25672</v>
      </c>
      <c r="C1359" s="2" t="s">
        <v>567</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567</v>
      </c>
      <c r="D1364" s="2" t="str">
        <f t="shared" si="20"/>
        <v>Error?</v>
      </c>
    </row>
    <row r="1365" spans="1:4" x14ac:dyDescent="0.2">
      <c r="A1365" s="5">
        <v>1304</v>
      </c>
      <c r="B1365" s="1890">
        <f>'Expenditures 15-22'!G210</f>
        <v>0</v>
      </c>
      <c r="C1365" s="2" t="s">
        <v>567</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567</v>
      </c>
      <c r="D1375" s="2" t="str">
        <f t="shared" si="20"/>
        <v>Error?</v>
      </c>
    </row>
    <row r="1376" spans="1:4" x14ac:dyDescent="0.2">
      <c r="A1376" s="5">
        <v>1315</v>
      </c>
      <c r="B1376" s="1890">
        <f>'Expenditures 15-22'!H210</f>
        <v>0</v>
      </c>
      <c r="C1376" s="2" t="s">
        <v>567</v>
      </c>
      <c r="D1376" s="2" t="str">
        <f t="shared" si="20"/>
        <v>Error?</v>
      </c>
    </row>
    <row r="1377" spans="1:4" x14ac:dyDescent="0.2">
      <c r="A1377" s="5">
        <v>1316</v>
      </c>
      <c r="B1377" s="1890">
        <f>'Expenditures 15-22'!K182</f>
        <v>301733</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301733</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567</v>
      </c>
      <c r="D1387" s="2" t="str">
        <f t="shared" si="20"/>
        <v>Error?</v>
      </c>
    </row>
    <row r="1388" spans="1:4" x14ac:dyDescent="0.2">
      <c r="A1388" s="5">
        <v>1327</v>
      </c>
      <c r="B1388" s="1890">
        <f>'Expenditures 15-22'!K210</f>
        <v>301733</v>
      </c>
      <c r="C1388" s="2" t="s">
        <v>567</v>
      </c>
      <c r="D1388" s="2" t="str">
        <f t="shared" si="20"/>
        <v>Error?</v>
      </c>
    </row>
    <row r="1389" spans="1:4" x14ac:dyDescent="0.2">
      <c r="A1389" s="5">
        <v>1328</v>
      </c>
      <c r="B1389" s="1890">
        <f>'Expenditures 15-22'!K211</f>
        <v>40209</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2279</v>
      </c>
      <c r="D1407" s="2" t="str">
        <f t="shared" ref="D1407:D1470" si="21">IF(ISBLANK(B1407),"OK",IF(A1407-B1407=0,"OK","Error?"))</f>
        <v>Error?</v>
      </c>
    </row>
    <row r="1408" spans="1:4" x14ac:dyDescent="0.2">
      <c r="A1408" s="5">
        <v>1347</v>
      </c>
      <c r="B1408" s="1890">
        <f>'Expenditures 15-22'!D223</f>
        <v>3446</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69082</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1647</v>
      </c>
      <c r="D1412" s="2" t="str">
        <f t="shared" si="21"/>
        <v>Error?</v>
      </c>
    </row>
    <row r="1413" spans="1:4" x14ac:dyDescent="0.2">
      <c r="A1413" s="5">
        <v>1352</v>
      </c>
      <c r="B1413" s="1890">
        <f>'Expenditures 15-22'!D234</f>
        <v>5417</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7064</v>
      </c>
      <c r="C1417" s="2" t="s">
        <v>567</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567</v>
      </c>
      <c r="D1421" s="2" t="str">
        <f t="shared" si="21"/>
        <v>Error?</v>
      </c>
    </row>
    <row r="1422" spans="1:4" x14ac:dyDescent="0.2">
      <c r="A1422" s="5">
        <v>1361</v>
      </c>
      <c r="B1422" s="1890">
        <f>'Expenditures 15-22'!D245</f>
        <v>258</v>
      </c>
      <c r="D1422" s="2" t="str">
        <f t="shared" si="21"/>
        <v>Error?</v>
      </c>
    </row>
    <row r="1423" spans="1:4" x14ac:dyDescent="0.2">
      <c r="A1423" s="5">
        <v>1362</v>
      </c>
      <c r="B1423" s="1890">
        <f>'Expenditures 15-22'!D246</f>
        <v>1162</v>
      </c>
      <c r="D1423" s="2" t="str">
        <f t="shared" si="21"/>
        <v>Error?</v>
      </c>
    </row>
    <row r="1424" spans="1:4" x14ac:dyDescent="0.2">
      <c r="A1424" s="5">
        <v>1363</v>
      </c>
      <c r="B1424" s="1890">
        <f>'Expenditures 15-22'!D257</f>
        <v>1420</v>
      </c>
      <c r="C1424" s="2" t="s">
        <v>567</v>
      </c>
      <c r="D1424" s="2" t="str">
        <f t="shared" si="21"/>
        <v>Error?</v>
      </c>
    </row>
    <row r="1425" spans="1:4" x14ac:dyDescent="0.2">
      <c r="A1425" s="5">
        <v>1364</v>
      </c>
      <c r="B1425" s="1890">
        <f>'Expenditures 15-22'!D259</f>
        <v>1241</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1241</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8948</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23607</v>
      </c>
      <c r="D1431" s="2" t="str">
        <f t="shared" si="21"/>
        <v>Error?</v>
      </c>
    </row>
    <row r="1432" spans="1:4" x14ac:dyDescent="0.2">
      <c r="A1432" s="5">
        <v>1371</v>
      </c>
      <c r="B1432" s="1890">
        <f>'Expenditures 15-22'!D267</f>
        <v>74</v>
      </c>
      <c r="D1432" s="2" t="str">
        <f t="shared" si="21"/>
        <v>Error?</v>
      </c>
    </row>
    <row r="1433" spans="1:4" x14ac:dyDescent="0.2">
      <c r="A1433" s="5">
        <v>1372</v>
      </c>
      <c r="B1433" s="1890">
        <f>'Expenditures 15-22'!D268</f>
        <v>19004</v>
      </c>
      <c r="D1433" s="2" t="str">
        <f t="shared" si="21"/>
        <v>Error?</v>
      </c>
    </row>
    <row r="1434" spans="1:4" x14ac:dyDescent="0.2">
      <c r="A1434" s="5">
        <v>1373</v>
      </c>
      <c r="B1434" s="1890">
        <f>'Expenditures 15-22'!D269</f>
        <v>8668</v>
      </c>
      <c r="D1434" s="2" t="str">
        <f t="shared" si="21"/>
        <v>Error?</v>
      </c>
    </row>
    <row r="1435" spans="1:4" x14ac:dyDescent="0.2">
      <c r="A1435" s="10">
        <v>1374</v>
      </c>
      <c r="B1435" s="1890"/>
      <c r="D1435" s="2" t="str">
        <f t="shared" si="21"/>
        <v>OK</v>
      </c>
    </row>
    <row r="1436" spans="1:4" x14ac:dyDescent="0.2">
      <c r="A1436" s="5">
        <v>1375</v>
      </c>
      <c r="B1436" s="1890">
        <f>'Expenditures 15-22'!D270</f>
        <v>60301</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70026</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139108</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2279</v>
      </c>
      <c r="C1471" s="2" t="s">
        <v>567</v>
      </c>
      <c r="D1471" s="2" t="str">
        <f t="shared" ref="D1471:D1534" si="22">IF(ISBLANK(B1471),"OK",IF(A1471-B1471=0,"OK","Error?"))</f>
        <v>Error?</v>
      </c>
    </row>
    <row r="1472" spans="1:4" x14ac:dyDescent="0.2">
      <c r="A1472" s="5">
        <v>1411</v>
      </c>
      <c r="B1472" s="1890">
        <f>'Expenditures 15-22'!K223</f>
        <v>3446</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69082</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1647</v>
      </c>
      <c r="C1476" s="2" t="s">
        <v>567</v>
      </c>
      <c r="D1476" s="2" t="str">
        <f t="shared" si="22"/>
        <v>Error?</v>
      </c>
    </row>
    <row r="1477" spans="1:4" x14ac:dyDescent="0.2">
      <c r="A1477" s="5">
        <v>1416</v>
      </c>
      <c r="B1477" s="1890">
        <f>'Expenditures 15-22'!K234</f>
        <v>5417</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7064</v>
      </c>
      <c r="C1481" s="2" t="s">
        <v>567</v>
      </c>
      <c r="D1481" s="2" t="str">
        <f t="shared" si="22"/>
        <v>Error?</v>
      </c>
    </row>
    <row r="1482" spans="1:4" x14ac:dyDescent="0.2">
      <c r="A1482" s="5">
        <v>1421</v>
      </c>
      <c r="B1482" s="1890">
        <f>'Expenditures 15-22'!K240</f>
        <v>0</v>
      </c>
      <c r="C1482" s="2" t="s">
        <v>567</v>
      </c>
      <c r="D1482" s="2" t="str">
        <f t="shared" si="22"/>
        <v>Error?</v>
      </c>
    </row>
    <row r="1483" spans="1:4" x14ac:dyDescent="0.2">
      <c r="A1483" s="5">
        <v>1422</v>
      </c>
      <c r="B1483" s="1890">
        <f>'Expenditures 15-22'!K241</f>
        <v>0</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0</v>
      </c>
      <c r="C1485" s="2" t="s">
        <v>567</v>
      </c>
      <c r="D1485" s="2" t="str">
        <f t="shared" si="22"/>
        <v>Error?</v>
      </c>
    </row>
    <row r="1486" spans="1:4" x14ac:dyDescent="0.2">
      <c r="A1486" s="5">
        <v>1425</v>
      </c>
      <c r="B1486" s="1890">
        <f>'Expenditures 15-22'!K245</f>
        <v>258</v>
      </c>
      <c r="C1486" s="2" t="s">
        <v>567</v>
      </c>
      <c r="D1486" s="2" t="str">
        <f t="shared" si="22"/>
        <v>Error?</v>
      </c>
    </row>
    <row r="1487" spans="1:4" x14ac:dyDescent="0.2">
      <c r="A1487" s="5">
        <v>1426</v>
      </c>
      <c r="B1487" s="1890">
        <f>'Expenditures 15-22'!K246</f>
        <v>1162</v>
      </c>
      <c r="C1487" s="2" t="s">
        <v>567</v>
      </c>
      <c r="D1487" s="2" t="str">
        <f t="shared" si="22"/>
        <v>Error?</v>
      </c>
    </row>
    <row r="1488" spans="1:4" x14ac:dyDescent="0.2">
      <c r="A1488" s="5">
        <v>1427</v>
      </c>
      <c r="B1488" s="1890">
        <f>'Expenditures 15-22'!K257</f>
        <v>1420</v>
      </c>
      <c r="C1488" s="2" t="s">
        <v>567</v>
      </c>
      <c r="D1488" s="2" t="str">
        <f t="shared" si="22"/>
        <v>Error?</v>
      </c>
    </row>
    <row r="1489" spans="1:4" x14ac:dyDescent="0.2">
      <c r="A1489" s="5">
        <v>1428</v>
      </c>
      <c r="B1489" s="1890">
        <f>'Expenditures 15-22'!K259</f>
        <v>1241</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1241</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8948</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23607</v>
      </c>
      <c r="C1495" s="2" t="s">
        <v>567</v>
      </c>
      <c r="D1495" s="2" t="str">
        <f t="shared" si="22"/>
        <v>Error?</v>
      </c>
    </row>
    <row r="1496" spans="1:4" x14ac:dyDescent="0.2">
      <c r="A1496" s="5">
        <v>1435</v>
      </c>
      <c r="B1496" s="1890">
        <f>'Expenditures 15-22'!K267</f>
        <v>74</v>
      </c>
      <c r="C1496" s="2" t="s">
        <v>567</v>
      </c>
      <c r="D1496" s="2" t="str">
        <f t="shared" si="22"/>
        <v>Error?</v>
      </c>
    </row>
    <row r="1497" spans="1:4" x14ac:dyDescent="0.2">
      <c r="A1497" s="5">
        <v>1436</v>
      </c>
      <c r="B1497" s="1890">
        <f>'Expenditures 15-22'!K268</f>
        <v>19004</v>
      </c>
      <c r="C1497" s="2" t="s">
        <v>567</v>
      </c>
      <c r="D1497" s="2" t="str">
        <f t="shared" si="22"/>
        <v>Error?</v>
      </c>
    </row>
    <row r="1498" spans="1:4" x14ac:dyDescent="0.2">
      <c r="A1498" s="5">
        <v>1437</v>
      </c>
      <c r="B1498" s="1890">
        <f>'Expenditures 15-22'!K269</f>
        <v>8668</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60301</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70026</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139108</v>
      </c>
      <c r="C1517" s="2" t="s">
        <v>567</v>
      </c>
      <c r="D1517" s="2" t="str">
        <f t="shared" si="22"/>
        <v>Error?</v>
      </c>
    </row>
    <row r="1518" spans="1:4" x14ac:dyDescent="0.2">
      <c r="A1518" s="5">
        <v>1457</v>
      </c>
      <c r="B1518" s="1890">
        <f>'Expenditures 15-22'!K296</f>
        <v>2607</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50000</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2285571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2897065</v>
      </c>
      <c r="C1630" s="2" t="s">
        <v>567</v>
      </c>
      <c r="D1630" s="2" t="str">
        <f t="shared" si="24"/>
        <v>Error?</v>
      </c>
    </row>
    <row r="1631" spans="1:4" x14ac:dyDescent="0.2">
      <c r="A1631" s="5">
        <v>1570</v>
      </c>
      <c r="B1631" s="1890">
        <f>'Acct Summary 7-8'!D79</f>
        <v>14787</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12464</v>
      </c>
      <c r="C1644" s="2" t="s">
        <v>567</v>
      </c>
      <c r="D1644" s="2" t="str">
        <f t="shared" si="24"/>
        <v>Error?</v>
      </c>
    </row>
    <row r="1645" spans="1:4" x14ac:dyDescent="0.2">
      <c r="A1645" s="5">
        <v>1584</v>
      </c>
      <c r="B1645" s="1890">
        <f>'Acct Summary 7-8'!E79</f>
        <v>6912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7023</v>
      </c>
      <c r="C1658" s="2" t="s">
        <v>567</v>
      </c>
      <c r="D1658" s="2" t="str">
        <f t="shared" si="24"/>
        <v>Error?</v>
      </c>
    </row>
    <row r="1659" spans="1:4" x14ac:dyDescent="0.2">
      <c r="A1659" s="5">
        <v>1598</v>
      </c>
      <c r="B1659" s="1890">
        <f>'Acct Summary 7-8'!F79</f>
        <v>111114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151323</v>
      </c>
      <c r="C1672" s="2" t="s">
        <v>567</v>
      </c>
      <c r="D1672" s="2" t="str">
        <f t="shared" si="25"/>
        <v>Error?</v>
      </c>
    </row>
    <row r="1673" spans="1:4" x14ac:dyDescent="0.2">
      <c r="A1673" s="5">
        <v>1612</v>
      </c>
      <c r="B1673" s="1890">
        <f>'Acct Summary 7-8'!G79</f>
        <v>172624</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175231</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50000</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1654304</v>
      </c>
      <c r="C1744" s="2" t="s">
        <v>567</v>
      </c>
      <c r="D1744" s="2" t="str">
        <f t="shared" si="26"/>
        <v>Error?</v>
      </c>
    </row>
    <row r="1745" spans="1:5" x14ac:dyDescent="0.2">
      <c r="A1745" s="5">
        <v>1684</v>
      </c>
      <c r="B1745" s="1890">
        <f>'Tax Sched 23'!B5</f>
        <v>342178</v>
      </c>
      <c r="C1745" s="2" t="s">
        <v>567</v>
      </c>
      <c r="D1745" s="2" t="str">
        <f t="shared" si="26"/>
        <v>Error?</v>
      </c>
    </row>
    <row r="1746" spans="1:5" x14ac:dyDescent="0.2">
      <c r="A1746" s="5">
        <v>1685</v>
      </c>
      <c r="B1746" s="1890">
        <f>'Tax Sched 23'!B6</f>
        <v>66178</v>
      </c>
      <c r="C1746" s="2" t="s">
        <v>567</v>
      </c>
      <c r="D1746" s="2" t="str">
        <f t="shared" si="26"/>
        <v>Error?</v>
      </c>
    </row>
    <row r="1747" spans="1:5" x14ac:dyDescent="0.2">
      <c r="A1747" s="5">
        <v>1686</v>
      </c>
      <c r="B1747" s="1890">
        <f>'Tax Sched 23'!B7</f>
        <v>146647</v>
      </c>
      <c r="C1747" s="2" t="s">
        <v>567</v>
      </c>
      <c r="D1747" s="2" t="str">
        <f t="shared" si="26"/>
        <v>Error?</v>
      </c>
    </row>
    <row r="1748" spans="1:5" x14ac:dyDescent="0.2">
      <c r="A1748" s="5">
        <v>1687</v>
      </c>
      <c r="B1748" s="1890">
        <f>'Tax Sched 23'!B8</f>
        <v>52526</v>
      </c>
      <c r="C1748" s="2" t="s">
        <v>567</v>
      </c>
      <c r="D1748" s="2" t="str">
        <f t="shared" si="26"/>
        <v>Error?</v>
      </c>
    </row>
    <row r="1749" spans="1:5" x14ac:dyDescent="0.2">
      <c r="A1749" s="5">
        <v>1688</v>
      </c>
      <c r="B1749" s="1890">
        <f>'Tax Sched 23'!B10</f>
        <v>34273</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65811</v>
      </c>
      <c r="C1752" s="2" t="s">
        <v>567</v>
      </c>
      <c r="D1752" s="2" t="str">
        <f t="shared" si="26"/>
        <v>Error?</v>
      </c>
    </row>
    <row r="1753" spans="1:5" x14ac:dyDescent="0.2">
      <c r="A1753" s="5">
        <v>1692</v>
      </c>
      <c r="B1753" s="1890">
        <f>'Tax Sched 23'!B12</f>
        <v>34273</v>
      </c>
      <c r="C1753" s="2" t="s">
        <v>567</v>
      </c>
      <c r="D1753" s="2" t="str">
        <f t="shared" si="26"/>
        <v>Error?</v>
      </c>
    </row>
    <row r="1754" spans="1:5" x14ac:dyDescent="0.2">
      <c r="A1754" s="5">
        <v>1693</v>
      </c>
      <c r="B1754" s="1890">
        <f>'Tax Sched 23'!B14</f>
        <v>153158</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2635954</v>
      </c>
      <c r="C1759" s="2" t="s">
        <v>567</v>
      </c>
      <c r="D1759" s="2" t="str">
        <f t="shared" si="26"/>
        <v>Error?</v>
      </c>
    </row>
    <row r="1760" spans="1:5" x14ac:dyDescent="0.2">
      <c r="A1760" s="5">
        <v>1699</v>
      </c>
      <c r="B1760" s="1890">
        <f>'Tax Sched 23'!D4</f>
        <v>1654304</v>
      </c>
      <c r="C1760" s="2" t="s">
        <v>567</v>
      </c>
      <c r="D1760" s="2" t="str">
        <f t="shared" si="26"/>
        <v>Error?</v>
      </c>
    </row>
    <row r="1761" spans="1:7" x14ac:dyDescent="0.2">
      <c r="A1761" s="5">
        <v>1700</v>
      </c>
      <c r="B1761" s="1890">
        <f>'Tax Sched 23'!D5</f>
        <v>342178</v>
      </c>
      <c r="C1761" s="2" t="s">
        <v>567</v>
      </c>
      <c r="D1761" s="2" t="str">
        <f t="shared" si="26"/>
        <v>Error?</v>
      </c>
    </row>
    <row r="1762" spans="1:7" s="8" customFormat="1" x14ac:dyDescent="0.2">
      <c r="A1762" s="5">
        <v>1701</v>
      </c>
      <c r="B1762" s="1890">
        <f>'Tax Sched 23'!D6</f>
        <v>66178</v>
      </c>
      <c r="C1762" s="2" t="s">
        <v>567</v>
      </c>
      <c r="D1762" s="2" t="str">
        <f t="shared" si="26"/>
        <v>Error?</v>
      </c>
      <c r="E1762" s="9"/>
      <c r="G1762"/>
    </row>
    <row r="1763" spans="1:7" x14ac:dyDescent="0.2">
      <c r="A1763" s="5">
        <v>1702</v>
      </c>
      <c r="B1763" s="1890">
        <f>'Tax Sched 23'!D7</f>
        <v>146647</v>
      </c>
      <c r="C1763" s="2" t="s">
        <v>567</v>
      </c>
      <c r="D1763" s="2" t="str">
        <f t="shared" si="26"/>
        <v>Error?</v>
      </c>
    </row>
    <row r="1764" spans="1:7" x14ac:dyDescent="0.2">
      <c r="A1764" s="5">
        <v>1703</v>
      </c>
      <c r="B1764" s="1890">
        <f>'Tax Sched 23'!D8</f>
        <v>52526</v>
      </c>
      <c r="C1764" s="2" t="s">
        <v>567</v>
      </c>
      <c r="D1764" s="2" t="str">
        <f t="shared" si="26"/>
        <v>Error?</v>
      </c>
    </row>
    <row r="1765" spans="1:7" x14ac:dyDescent="0.2">
      <c r="A1765" s="5">
        <v>1704</v>
      </c>
      <c r="B1765" s="1890">
        <f>'Tax Sched 23'!D10</f>
        <v>34273</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65811</v>
      </c>
      <c r="C1768" s="2" t="s">
        <v>567</v>
      </c>
      <c r="D1768" s="2" t="str">
        <f t="shared" si="26"/>
        <v>Error?</v>
      </c>
    </row>
    <row r="1769" spans="1:7" x14ac:dyDescent="0.2">
      <c r="A1769" s="5">
        <v>1708</v>
      </c>
      <c r="B1769" s="1890">
        <f>'Tax Sched 23'!D12</f>
        <v>34273</v>
      </c>
      <c r="C1769" s="2" t="s">
        <v>567</v>
      </c>
      <c r="D1769" s="2" t="str">
        <f t="shared" si="26"/>
        <v>Error?</v>
      </c>
    </row>
    <row r="1770" spans="1:7" x14ac:dyDescent="0.2">
      <c r="A1770" s="5">
        <v>1709</v>
      </c>
      <c r="B1770" s="1890">
        <f>'Tax Sched 23'!D14</f>
        <v>153158</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2635954</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1672530</v>
      </c>
      <c r="C1792" s="2" t="s">
        <v>567</v>
      </c>
      <c r="D1792" s="2" t="str">
        <f t="shared" si="27"/>
        <v>Error?</v>
      </c>
    </row>
    <row r="1793" spans="1:4" x14ac:dyDescent="0.2">
      <c r="A1793" s="5">
        <v>1732</v>
      </c>
      <c r="B1793" s="1890">
        <f>'Tax Sched 23'!F5</f>
        <v>362327</v>
      </c>
      <c r="C1793" s="2" t="s">
        <v>567</v>
      </c>
      <c r="D1793" s="2" t="str">
        <f t="shared" si="27"/>
        <v>Error?</v>
      </c>
    </row>
    <row r="1794" spans="1:4" x14ac:dyDescent="0.2">
      <c r="A1794" s="5">
        <v>1733</v>
      </c>
      <c r="B1794" s="1890">
        <f>'Tax Sched 23'!F6</f>
        <v>66782</v>
      </c>
      <c r="C1794" s="2" t="s">
        <v>567</v>
      </c>
      <c r="D1794" s="2" t="str">
        <f t="shared" si="27"/>
        <v>Error?</v>
      </c>
    </row>
    <row r="1795" spans="1:4" x14ac:dyDescent="0.2">
      <c r="A1795" s="5">
        <v>1734</v>
      </c>
      <c r="B1795" s="1890">
        <f>'Tax Sched 23'!F7</f>
        <v>155283</v>
      </c>
      <c r="C1795" s="2" t="s">
        <v>567</v>
      </c>
      <c r="D1795" s="2" t="str">
        <f t="shared" si="27"/>
        <v>Error?</v>
      </c>
    </row>
    <row r="1796" spans="1:4" x14ac:dyDescent="0.2">
      <c r="A1796" s="5">
        <v>1735</v>
      </c>
      <c r="B1796" s="1890">
        <f>'Tax Sched 23'!F8</f>
        <v>0</v>
      </c>
      <c r="C1796" s="2" t="s">
        <v>567</v>
      </c>
      <c r="D1796" s="2" t="str">
        <f t="shared" si="27"/>
        <v>Error?</v>
      </c>
    </row>
    <row r="1797" spans="1:4" x14ac:dyDescent="0.2">
      <c r="A1797" s="5">
        <v>1736</v>
      </c>
      <c r="B1797" s="1890">
        <f>'Tax Sched 23'!F10</f>
        <v>3919</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0</v>
      </c>
      <c r="C1800" s="2" t="s">
        <v>567</v>
      </c>
      <c r="D1800" s="2" t="str">
        <f t="shared" si="27"/>
        <v>Error?</v>
      </c>
    </row>
    <row r="1801" spans="1:4" x14ac:dyDescent="0.2">
      <c r="A1801" s="5">
        <v>1740</v>
      </c>
      <c r="B1801" s="1890">
        <f>'Tax Sched 23'!F12</f>
        <v>36118</v>
      </c>
      <c r="C1801" s="2" t="s">
        <v>567</v>
      </c>
      <c r="D1801" s="2" t="str">
        <f t="shared" si="27"/>
        <v>Error?</v>
      </c>
    </row>
    <row r="1802" spans="1:4" x14ac:dyDescent="0.2">
      <c r="A1802" s="5">
        <v>1741</v>
      </c>
      <c r="B1802" s="1890">
        <f>'Tax Sched 23'!F14</f>
        <v>161696</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2477116</v>
      </c>
      <c r="C1807" s="2" t="s">
        <v>567</v>
      </c>
      <c r="D1807" s="2" t="str">
        <f t="shared" si="27"/>
        <v>Error?</v>
      </c>
    </row>
    <row r="1808" spans="1:4" x14ac:dyDescent="0.2">
      <c r="A1808" s="5">
        <v>1747</v>
      </c>
      <c r="B1808" s="1890">
        <f>'Tax Sched 23'!E4</f>
        <v>1672530</v>
      </c>
      <c r="D1808" s="2" t="str">
        <f t="shared" si="27"/>
        <v>Error?</v>
      </c>
    </row>
    <row r="1809" spans="1:4" x14ac:dyDescent="0.2">
      <c r="A1809" s="5">
        <v>1748</v>
      </c>
      <c r="B1809" s="1890">
        <f>'Tax Sched 23'!E5</f>
        <v>362327</v>
      </c>
      <c r="D1809" s="2" t="str">
        <f t="shared" si="27"/>
        <v>Error?</v>
      </c>
    </row>
    <row r="1810" spans="1:4" x14ac:dyDescent="0.2">
      <c r="A1810" s="5">
        <v>1749</v>
      </c>
      <c r="B1810" s="1890">
        <f>'Tax Sched 23'!E6</f>
        <v>66782</v>
      </c>
      <c r="D1810" s="2" t="str">
        <f t="shared" si="27"/>
        <v>Error?</v>
      </c>
    </row>
    <row r="1811" spans="1:4" x14ac:dyDescent="0.2">
      <c r="A1811" s="5">
        <v>1750</v>
      </c>
      <c r="B1811" s="1890">
        <f>'Tax Sched 23'!E7</f>
        <v>155283</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3919</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36118</v>
      </c>
      <c r="D1817" s="2" t="str">
        <f t="shared" si="27"/>
        <v>Error?</v>
      </c>
    </row>
    <row r="1818" spans="1:4" x14ac:dyDescent="0.2">
      <c r="A1818" s="5">
        <v>1757</v>
      </c>
      <c r="B1818" s="1890">
        <f>'Tax Sched 23'!E14</f>
        <v>161696</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2477116</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251600</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153158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153158</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153158</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26166</v>
      </c>
      <c r="D2008" s="2" t="str">
        <f t="shared" si="30"/>
        <v>Error?</v>
      </c>
    </row>
    <row r="2009" spans="1:4" x14ac:dyDescent="0.2">
      <c r="A2009" s="5">
        <v>1948</v>
      </c>
      <c r="B2009" s="1890">
        <f>'Cap Outlay Deprec 26'!C8</f>
        <v>6949639</v>
      </c>
      <c r="D2009" s="2" t="str">
        <f t="shared" si="30"/>
        <v>Error?</v>
      </c>
    </row>
    <row r="2010" spans="1:4" x14ac:dyDescent="0.2">
      <c r="A2010" s="5">
        <v>1949</v>
      </c>
      <c r="B2010" s="1890">
        <f>'Cap Outlay Deprec 26'!C10</f>
        <v>220045</v>
      </c>
      <c r="D2010" s="2" t="str">
        <f t="shared" si="30"/>
        <v>Error?</v>
      </c>
    </row>
    <row r="2011" spans="1:4" x14ac:dyDescent="0.2">
      <c r="A2011" s="5">
        <v>1950</v>
      </c>
      <c r="B2011" s="1890">
        <f>'Cap Outlay Deprec 26'!C12</f>
        <v>1867704</v>
      </c>
      <c r="D2011" s="2" t="str">
        <f t="shared" si="30"/>
        <v>Error?</v>
      </c>
    </row>
    <row r="2012" spans="1:4" x14ac:dyDescent="0.2">
      <c r="A2012" s="5">
        <v>1951</v>
      </c>
      <c r="B2012" s="1890">
        <f>'Cap Outlay Deprec 26'!C13</f>
        <v>37919</v>
      </c>
      <c r="D2012" s="2" t="str">
        <f t="shared" si="30"/>
        <v>Error?</v>
      </c>
    </row>
    <row r="2013" spans="1:4" x14ac:dyDescent="0.2">
      <c r="A2013" s="5">
        <v>1952</v>
      </c>
      <c r="B2013" s="1890">
        <f>'Cap Outlay Deprec 26'!C16</f>
        <v>9101473</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77424</v>
      </c>
      <c r="D2015" s="2" t="str">
        <f t="shared" si="30"/>
        <v>Error?</v>
      </c>
    </row>
    <row r="2016" spans="1:4" x14ac:dyDescent="0.2">
      <c r="A2016" s="5">
        <v>1955</v>
      </c>
      <c r="B2016" s="1890">
        <f>'Cap Outlay Deprec 26'!D10</f>
        <v>9564</v>
      </c>
      <c r="D2016" s="2" t="str">
        <f t="shared" si="30"/>
        <v>Error?</v>
      </c>
    </row>
    <row r="2017" spans="1:4" x14ac:dyDescent="0.2">
      <c r="A2017" s="5">
        <v>1956</v>
      </c>
      <c r="B2017" s="1890">
        <f>'Cap Outlay Deprec 26'!D12</f>
        <v>112400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199388</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26166</v>
      </c>
      <c r="C2026" s="2" t="s">
        <v>567</v>
      </c>
      <c r="D2026" s="2" t="str">
        <f t="shared" si="30"/>
        <v>Error?</v>
      </c>
    </row>
    <row r="2027" spans="1:4" x14ac:dyDescent="0.2">
      <c r="A2027" s="5">
        <v>1966</v>
      </c>
      <c r="B2027" s="1890">
        <f>'Cap Outlay Deprec 26'!F8</f>
        <v>7027063</v>
      </c>
      <c r="C2027" s="2" t="s">
        <v>567</v>
      </c>
      <c r="D2027" s="2" t="str">
        <f t="shared" si="30"/>
        <v>Error?</v>
      </c>
    </row>
    <row r="2028" spans="1:4" x14ac:dyDescent="0.2">
      <c r="A2028" s="5">
        <v>1967</v>
      </c>
      <c r="B2028" s="1890">
        <f>'Cap Outlay Deprec 26'!F10</f>
        <v>229609</v>
      </c>
      <c r="C2028" s="2" t="s">
        <v>567</v>
      </c>
      <c r="D2028" s="2" t="str">
        <f t="shared" si="30"/>
        <v>Error?</v>
      </c>
    </row>
    <row r="2029" spans="1:4" x14ac:dyDescent="0.2">
      <c r="A2029" s="5">
        <v>1968</v>
      </c>
      <c r="B2029" s="1890">
        <f>'Cap Outlay Deprec 26'!F12</f>
        <v>1980104</v>
      </c>
      <c r="C2029" s="2" t="s">
        <v>567</v>
      </c>
      <c r="D2029" s="2" t="str">
        <f t="shared" si="30"/>
        <v>Error?</v>
      </c>
    </row>
    <row r="2030" spans="1:4" x14ac:dyDescent="0.2">
      <c r="A2030" s="5">
        <v>1969</v>
      </c>
      <c r="B2030" s="1890">
        <f>'Cap Outlay Deprec 26'!F13</f>
        <v>37919</v>
      </c>
      <c r="C2030" s="2" t="s">
        <v>567</v>
      </c>
      <c r="D2030" s="2" t="str">
        <f t="shared" si="30"/>
        <v>Error?</v>
      </c>
    </row>
    <row r="2031" spans="1:4" x14ac:dyDescent="0.2">
      <c r="A2031" s="5">
        <v>1970</v>
      </c>
      <c r="B2031" s="1890">
        <f>'Cap Outlay Deprec 26'!F16</f>
        <v>9300861</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3142332</v>
      </c>
      <c r="D2033" s="2" t="str">
        <f t="shared" si="30"/>
        <v>Error?</v>
      </c>
    </row>
    <row r="2034" spans="1:4" x14ac:dyDescent="0.2">
      <c r="A2034" s="5">
        <v>1973</v>
      </c>
      <c r="B2034" s="1890">
        <f>'Cap Outlay Deprec 26'!H10</f>
        <v>117875</v>
      </c>
      <c r="D2034" s="2" t="str">
        <f t="shared" si="30"/>
        <v>Error?</v>
      </c>
    </row>
    <row r="2035" spans="1:4" x14ac:dyDescent="0.2">
      <c r="A2035" s="5">
        <v>1974</v>
      </c>
      <c r="B2035" s="1890">
        <f>'Cap Outlay Deprec 26'!H12</f>
        <v>1580195</v>
      </c>
      <c r="D2035" s="2" t="str">
        <f t="shared" si="30"/>
        <v>Error?</v>
      </c>
    </row>
    <row r="2036" spans="1:4" x14ac:dyDescent="0.2">
      <c r="A2036" s="5">
        <v>1975</v>
      </c>
      <c r="B2036" s="1890">
        <f>'Cap Outlay Deprec 26'!H13</f>
        <v>27427</v>
      </c>
      <c r="D2036" s="2" t="str">
        <f t="shared" si="30"/>
        <v>Error?</v>
      </c>
    </row>
    <row r="2037" spans="1:4" x14ac:dyDescent="0.2">
      <c r="A2037" s="5">
        <v>1976</v>
      </c>
      <c r="B2037" s="1890">
        <f>'Cap Outlay Deprec 26'!H16</f>
        <v>4867829</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140770</v>
      </c>
      <c r="D2039" s="2" t="str">
        <f t="shared" si="30"/>
        <v>Error?</v>
      </c>
    </row>
    <row r="2040" spans="1:4" x14ac:dyDescent="0.2">
      <c r="A2040" s="5">
        <v>1979</v>
      </c>
      <c r="B2040" s="1890">
        <f>'Cap Outlay Deprec 26'!I10</f>
        <v>8626</v>
      </c>
      <c r="D2040" s="2" t="str">
        <f t="shared" si="30"/>
        <v>Error?</v>
      </c>
    </row>
    <row r="2041" spans="1:4" x14ac:dyDescent="0.2">
      <c r="A2041" s="5">
        <v>1980</v>
      </c>
      <c r="B2041" s="1890">
        <f>'Cap Outlay Deprec 26'!I12</f>
        <v>53850</v>
      </c>
      <c r="D2041" s="2" t="str">
        <f t="shared" si="30"/>
        <v>Error?</v>
      </c>
    </row>
    <row r="2042" spans="1:4" x14ac:dyDescent="0.2">
      <c r="A2042" s="5">
        <v>1981</v>
      </c>
      <c r="B2042" s="1890">
        <f>'Cap Outlay Deprec 26'!I13</f>
        <v>4497</v>
      </c>
      <c r="D2042" s="2" t="str">
        <f t="shared" si="30"/>
        <v>Error?</v>
      </c>
    </row>
    <row r="2043" spans="1:4" x14ac:dyDescent="0.2">
      <c r="A2043" s="5">
        <v>1982</v>
      </c>
      <c r="B2043" s="1890">
        <f>'Cap Outlay Deprec 26'!I16</f>
        <v>207743</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3283102</v>
      </c>
      <c r="C2051" s="2" t="s">
        <v>567</v>
      </c>
      <c r="D2051" s="2" t="str">
        <f t="shared" si="31"/>
        <v>Error?</v>
      </c>
    </row>
    <row r="2052" spans="1:4" x14ac:dyDescent="0.2">
      <c r="A2052" s="5">
        <v>1991</v>
      </c>
      <c r="B2052" s="1890">
        <f>'Cap Outlay Deprec 26'!K10</f>
        <v>126501</v>
      </c>
      <c r="C2052" s="2" t="s">
        <v>567</v>
      </c>
      <c r="D2052" s="2" t="str">
        <f t="shared" si="31"/>
        <v>Error?</v>
      </c>
    </row>
    <row r="2053" spans="1:4" x14ac:dyDescent="0.2">
      <c r="A2053" s="5">
        <v>1992</v>
      </c>
      <c r="B2053" s="1890">
        <f>'Cap Outlay Deprec 26'!K12</f>
        <v>1634045</v>
      </c>
      <c r="C2053" s="2" t="s">
        <v>567</v>
      </c>
      <c r="D2053" s="2" t="str">
        <f t="shared" si="31"/>
        <v>Error?</v>
      </c>
    </row>
    <row r="2054" spans="1:4" x14ac:dyDescent="0.2">
      <c r="A2054" s="5">
        <v>1993</v>
      </c>
      <c r="B2054" s="1890">
        <f>'Cap Outlay Deprec 26'!K13</f>
        <v>31924</v>
      </c>
      <c r="C2054" s="2" t="s">
        <v>567</v>
      </c>
      <c r="D2054" s="2" t="str">
        <f t="shared" si="31"/>
        <v>Error?</v>
      </c>
    </row>
    <row r="2055" spans="1:4" x14ac:dyDescent="0.2">
      <c r="A2055" s="5">
        <v>1994</v>
      </c>
      <c r="B2055" s="1890">
        <f>'Cap Outlay Deprec 26'!K16</f>
        <v>5075572</v>
      </c>
      <c r="C2055" s="2" t="s">
        <v>567</v>
      </c>
      <c r="D2055" s="2" t="str">
        <f t="shared" si="31"/>
        <v>Error?</v>
      </c>
    </row>
    <row r="2056" spans="1:4" x14ac:dyDescent="0.2">
      <c r="A2056" s="5">
        <v>1995</v>
      </c>
      <c r="B2056" s="1890">
        <f>'Cap Outlay Deprec 26'!L5</f>
        <v>26166</v>
      </c>
      <c r="C2056" s="2" t="s">
        <v>567</v>
      </c>
      <c r="D2056" s="2" t="str">
        <f t="shared" si="31"/>
        <v>Error?</v>
      </c>
    </row>
    <row r="2057" spans="1:4" x14ac:dyDescent="0.2">
      <c r="A2057" s="5">
        <v>1996</v>
      </c>
      <c r="B2057" s="1890">
        <f>'Cap Outlay Deprec 26'!L8</f>
        <v>3743961</v>
      </c>
      <c r="C2057" s="2" t="s">
        <v>567</v>
      </c>
      <c r="D2057" s="2" t="str">
        <f t="shared" si="31"/>
        <v>Error?</v>
      </c>
    </row>
    <row r="2058" spans="1:4" x14ac:dyDescent="0.2">
      <c r="A2058" s="5">
        <v>1997</v>
      </c>
      <c r="B2058" s="1890">
        <f>'Cap Outlay Deprec 26'!L10</f>
        <v>103108</v>
      </c>
      <c r="C2058" s="2" t="s">
        <v>567</v>
      </c>
      <c r="D2058" s="2" t="str">
        <f t="shared" si="31"/>
        <v>Error?</v>
      </c>
    </row>
    <row r="2059" spans="1:4" x14ac:dyDescent="0.2">
      <c r="A2059" s="5">
        <v>1998</v>
      </c>
      <c r="B2059" s="1890">
        <f>'Cap Outlay Deprec 26'!L12</f>
        <v>346059</v>
      </c>
      <c r="C2059" s="2" t="s">
        <v>567</v>
      </c>
      <c r="D2059" s="2" t="str">
        <f t="shared" si="31"/>
        <v>Error?</v>
      </c>
    </row>
    <row r="2060" spans="1:4" x14ac:dyDescent="0.2">
      <c r="A2060" s="5">
        <v>1999</v>
      </c>
      <c r="B2060" s="1890">
        <f>'Cap Outlay Deprec 26'!L13</f>
        <v>5995</v>
      </c>
      <c r="C2060" s="2" t="s">
        <v>567</v>
      </c>
      <c r="D2060" s="2" t="str">
        <f t="shared" si="31"/>
        <v>Error?</v>
      </c>
    </row>
    <row r="2061" spans="1:4" x14ac:dyDescent="0.2">
      <c r="A2061" s="5">
        <v>2000</v>
      </c>
      <c r="B2061" s="1890">
        <f>'Cap Outlay Deprec 26'!L16</f>
        <v>4225289</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567</v>
      </c>
      <c r="D2088" s="2" t="str">
        <f t="shared" si="31"/>
        <v>Error?</v>
      </c>
    </row>
    <row r="2089" spans="1:4" x14ac:dyDescent="0.2">
      <c r="A2089" s="5">
        <v>2028</v>
      </c>
      <c r="B2089" s="1890">
        <f>'Expenditures 15-22'!K92</f>
        <v>110249</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70411</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50000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2142435</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2387848</v>
      </c>
      <c r="C2553" s="2" t="s">
        <v>567</v>
      </c>
      <c r="D2553" s="2" t="str">
        <f t="shared" si="38"/>
        <v>Error?</v>
      </c>
    </row>
    <row r="2554" spans="1:4" x14ac:dyDescent="0.2">
      <c r="A2554" s="5">
        <v>2493</v>
      </c>
      <c r="B2554" s="1890">
        <f>'Acct Summary 7-8'!C7</f>
        <v>201183</v>
      </c>
      <c r="C2554" s="2" t="s">
        <v>567</v>
      </c>
      <c r="D2554" s="2" t="str">
        <f t="shared" si="38"/>
        <v>Error?</v>
      </c>
    </row>
    <row r="2555" spans="1:4" x14ac:dyDescent="0.2">
      <c r="A2555" s="5">
        <v>2494</v>
      </c>
      <c r="B2555" s="1890">
        <f>'Acct Summary 7-8'!C8</f>
        <v>4731466</v>
      </c>
      <c r="C2555" s="2" t="s">
        <v>567</v>
      </c>
      <c r="D2555" s="2" t="str">
        <f t="shared" si="38"/>
        <v>Error?</v>
      </c>
    </row>
    <row r="2556" spans="1:4" x14ac:dyDescent="0.2">
      <c r="A2556" s="5">
        <v>2495</v>
      </c>
      <c r="B2556" s="1890">
        <f>'Acct Summary 7-8'!C12</f>
        <v>3126083</v>
      </c>
      <c r="C2556" s="2" t="s">
        <v>567</v>
      </c>
      <c r="D2556" s="2" t="str">
        <f t="shared" si="38"/>
        <v>Error?</v>
      </c>
    </row>
    <row r="2557" spans="1:4" x14ac:dyDescent="0.2">
      <c r="A2557" s="5">
        <v>2496</v>
      </c>
      <c r="B2557" s="1890">
        <f>'Acct Summary 7-8'!C13</f>
        <v>883640</v>
      </c>
      <c r="C2557" s="2" t="s">
        <v>567</v>
      </c>
      <c r="D2557" s="2" t="str">
        <f t="shared" si="38"/>
        <v>Error?</v>
      </c>
    </row>
    <row r="2558" spans="1:4" x14ac:dyDescent="0.2">
      <c r="A2558" s="5">
        <v>2497</v>
      </c>
      <c r="B2558" s="1890">
        <f>'Acct Summary 7-8'!C14</f>
        <v>0</v>
      </c>
      <c r="C2558" s="2" t="s">
        <v>567</v>
      </c>
      <c r="D2558" s="2" t="str">
        <f t="shared" si="38"/>
        <v>Error?</v>
      </c>
    </row>
    <row r="2559" spans="1:4" x14ac:dyDescent="0.2">
      <c r="A2559" s="5">
        <v>2498</v>
      </c>
      <c r="B2559" s="1890">
        <f>'Acct Summary 7-8'!C15</f>
        <v>110249</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4119972</v>
      </c>
      <c r="C2561" s="2" t="s">
        <v>567</v>
      </c>
      <c r="D2561" s="2" t="str">
        <f t="shared" si="39"/>
        <v>Error?</v>
      </c>
    </row>
    <row r="2562" spans="1:4" x14ac:dyDescent="0.2">
      <c r="A2562" s="5">
        <v>2501</v>
      </c>
      <c r="B2562" s="1890">
        <f>'Acct Summary 7-8'!C20</f>
        <v>611494</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345238</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96854</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442092</v>
      </c>
      <c r="C2568" s="2" t="s">
        <v>567</v>
      </c>
      <c r="D2568" s="2" t="str">
        <f t="shared" si="39"/>
        <v>Error?</v>
      </c>
    </row>
    <row r="2569" spans="1:4" x14ac:dyDescent="0.2">
      <c r="A2569" s="5">
        <v>2508</v>
      </c>
      <c r="B2569" s="1890">
        <f>'Acct Summary 7-8'!D13</f>
        <v>444415</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444415</v>
      </c>
      <c r="C2573" s="2" t="s">
        <v>567</v>
      </c>
      <c r="D2573" s="2" t="str">
        <f t="shared" si="39"/>
        <v>Error?</v>
      </c>
    </row>
    <row r="2574" spans="1:4" x14ac:dyDescent="0.2">
      <c r="A2574" s="5">
        <v>2513</v>
      </c>
      <c r="B2574" s="1890">
        <f>'Acct Summary 7-8'!D20</f>
        <v>-2323</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148018</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193924</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341942</v>
      </c>
      <c r="C2595" s="2" t="s">
        <v>567</v>
      </c>
      <c r="D2595" s="2" t="str">
        <f t="shared" si="39"/>
        <v>Error?</v>
      </c>
    </row>
    <row r="2596" spans="1:4" x14ac:dyDescent="0.2">
      <c r="A2596" s="5">
        <v>2535</v>
      </c>
      <c r="B2596" s="1890">
        <f>'Acct Summary 7-8'!F13</f>
        <v>301733</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0</v>
      </c>
      <c r="C2599" s="2" t="s">
        <v>567</v>
      </c>
      <c r="D2599" s="2" t="str">
        <f t="shared" si="39"/>
        <v>Error?</v>
      </c>
    </row>
    <row r="2600" spans="1:4" x14ac:dyDescent="0.2">
      <c r="A2600" s="5">
        <v>2539</v>
      </c>
      <c r="B2600" s="1890">
        <f>'Acct Summary 7-8'!F17</f>
        <v>301733</v>
      </c>
      <c r="C2600" s="2" t="s">
        <v>567</v>
      </c>
      <c r="D2600" s="2" t="str">
        <f t="shared" si="39"/>
        <v>Error?</v>
      </c>
    </row>
    <row r="2601" spans="1:4" x14ac:dyDescent="0.2">
      <c r="A2601" s="5">
        <v>2540</v>
      </c>
      <c r="B2601" s="1890">
        <f>'Acct Summary 7-8'!F20</f>
        <v>40209</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141715</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141715</v>
      </c>
      <c r="C2606" s="2" t="s">
        <v>567</v>
      </c>
      <c r="D2606" s="2" t="str">
        <f t="shared" si="39"/>
        <v>Error?</v>
      </c>
    </row>
    <row r="2607" spans="1:4" x14ac:dyDescent="0.2">
      <c r="A2607" s="5">
        <v>2546</v>
      </c>
      <c r="B2607" s="1890">
        <f>'Acct Summary 7-8'!G12</f>
        <v>69082</v>
      </c>
      <c r="C2607" s="2" t="s">
        <v>567</v>
      </c>
      <c r="D2607" s="2" t="str">
        <f t="shared" si="39"/>
        <v>Error?</v>
      </c>
    </row>
    <row r="2608" spans="1:4" x14ac:dyDescent="0.2">
      <c r="A2608" s="5">
        <v>2547</v>
      </c>
      <c r="B2608" s="1890">
        <f>'Acct Summary 7-8'!G13</f>
        <v>70026</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139108</v>
      </c>
      <c r="C2612" s="2" t="s">
        <v>567</v>
      </c>
      <c r="D2612" s="2" t="str">
        <f t="shared" si="39"/>
        <v>Error?</v>
      </c>
    </row>
    <row r="2613" spans="1:4" x14ac:dyDescent="0.2">
      <c r="A2613" s="5">
        <v>2552</v>
      </c>
      <c r="B2613" s="1890">
        <f>'Acct Summary 7-8'!G20</f>
        <v>2607</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66926</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66926</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66815</v>
      </c>
      <c r="C2634" s="2" t="s">
        <v>567</v>
      </c>
      <c r="D2634" s="2" t="str">
        <f t="shared" si="40"/>
        <v>Error?</v>
      </c>
    </row>
    <row r="2635" spans="1:4" x14ac:dyDescent="0.2">
      <c r="A2635" s="5">
        <v>2574</v>
      </c>
      <c r="B2635" s="1890">
        <f>'Acct Summary 7-8'!E17</f>
        <v>66815</v>
      </c>
      <c r="C2635" s="2" t="s">
        <v>567</v>
      </c>
      <c r="D2635" s="2" t="str">
        <f t="shared" si="40"/>
        <v>Error?</v>
      </c>
    </row>
    <row r="2636" spans="1:4" x14ac:dyDescent="0.2">
      <c r="A2636" s="5">
        <v>2575</v>
      </c>
      <c r="B2636" s="1890">
        <f>'Acct Summary 7-8'!E20</f>
        <v>111</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567</v>
      </c>
      <c r="D2655" s="2" t="str">
        <f t="shared" si="40"/>
        <v>Error?</v>
      </c>
    </row>
    <row r="2656" spans="1:4" x14ac:dyDescent="0.2">
      <c r="A2656" s="5">
        <v>2595</v>
      </c>
      <c r="B2656" s="1890">
        <f>'Acct Summary 7-8'!H6</f>
        <v>50000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50000</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50000</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567</v>
      </c>
      <c r="D2789" s="2" t="str">
        <f t="shared" si="42"/>
        <v>Error?</v>
      </c>
    </row>
    <row r="2790" spans="1:4" x14ac:dyDescent="0.2">
      <c r="A2790" s="5">
        <v>2729</v>
      </c>
      <c r="B2790" s="1890">
        <f>'Expenditures 15-22'!E102</f>
        <v>0</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97650</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80334</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97650</v>
      </c>
      <c r="D2912" s="2" t="str">
        <f t="shared" si="44"/>
        <v>Error?</v>
      </c>
    </row>
    <row r="2913" spans="1:4" x14ac:dyDescent="0.2">
      <c r="A2913" s="5">
        <v>2852</v>
      </c>
      <c r="B2913" s="1890">
        <f>'Assets-Liab 5-6'!I41</f>
        <v>97650</v>
      </c>
      <c r="C2913" s="2" t="s">
        <v>567</v>
      </c>
      <c r="D2913" s="2" t="str">
        <f t="shared" si="44"/>
        <v>Error?</v>
      </c>
    </row>
    <row r="2914" spans="1:4" x14ac:dyDescent="0.2">
      <c r="A2914" s="5">
        <v>2853</v>
      </c>
      <c r="B2914" s="1890">
        <f>'Assets-Liab 5-6'!L33</f>
        <v>80334</v>
      </c>
      <c r="D2914" s="2" t="str">
        <f t="shared" si="44"/>
        <v>Error?</v>
      </c>
    </row>
    <row r="2915" spans="1:4" x14ac:dyDescent="0.2">
      <c r="A2915" s="10">
        <v>2854</v>
      </c>
      <c r="B2915" s="1890"/>
      <c r="D2915" s="2" t="str">
        <f t="shared" si="44"/>
        <v>OK</v>
      </c>
    </row>
    <row r="2916" spans="1:4" x14ac:dyDescent="0.2">
      <c r="A2916" s="5">
        <v>2855</v>
      </c>
      <c r="B2916" s="1890">
        <f>'Assets-Liab 5-6'!L34</f>
        <v>80334</v>
      </c>
      <c r="C2916" s="2" t="s">
        <v>567</v>
      </c>
      <c r="D2916" s="2" t="str">
        <f t="shared" si="44"/>
        <v>Error?</v>
      </c>
    </row>
    <row r="2917" spans="1:4" x14ac:dyDescent="0.2">
      <c r="A2917" s="5">
        <v>2856</v>
      </c>
      <c r="B2917" s="1890">
        <f>'Assets-Liab 5-6'!L41</f>
        <v>80334</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0</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0</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60296</v>
      </c>
      <c r="D3055" s="2" t="str">
        <f t="shared" si="46"/>
        <v>Error?</v>
      </c>
    </row>
    <row r="3056" spans="1:4" x14ac:dyDescent="0.2">
      <c r="A3056" s="5">
        <v>2995</v>
      </c>
      <c r="B3056" s="1890">
        <f>'Expenditures 15-22'!D10</f>
        <v>11650</v>
      </c>
      <c r="D3056" s="2" t="str">
        <f t="shared" si="46"/>
        <v>Error?</v>
      </c>
    </row>
    <row r="3057" spans="1:4" x14ac:dyDescent="0.2">
      <c r="A3057" s="5">
        <v>2996</v>
      </c>
      <c r="B3057" s="1890">
        <f>'Expenditures 15-22'!E10</f>
        <v>9912</v>
      </c>
      <c r="D3057" s="2" t="str">
        <f t="shared" si="46"/>
        <v>Error?</v>
      </c>
    </row>
    <row r="3058" spans="1:4" x14ac:dyDescent="0.2">
      <c r="A3058" s="5">
        <v>2997</v>
      </c>
      <c r="B3058" s="1890">
        <f>'Expenditures 15-22'!F10</f>
        <v>7588</v>
      </c>
      <c r="D3058" s="2" t="str">
        <f t="shared" si="46"/>
        <v>Error?</v>
      </c>
    </row>
    <row r="3059" spans="1:4" x14ac:dyDescent="0.2">
      <c r="A3059" s="5">
        <v>2998</v>
      </c>
      <c r="B3059" s="1890">
        <f>'Expenditures 15-22'!G10</f>
        <v>19267</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108713</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7079</v>
      </c>
      <c r="D3064" s="2" t="str">
        <f t="shared" si="46"/>
        <v>Error?</v>
      </c>
    </row>
    <row r="3065" spans="1:4" x14ac:dyDescent="0.2">
      <c r="A3065" s="5">
        <v>3004</v>
      </c>
      <c r="B3065" s="1890">
        <f>'Expenditures 15-22'!K219</f>
        <v>7079</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34523</v>
      </c>
      <c r="C3225" s="2" t="s">
        <v>567</v>
      </c>
      <c r="D3225" s="2" t="str">
        <f t="shared" si="49"/>
        <v>Error?</v>
      </c>
    </row>
    <row r="3226" spans="1:4" x14ac:dyDescent="0.2">
      <c r="A3226" s="5">
        <v>3165</v>
      </c>
      <c r="B3226" s="1890">
        <f>'Acct Summary 7-8'!I8</f>
        <v>34523</v>
      </c>
      <c r="C3226" s="2" t="s">
        <v>567</v>
      </c>
      <c r="D3226" s="2" t="str">
        <f t="shared" si="49"/>
        <v>Error?</v>
      </c>
    </row>
    <row r="3227" spans="1:4" x14ac:dyDescent="0.2">
      <c r="A3227" s="5">
        <v>3166</v>
      </c>
      <c r="B3227" s="1890">
        <f>'Acct Summary 7-8'!I20</f>
        <v>34523</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611494</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0</v>
      </c>
      <c r="C3238" s="2" t="s">
        <v>567</v>
      </c>
      <c r="D3238" s="2" t="str">
        <f t="shared" si="49"/>
        <v>Error?</v>
      </c>
    </row>
    <row r="3239" spans="1:4" x14ac:dyDescent="0.2">
      <c r="A3239" s="5">
        <v>3178</v>
      </c>
      <c r="B3239" s="1890">
        <f>'Acct Summary 7-8'!D78</f>
        <v>-2323</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0</v>
      </c>
      <c r="C3255" s="2" t="s">
        <v>567</v>
      </c>
      <c r="D3255" s="2" t="str">
        <f t="shared" si="49"/>
        <v>Error?</v>
      </c>
    </row>
    <row r="3256" spans="1:4" x14ac:dyDescent="0.2">
      <c r="A3256" s="5">
        <v>3195</v>
      </c>
      <c r="B3256" s="1890">
        <f>'Acct Summary 7-8'!F78</f>
        <v>40209</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2607</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111</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50000</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34523</v>
      </c>
      <c r="C3320" s="2" t="s">
        <v>567</v>
      </c>
      <c r="D3320" s="2" t="str">
        <f t="shared" si="50"/>
        <v>Error?</v>
      </c>
    </row>
    <row r="3321" spans="1:4" x14ac:dyDescent="0.2">
      <c r="A3321" s="5">
        <v>3260</v>
      </c>
      <c r="B3321" s="1890">
        <f>'Acct Summary 7-8'!I79</f>
        <v>63127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97650</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462878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62343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64458</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1025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590704</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23088</v>
      </c>
      <c r="D3387" s="2" t="str">
        <f t="shared" si="51"/>
        <v>Error?</v>
      </c>
    </row>
    <row r="3388" spans="1:4" x14ac:dyDescent="0.2">
      <c r="A3388" s="5">
        <v>3327</v>
      </c>
      <c r="B3388" s="1890">
        <f>'Expenditures 15-22'!D217</f>
        <v>31050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23088</v>
      </c>
      <c r="C3390" s="2" t="s">
        <v>567</v>
      </c>
      <c r="D3390" s="2" t="str">
        <f t="shared" si="51"/>
        <v>Error?</v>
      </c>
    </row>
    <row r="3391" spans="1:4" x14ac:dyDescent="0.2">
      <c r="A3391" s="5">
        <v>3330</v>
      </c>
      <c r="B3391" s="1890">
        <f>'Expenditures 15-22'!K217</f>
        <v>31050</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2897865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12464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7023</v>
      </c>
      <c r="D3417" s="2" t="str">
        <f t="shared" si="52"/>
        <v>Error?</v>
      </c>
    </row>
    <row r="3418" spans="1:4" x14ac:dyDescent="0.2">
      <c r="A3418" s="10">
        <v>3357</v>
      </c>
      <c r="B3418" s="1890"/>
      <c r="D3418" s="2" t="str">
        <f t="shared" si="52"/>
        <v>OK</v>
      </c>
    </row>
    <row r="3419" spans="1:4" x14ac:dyDescent="0.2">
      <c r="A3419" s="5">
        <v>3358</v>
      </c>
      <c r="B3419" s="1890">
        <f>'Assets-Liab 5-6'!F4</f>
        <v>151323</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175231</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50000</v>
      </c>
      <c r="D3425" s="2" t="str">
        <f t="shared" si="52"/>
        <v>Error?</v>
      </c>
    </row>
    <row r="3426" spans="1:4" x14ac:dyDescent="0.2">
      <c r="A3426" s="10">
        <v>3365</v>
      </c>
      <c r="B3426" s="1890"/>
      <c r="D3426" s="2" t="str">
        <f t="shared" si="52"/>
        <v>OK</v>
      </c>
    </row>
    <row r="3427" spans="1:4" x14ac:dyDescent="0.2">
      <c r="A3427" s="5">
        <v>3366</v>
      </c>
      <c r="B3427" s="1890">
        <f>'Assets-Liab 5-6'!I4</f>
        <v>97650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80334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69233</v>
      </c>
      <c r="C3446" s="2" t="s">
        <v>567</v>
      </c>
      <c r="D3446" s="2" t="str">
        <f t="shared" si="52"/>
        <v>Error?</v>
      </c>
    </row>
    <row r="3447" spans="1:4" x14ac:dyDescent="0.2">
      <c r="A3447" s="5">
        <v>3386</v>
      </c>
      <c r="B3447" s="1890">
        <f>'Tax Sched 23'!D16</f>
        <v>69233</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567</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28208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28208</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28208</v>
      </c>
      <c r="D3567" s="2" t="str">
        <f t="shared" si="54"/>
        <v>Error?</v>
      </c>
    </row>
    <row r="3568" spans="1:4" x14ac:dyDescent="0.2">
      <c r="A3568" s="5">
        <v>3507</v>
      </c>
      <c r="B3568" s="1890">
        <f>'Assets-Liab 5-6'!K41</f>
        <v>28208</v>
      </c>
      <c r="C3568" s="2" t="s">
        <v>567</v>
      </c>
      <c r="D3568" s="2" t="str">
        <f t="shared" si="54"/>
        <v>Error?</v>
      </c>
    </row>
    <row r="3569" spans="1:4" x14ac:dyDescent="0.2">
      <c r="A3569" s="5">
        <v>3508</v>
      </c>
      <c r="B3569" s="1890">
        <f>'Acct Summary 7-8'!K4</f>
        <v>34523</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34523</v>
      </c>
      <c r="C3571" s="2" t="s">
        <v>567</v>
      </c>
      <c r="D3571" s="2" t="str">
        <f t="shared" si="54"/>
        <v>Error?</v>
      </c>
    </row>
    <row r="3572" spans="1:4" x14ac:dyDescent="0.2">
      <c r="A3572" s="5">
        <v>3511</v>
      </c>
      <c r="B3572" s="1890">
        <f>'Acct Summary 7-8'!K13</f>
        <v>84867</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84867</v>
      </c>
      <c r="C3575" s="2" t="s">
        <v>567</v>
      </c>
      <c r="D3575" s="2" t="str">
        <f t="shared" si="54"/>
        <v>Error?</v>
      </c>
    </row>
    <row r="3576" spans="1:4" x14ac:dyDescent="0.2">
      <c r="A3576" s="5">
        <v>3515</v>
      </c>
      <c r="B3576" s="1890">
        <f>'Acct Summary 7-8'!K20</f>
        <v>-50344</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-50344</v>
      </c>
      <c r="C3588" s="2" t="s">
        <v>567</v>
      </c>
      <c r="D3588" s="2" t="str">
        <f t="shared" si="55"/>
        <v>Error?</v>
      </c>
    </row>
    <row r="3589" spans="1:4" x14ac:dyDescent="0.2">
      <c r="A3589" s="5">
        <v>3528</v>
      </c>
      <c r="B3589" s="1890">
        <f>'Acct Summary 7-8'!K79</f>
        <v>78552</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28208</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16435</v>
      </c>
      <c r="D3632" s="2" t="str">
        <f t="shared" si="55"/>
        <v>Error?</v>
      </c>
    </row>
    <row r="3633" spans="1:4" x14ac:dyDescent="0.2">
      <c r="A3633" s="5">
        <v>3572</v>
      </c>
      <c r="B3633" s="1890">
        <f>'Expenditures 15-22'!E350</f>
        <v>16435</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16435</v>
      </c>
      <c r="C3635" s="2" t="s">
        <v>567</v>
      </c>
      <c r="D3635" s="2" t="str">
        <f t="shared" si="55"/>
        <v>Error?</v>
      </c>
    </row>
    <row r="3636" spans="1:4" x14ac:dyDescent="0.2">
      <c r="A3636" s="5">
        <v>3575</v>
      </c>
      <c r="B3636" s="1890">
        <f>'Expenditures 15-22'!E367</f>
        <v>16435</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68432</v>
      </c>
      <c r="D3646" s="2" t="str">
        <f t="shared" si="55"/>
        <v>Error?</v>
      </c>
    </row>
    <row r="3647" spans="1:4" x14ac:dyDescent="0.2">
      <c r="A3647" s="5">
        <v>3586</v>
      </c>
      <c r="B3647" s="1890">
        <f>'Expenditures 15-22'!G350</f>
        <v>68432</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68432</v>
      </c>
      <c r="C3649" s="2" t="s">
        <v>567</v>
      </c>
      <c r="D3649" s="2" t="str">
        <f t="shared" si="56"/>
        <v>Error?</v>
      </c>
    </row>
    <row r="3650" spans="1:4" x14ac:dyDescent="0.2">
      <c r="A3650" s="5">
        <v>3589</v>
      </c>
      <c r="B3650" s="1890">
        <f>'Expenditures 15-22'!G367</f>
        <v>68432</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84867</v>
      </c>
      <c r="C3669" s="2" t="s">
        <v>567</v>
      </c>
      <c r="D3669" s="2" t="str">
        <f t="shared" si="56"/>
        <v>Error?</v>
      </c>
    </row>
    <row r="3670" spans="1:4" x14ac:dyDescent="0.2">
      <c r="A3670" s="5">
        <v>3609</v>
      </c>
      <c r="B3670" s="1890">
        <f>'Expenditures 15-22'!K350</f>
        <v>84867</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84867</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84867</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-50344</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17373</v>
      </c>
      <c r="C3725" s="2" t="s">
        <v>567</v>
      </c>
      <c r="D3725" s="2" t="str">
        <f t="shared" si="57"/>
        <v>Error?</v>
      </c>
    </row>
    <row r="3726" spans="1:4" x14ac:dyDescent="0.2">
      <c r="A3726" s="5">
        <v>3665</v>
      </c>
      <c r="B3726" s="1890">
        <f>'Tax Sched 23'!D13</f>
        <v>17373</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18461</v>
      </c>
      <c r="C3728" s="2" t="s">
        <v>567</v>
      </c>
      <c r="D3728" s="2" t="str">
        <f t="shared" si="57"/>
        <v>Error?</v>
      </c>
    </row>
    <row r="3729" spans="1:4" x14ac:dyDescent="0.2">
      <c r="A3729" s="5">
        <v>3668</v>
      </c>
      <c r="B3729" s="1890">
        <f>'Tax Sched 23'!E13</f>
        <v>18461</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2413601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7145067</v>
      </c>
      <c r="C4122" s="2" t="s">
        <v>567</v>
      </c>
      <c r="D4122" s="2" t="str">
        <f t="shared" si="63"/>
        <v>Error?</v>
      </c>
    </row>
    <row r="4123" spans="1:4" x14ac:dyDescent="0.2">
      <c r="A4123" s="5">
        <v>4062</v>
      </c>
      <c r="B4123" s="1890">
        <f>'Acct Summary 7-8'!D10</f>
        <v>442092</v>
      </c>
      <c r="C4123" s="2" t="s">
        <v>567</v>
      </c>
      <c r="D4123" s="2" t="str">
        <f t="shared" si="63"/>
        <v>Error?</v>
      </c>
    </row>
    <row r="4124" spans="1:4" x14ac:dyDescent="0.2">
      <c r="A4124" s="5">
        <v>4063</v>
      </c>
      <c r="B4124" s="1890">
        <f>'Acct Summary 7-8'!E10</f>
        <v>66926</v>
      </c>
      <c r="C4124" s="2" t="s">
        <v>567</v>
      </c>
      <c r="D4124" s="2" t="str">
        <f t="shared" si="63"/>
        <v>Error?</v>
      </c>
    </row>
    <row r="4125" spans="1:4" x14ac:dyDescent="0.2">
      <c r="A4125" s="5">
        <v>4064</v>
      </c>
      <c r="B4125" s="1890">
        <f>'Acct Summary 7-8'!F10</f>
        <v>341942</v>
      </c>
      <c r="C4125" s="2" t="s">
        <v>567</v>
      </c>
      <c r="D4125" s="2" t="str">
        <f t="shared" si="63"/>
        <v>Error?</v>
      </c>
    </row>
    <row r="4126" spans="1:4" x14ac:dyDescent="0.2">
      <c r="A4126" s="5">
        <v>4065</v>
      </c>
      <c r="B4126" s="1890">
        <f>'Acct Summary 7-8'!G10</f>
        <v>141715</v>
      </c>
      <c r="C4126" s="2" t="s">
        <v>567</v>
      </c>
      <c r="D4126" s="2" t="str">
        <f t="shared" si="63"/>
        <v>Error?</v>
      </c>
    </row>
    <row r="4127" spans="1:4" x14ac:dyDescent="0.2">
      <c r="A4127" s="5">
        <v>4066</v>
      </c>
      <c r="B4127" s="1890">
        <f>'Acct Summary 7-8'!H10</f>
        <v>50000</v>
      </c>
      <c r="C4127" s="2" t="s">
        <v>567</v>
      </c>
      <c r="D4127" s="2" t="str">
        <f t="shared" si="63"/>
        <v>Error?</v>
      </c>
    </row>
    <row r="4128" spans="1:4" x14ac:dyDescent="0.2">
      <c r="A4128" s="5">
        <v>4067</v>
      </c>
      <c r="B4128" s="1890">
        <f>'Acct Summary 7-8'!I10</f>
        <v>34523</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34523</v>
      </c>
      <c r="C4130" s="2" t="s">
        <v>567</v>
      </c>
      <c r="D4130" s="2" t="str">
        <f t="shared" si="63"/>
        <v>Error?</v>
      </c>
    </row>
    <row r="4131" spans="1:4" x14ac:dyDescent="0.2">
      <c r="A4131" s="5">
        <v>4070</v>
      </c>
      <c r="B4131" s="1890">
        <f>'Acct Summary 7-8'!C18</f>
        <v>2413601</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6533573</v>
      </c>
      <c r="C4136" s="2" t="s">
        <v>567</v>
      </c>
      <c r="D4136" s="2" t="str">
        <f t="shared" si="63"/>
        <v>Error?</v>
      </c>
    </row>
    <row r="4137" spans="1:4" x14ac:dyDescent="0.2">
      <c r="A4137" s="5">
        <v>4076</v>
      </c>
      <c r="B4137" s="1890">
        <f>'Acct Summary 7-8'!D19</f>
        <v>444415</v>
      </c>
      <c r="C4137" s="2" t="s">
        <v>567</v>
      </c>
      <c r="D4137" s="2" t="str">
        <f t="shared" si="63"/>
        <v>Error?</v>
      </c>
    </row>
    <row r="4138" spans="1:4" x14ac:dyDescent="0.2">
      <c r="A4138" s="5">
        <v>4077</v>
      </c>
      <c r="B4138" s="1890">
        <f>'Acct Summary 7-8'!E19</f>
        <v>66815</v>
      </c>
      <c r="C4138" s="2" t="s">
        <v>567</v>
      </c>
      <c r="D4138" s="2" t="str">
        <f t="shared" si="63"/>
        <v>Error?</v>
      </c>
    </row>
    <row r="4139" spans="1:4" x14ac:dyDescent="0.2">
      <c r="A4139" s="5">
        <v>4078</v>
      </c>
      <c r="B4139" s="1890">
        <f>'Acct Summary 7-8'!F19</f>
        <v>301733</v>
      </c>
      <c r="C4139" s="2" t="s">
        <v>567</v>
      </c>
      <c r="D4139" s="2" t="str">
        <f t="shared" si="63"/>
        <v>Error?</v>
      </c>
    </row>
    <row r="4140" spans="1:4" x14ac:dyDescent="0.2">
      <c r="A4140" s="5">
        <v>4079</v>
      </c>
      <c r="B4140" s="1890">
        <f>'Acct Summary 7-8'!G19</f>
        <v>139108</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84867</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191300</v>
      </c>
      <c r="C4171" s="2" t="s">
        <v>567</v>
      </c>
      <c r="D4171" s="2" t="str">
        <f t="shared" si="64"/>
        <v>Error?</v>
      </c>
    </row>
    <row r="4172" spans="1:4" x14ac:dyDescent="0.2">
      <c r="A4172" s="5">
        <v>4111</v>
      </c>
      <c r="B4172" s="1890">
        <f>'Short-Term Long-Term Debt 24'!J49</f>
        <v>184277</v>
      </c>
      <c r="C4172" s="2" t="s">
        <v>567</v>
      </c>
      <c r="D4172" s="2" t="str">
        <f t="shared" si="64"/>
        <v>Error?</v>
      </c>
    </row>
    <row r="4173" spans="1:4" x14ac:dyDescent="0.2">
      <c r="A4173" s="5">
        <v>4112</v>
      </c>
      <c r="B4173" s="1890">
        <f>'Short-Term Long-Term Debt 24'!H49</f>
        <v>60300</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3057.4500000000003</v>
      </c>
      <c r="C4265" s="2" t="s">
        <v>567</v>
      </c>
      <c r="D4265" s="2" t="str">
        <f t="shared" si="65"/>
        <v>Error?</v>
      </c>
      <c r="E4265" s="125"/>
    </row>
    <row r="4266" spans="1:5" x14ac:dyDescent="0.2">
      <c r="A4266" s="12">
        <v>4205</v>
      </c>
      <c r="B4266" s="1890">
        <f>('FP Info 3'!F10)*100000</f>
        <v>700</v>
      </c>
      <c r="C4266" s="2" t="s">
        <v>567</v>
      </c>
      <c r="D4266" s="2" t="str">
        <f t="shared" si="65"/>
        <v>Error?</v>
      </c>
      <c r="E4266" s="125"/>
    </row>
    <row r="4267" spans="1:5" x14ac:dyDescent="0.2">
      <c r="A4267" s="12">
        <v>4206</v>
      </c>
      <c r="B4267" s="1890">
        <f>('FP Info 3'!H10)*100000</f>
        <v>300</v>
      </c>
      <c r="C4267" s="2" t="s">
        <v>567</v>
      </c>
      <c r="D4267" s="2" t="str">
        <f t="shared" si="65"/>
        <v>Error?</v>
      </c>
      <c r="E4267" s="125"/>
    </row>
    <row r="4268" spans="1:5" x14ac:dyDescent="0.2">
      <c r="A4268" s="12">
        <v>4207</v>
      </c>
      <c r="B4268" s="1890">
        <f>('FP Info 3'!J10)*100000</f>
        <v>4057</v>
      </c>
      <c r="C4268" s="2" t="s">
        <v>567</v>
      </c>
      <c r="D4268" s="2" t="str">
        <f t="shared" si="65"/>
        <v>Error?</v>
      </c>
    </row>
    <row r="4269" spans="1:5" x14ac:dyDescent="0.2">
      <c r="A4269" s="12">
        <v>4208</v>
      </c>
      <c r="B4269" s="1890">
        <f>'FP Info 3'!J16</f>
        <v>3158502</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9690</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4889</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4889</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1303</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8950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5.53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72654935</v>
      </c>
      <c r="D4995" s="2" t="str">
        <f t="shared" si="77"/>
        <v>Error?</v>
      </c>
    </row>
    <row r="4996" spans="1:4" x14ac:dyDescent="0.2">
      <c r="A4996" s="12">
        <v>4935</v>
      </c>
      <c r="B4996" s="1890">
        <f>'FP Info 3'!H31</f>
        <v>10026381.030000001</v>
      </c>
      <c r="D4996" s="2" t="str">
        <f t="shared" si="77"/>
        <v>Error?</v>
      </c>
    </row>
    <row r="4997" spans="1:4" x14ac:dyDescent="0.2">
      <c r="A4997" s="12">
        <v>4936</v>
      </c>
      <c r="B4997" s="1890">
        <f>'FP Info 3'!H37</f>
        <v>191300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17373</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1654304</v>
      </c>
      <c r="D5061" s="2" t="str">
        <f t="shared" si="78"/>
        <v>Error?</v>
      </c>
    </row>
    <row r="5062" spans="1:4" x14ac:dyDescent="0.2">
      <c r="A5062" s="10">
        <v>5001</v>
      </c>
      <c r="B5062" s="1890"/>
      <c r="D5062" s="2" t="str">
        <f t="shared" si="78"/>
        <v>OK</v>
      </c>
    </row>
    <row r="5063" spans="1:4" x14ac:dyDescent="0.2">
      <c r="A5063" s="5">
        <v>5002</v>
      </c>
      <c r="B5063" s="1890">
        <f>'Revenues 9-14'!C7</f>
        <v>153158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1824835</v>
      </c>
      <c r="C5066" s="2" t="s">
        <v>567</v>
      </c>
      <c r="D5066" s="2" t="str">
        <f t="shared" si="78"/>
        <v>Error?</v>
      </c>
    </row>
    <row r="5067" spans="1:4" x14ac:dyDescent="0.2">
      <c r="A5067" s="5">
        <v>5006</v>
      </c>
      <c r="B5067" s="1890">
        <f>'Revenues 9-14'!C14</f>
        <v>13820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108257</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122077</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567</v>
      </c>
      <c r="D5087" s="2" t="str">
        <f t="shared" si="78"/>
        <v>Error?</v>
      </c>
    </row>
    <row r="5088" spans="1:4" x14ac:dyDescent="0.2">
      <c r="A5088" s="5">
        <v>5027</v>
      </c>
      <c r="B5088" s="1890">
        <f>'Revenues 9-14'!C65</f>
        <v>40010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40010</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3595</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3026</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43957</v>
      </c>
      <c r="C5096" s="2" t="s">
        <v>567</v>
      </c>
      <c r="D5096" s="2" t="str">
        <f t="shared" si="78"/>
        <v>Error?</v>
      </c>
    </row>
    <row r="5097" spans="1:4" x14ac:dyDescent="0.2">
      <c r="A5097" s="5">
        <v>5036</v>
      </c>
      <c r="B5097" s="1890">
        <f>'Revenues 9-14'!C77</f>
        <v>27067</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9813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1650</v>
      </c>
      <c r="D5101" s="2" t="str">
        <f t="shared" si="78"/>
        <v>Error?</v>
      </c>
    </row>
    <row r="5102" spans="1:4" x14ac:dyDescent="0.2">
      <c r="A5102" s="5">
        <v>5041</v>
      </c>
      <c r="B5102" s="1890">
        <f>'Revenues 9-14'!C82</f>
        <v>38530</v>
      </c>
      <c r="C5102" s="2" t="s">
        <v>567</v>
      </c>
      <c r="D5102" s="2" t="str">
        <f t="shared" si="78"/>
        <v>Error?</v>
      </c>
    </row>
    <row r="5103" spans="1:4" x14ac:dyDescent="0.2">
      <c r="A5103" s="5">
        <v>5042</v>
      </c>
      <c r="B5103" s="1890">
        <f>'Revenues 9-14'!C84</f>
        <v>13766</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13766</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3600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593</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55067</v>
      </c>
      <c r="D5119" s="2" t="str">
        <f t="shared" ref="D5119:D5182" si="79">IF(ISBLANK(B5119),"OK",IF(A5119-B5119=0,"OK","Error?"))</f>
        <v>Error?</v>
      </c>
    </row>
    <row r="5120" spans="1:4" x14ac:dyDescent="0.2">
      <c r="A5120" s="5">
        <v>5059</v>
      </c>
      <c r="B5120" s="1890">
        <f>'Revenues 9-14'!C108</f>
        <v>59260</v>
      </c>
      <c r="C5120" s="2" t="s">
        <v>567</v>
      </c>
      <c r="D5120" s="2" t="str">
        <f t="shared" si="79"/>
        <v>Error?</v>
      </c>
    </row>
    <row r="5121" spans="1:4" x14ac:dyDescent="0.2">
      <c r="A5121" s="5">
        <v>5060</v>
      </c>
      <c r="B5121" s="1890">
        <f>'Revenues 9-14'!C109</f>
        <v>2142435</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2321635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2321635</v>
      </c>
      <c r="C5132" s="2" t="s">
        <v>567</v>
      </c>
      <c r="D5132" s="2" t="str">
        <f t="shared" si="79"/>
        <v>Error?</v>
      </c>
    </row>
    <row r="5133" spans="1:4" x14ac:dyDescent="0.2">
      <c r="A5133" s="5">
        <v>5072</v>
      </c>
      <c r="B5133" s="1890">
        <f>'Revenues 9-14'!C125</f>
        <v>45991</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45991</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12859</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949</v>
      </c>
      <c r="D5167" s="2" t="str">
        <f t="shared" si="79"/>
        <v>Error?</v>
      </c>
    </row>
    <row r="5168" spans="1:4" x14ac:dyDescent="0.2">
      <c r="A5168" s="5">
        <v>5107</v>
      </c>
      <c r="B5168" s="1890">
        <f>'Revenues 9-14'!C148</f>
        <v>6414</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66213</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2387848</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55323</v>
      </c>
      <c r="D5239" s="2" t="str">
        <f t="shared" si="80"/>
        <v>Error?</v>
      </c>
    </row>
    <row r="5240" spans="1:4" x14ac:dyDescent="0.2">
      <c r="A5240" s="5">
        <v>5179</v>
      </c>
      <c r="B5240" s="1890">
        <f>'Revenues 9-14'!C192</f>
        <v>11025</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16456</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82804</v>
      </c>
      <c r="C5246" s="2" t="s">
        <v>567</v>
      </c>
      <c r="D5246" s="2" t="str">
        <f t="shared" si="80"/>
        <v>Error?</v>
      </c>
    </row>
    <row r="5247" spans="1:4" x14ac:dyDescent="0.2">
      <c r="A5247" s="5">
        <v>5186</v>
      </c>
      <c r="B5247" s="1890">
        <f>'Revenues 9-14'!C200</f>
        <v>56200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1303</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56200</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24595</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24595</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12752</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12752</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201183</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201183</v>
      </c>
      <c r="C5326" s="2" t="s">
        <v>567</v>
      </c>
      <c r="D5326" s="2" t="str">
        <f t="shared" si="82"/>
        <v>Error?</v>
      </c>
    </row>
    <row r="5327" spans="1:5" x14ac:dyDescent="0.2">
      <c r="A5327" s="5">
        <v>5266</v>
      </c>
      <c r="B5327" s="1890">
        <f>'Revenues 9-14'!C268</f>
        <v>4731466</v>
      </c>
      <c r="C5327" s="2" t="s">
        <v>567</v>
      </c>
      <c r="D5327" s="2" t="str">
        <f t="shared" si="82"/>
        <v>Error?</v>
      </c>
    </row>
    <row r="5328" spans="1:5" x14ac:dyDescent="0.2">
      <c r="A5328" s="5">
        <v>5267</v>
      </c>
      <c r="B5328" s="1890">
        <f>'Revenues 9-14'!D5</f>
        <v>342178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342178</v>
      </c>
      <c r="C5334" s="2" t="s">
        <v>567</v>
      </c>
      <c r="D5334" s="2" t="str">
        <f t="shared" si="82"/>
        <v>Error?</v>
      </c>
    </row>
    <row r="5335" spans="1:4" x14ac:dyDescent="0.2">
      <c r="A5335" s="5">
        <v>5274</v>
      </c>
      <c r="B5335" s="1890">
        <f>'Revenues 9-14'!D14</f>
        <v>2767</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2767</v>
      </c>
      <c r="C5339" s="2" t="s">
        <v>567</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293</v>
      </c>
      <c r="D5354" s="2" t="str">
        <f t="shared" si="82"/>
        <v>Error?</v>
      </c>
    </row>
    <row r="5355" spans="1:4" x14ac:dyDescent="0.2">
      <c r="A5355" s="5">
        <v>5294</v>
      </c>
      <c r="B5355" s="1890">
        <f>'Revenues 9-14'!D108</f>
        <v>293</v>
      </c>
      <c r="C5355" s="2" t="s">
        <v>567</v>
      </c>
      <c r="D5355" s="2" t="str">
        <f t="shared" si="82"/>
        <v>Error?</v>
      </c>
    </row>
    <row r="5356" spans="1:4" x14ac:dyDescent="0.2">
      <c r="A5356" s="5">
        <v>5295</v>
      </c>
      <c r="B5356" s="1890">
        <f>'Revenues 9-14'!D109</f>
        <v>345238</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96854</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96854</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96854</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442092</v>
      </c>
      <c r="C5508" s="2" t="s">
        <v>567</v>
      </c>
      <c r="D5508" s="2" t="str">
        <f t="shared" si="85"/>
        <v>Error?</v>
      </c>
    </row>
    <row r="5509" spans="1:4" x14ac:dyDescent="0.2">
      <c r="A5509" s="5">
        <v>5448</v>
      </c>
      <c r="B5509" s="1890">
        <f>'Revenues 9-14'!E5</f>
        <v>66178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66178</v>
      </c>
      <c r="C5513" s="2" t="s">
        <v>567</v>
      </c>
      <c r="D5513" s="2" t="str">
        <f t="shared" si="85"/>
        <v>Error?</v>
      </c>
    </row>
    <row r="5514" spans="1:4" x14ac:dyDescent="0.2">
      <c r="A5514" s="5">
        <v>5453</v>
      </c>
      <c r="B5514" s="1890">
        <f>'Revenues 9-14'!E14</f>
        <v>748</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748</v>
      </c>
      <c r="C5518" s="2" t="s">
        <v>567</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66926</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66926</v>
      </c>
      <c r="C5552" s="2" t="s">
        <v>567</v>
      </c>
      <c r="D5552" s="2" t="str">
        <f t="shared" si="85"/>
        <v>Error?</v>
      </c>
    </row>
    <row r="5553" spans="1:4" x14ac:dyDescent="0.2">
      <c r="A5553" s="5">
        <v>5492</v>
      </c>
      <c r="B5553" s="1890">
        <f>'Revenues 9-14'!F5</f>
        <v>146647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146647</v>
      </c>
      <c r="C5557" s="2" t="s">
        <v>567</v>
      </c>
      <c r="D5557" s="2" t="str">
        <f t="shared" si="85"/>
        <v>Error?</v>
      </c>
    </row>
    <row r="5558" spans="1:4" x14ac:dyDescent="0.2">
      <c r="A5558" s="5">
        <v>5497</v>
      </c>
      <c r="B5558" s="1890">
        <f>'Revenues 9-14'!F14</f>
        <v>1186</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1186</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567</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185</v>
      </c>
      <c r="D5586" s="2" t="str">
        <f t="shared" si="86"/>
        <v>Error?</v>
      </c>
    </row>
    <row r="5587" spans="1:4" x14ac:dyDescent="0.2">
      <c r="A5587" s="5">
        <v>5526</v>
      </c>
      <c r="B5587" s="1890">
        <f>'Revenues 9-14'!F108</f>
        <v>185</v>
      </c>
      <c r="C5587" s="2" t="s">
        <v>567</v>
      </c>
      <c r="D5587" s="2" t="str">
        <f t="shared" si="86"/>
        <v>Error?</v>
      </c>
    </row>
    <row r="5588" spans="1:4" x14ac:dyDescent="0.2">
      <c r="A5588" s="5">
        <v>5527</v>
      </c>
      <c r="B5588" s="1890">
        <f>'Revenues 9-14'!F109</f>
        <v>148018</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147830</v>
      </c>
      <c r="D5615" s="2" t="str">
        <f t="shared" si="86"/>
        <v>Error?</v>
      </c>
    </row>
    <row r="5616" spans="1:4" x14ac:dyDescent="0.2">
      <c r="A5616" s="10">
        <v>5555</v>
      </c>
      <c r="B5616" s="1890"/>
      <c r="D5616" s="2" t="str">
        <f t="shared" si="86"/>
        <v>OK</v>
      </c>
    </row>
    <row r="5617" spans="1:5" x14ac:dyDescent="0.2">
      <c r="A5617" s="5">
        <v>5556</v>
      </c>
      <c r="B5617" s="1890">
        <f>'Revenues 9-14'!F153</f>
        <v>46094</v>
      </c>
      <c r="D5617" s="2" t="str">
        <f t="shared" si="86"/>
        <v>Error?</v>
      </c>
    </row>
    <row r="5618" spans="1:5" x14ac:dyDescent="0.2">
      <c r="A5618" s="5">
        <v>5557</v>
      </c>
      <c r="B5618" s="1890">
        <f>'Revenues 9-14'!F155</f>
        <v>193924</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193924</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193924</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341942</v>
      </c>
      <c r="C5720" s="2" t="s">
        <v>567</v>
      </c>
      <c r="D5720" s="2" t="str">
        <f t="shared" si="88"/>
        <v>Error?</v>
      </c>
    </row>
    <row r="5721" spans="1:4" x14ac:dyDescent="0.2">
      <c r="A5721" s="5">
        <v>5660</v>
      </c>
      <c r="B5721" s="1890">
        <f>'Revenues 9-14'!G5</f>
        <v>52526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69233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121759</v>
      </c>
      <c r="C5725" s="2" t="s">
        <v>567</v>
      </c>
      <c r="D5725" s="2" t="str">
        <f t="shared" si="88"/>
        <v>Error?</v>
      </c>
    </row>
    <row r="5726" spans="1:4" x14ac:dyDescent="0.2">
      <c r="A5726" s="5">
        <v>5665</v>
      </c>
      <c r="B5726" s="1890">
        <f>'Revenues 9-14'!G14</f>
        <v>852</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19104</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19956</v>
      </c>
      <c r="C5730" s="2" t="s">
        <v>567</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141715</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50000</v>
      </c>
      <c r="C5915" s="2" t="s">
        <v>567</v>
      </c>
      <c r="D5915" s="2" t="str">
        <f t="shared" si="91"/>
        <v>Error?</v>
      </c>
    </row>
    <row r="5916" spans="1:4" x14ac:dyDescent="0.2">
      <c r="A5916" s="5">
        <v>5855</v>
      </c>
      <c r="B5916" s="1890">
        <f>'Revenues 9-14'!I5</f>
        <v>34273</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34273</v>
      </c>
      <c r="C5918" s="2" t="s">
        <v>567</v>
      </c>
      <c r="D5918" s="2" t="str">
        <f t="shared" si="91"/>
        <v>Error?</v>
      </c>
    </row>
    <row r="5919" spans="1:4" x14ac:dyDescent="0.2">
      <c r="A5919" s="5">
        <v>5858</v>
      </c>
      <c r="B5919" s="1890">
        <f>'Revenues 9-14'!I14</f>
        <v>250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250</v>
      </c>
      <c r="C5923" s="2" t="s">
        <v>567</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34523</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34273</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34273</v>
      </c>
      <c r="C5987" s="2" t="s">
        <v>567</v>
      </c>
      <c r="D5987" s="2" t="str">
        <f t="shared" si="92"/>
        <v>Error?</v>
      </c>
    </row>
    <row r="5988" spans="1:4" x14ac:dyDescent="0.2">
      <c r="A5988" s="5">
        <v>5927</v>
      </c>
      <c r="B5988" s="1890">
        <f>'Revenues 9-14'!K14</f>
        <v>250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250</v>
      </c>
      <c r="C5992" s="2" t="s">
        <v>567</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34523</v>
      </c>
      <c r="C6023" s="2" t="s">
        <v>567</v>
      </c>
      <c r="D6023" s="2" t="str">
        <f t="shared" si="93"/>
        <v>Error?</v>
      </c>
    </row>
    <row r="6024" spans="1:5" x14ac:dyDescent="0.2">
      <c r="A6024" s="5">
        <v>5963</v>
      </c>
      <c r="B6024" s="1890">
        <f>'Revenues 9-14'!G109</f>
        <v>141715</v>
      </c>
      <c r="C6024" s="2" t="s">
        <v>567</v>
      </c>
      <c r="D6024" s="2" t="str">
        <f t="shared" si="93"/>
        <v>Error?</v>
      </c>
    </row>
    <row r="6025" spans="1:5" x14ac:dyDescent="0.2">
      <c r="A6025" s="5">
        <v>5964</v>
      </c>
      <c r="B6025" s="1890">
        <f>'Revenues 9-14'!H109</f>
        <v>0</v>
      </c>
      <c r="C6025" s="2" t="s">
        <v>567</v>
      </c>
      <c r="D6025" s="2" t="str">
        <f t="shared" si="93"/>
        <v>Error?</v>
      </c>
    </row>
    <row r="6026" spans="1:5" x14ac:dyDescent="0.2">
      <c r="A6026" s="5">
        <v>5965</v>
      </c>
      <c r="B6026" s="1890">
        <f>'Revenues 9-14'!I109</f>
        <v>34523</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34523</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37336</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68383</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454.39400000000001</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199049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199049</v>
      </c>
      <c r="D6215" s="2" t="str">
        <f t="shared" si="96"/>
        <v>Error?</v>
      </c>
      <c r="E6215" s="2" t="s">
        <v>189</v>
      </c>
    </row>
    <row r="6216" spans="1:5" x14ac:dyDescent="0.2">
      <c r="A6216">
        <v>6155</v>
      </c>
      <c r="B6216" s="1890">
        <f>'Assets-Liab 5-6'!J41</f>
        <v>199049</v>
      </c>
      <c r="D6216" s="2" t="str">
        <f t="shared" si="96"/>
        <v>Error?</v>
      </c>
      <c r="E6216" s="2" t="s">
        <v>189</v>
      </c>
    </row>
    <row r="6217" spans="1:5" x14ac:dyDescent="0.2">
      <c r="A6217">
        <v>6156</v>
      </c>
      <c r="B6217" s="1890">
        <f>'Assets-Liab 5-6'!J4</f>
        <v>199049</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66198</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66198</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66198</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50425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50425</v>
      </c>
      <c r="D6229" s="2" t="str">
        <f t="shared" si="96"/>
        <v>Error?</v>
      </c>
      <c r="E6229" s="2" t="s">
        <v>189</v>
      </c>
    </row>
    <row r="6230" spans="1:5" x14ac:dyDescent="0.2">
      <c r="A6230">
        <v>6169</v>
      </c>
      <c r="B6230" s="1890">
        <f>'Acct Summary 7-8'!J20</f>
        <v>15773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15773</v>
      </c>
      <c r="D6263" s="2" t="str">
        <f t="shared" si="96"/>
        <v>Error?</v>
      </c>
      <c r="E6263" s="2" t="s">
        <v>189</v>
      </c>
    </row>
    <row r="6264" spans="1:5" x14ac:dyDescent="0.2">
      <c r="A6264">
        <v>6203</v>
      </c>
      <c r="B6264" s="1890">
        <f>'Acct Summary 7-8'!J79</f>
        <v>183276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199049</v>
      </c>
      <c r="D6266" s="2" t="str">
        <f t="shared" si="96"/>
        <v>Error?</v>
      </c>
      <c r="E6266" s="2" t="s">
        <v>189</v>
      </c>
    </row>
    <row r="6267" spans="1:5" x14ac:dyDescent="0.2">
      <c r="A6267">
        <v>6206</v>
      </c>
      <c r="B6267" s="1890">
        <f>'Acct Summary 7-8'!C82</f>
        <v>611494</v>
      </c>
      <c r="D6267" s="2" t="str">
        <f t="shared" si="96"/>
        <v>Error?</v>
      </c>
      <c r="E6267" s="2" t="s">
        <v>189</v>
      </c>
    </row>
    <row r="6268" spans="1:5" x14ac:dyDescent="0.2">
      <c r="A6268">
        <v>6207</v>
      </c>
      <c r="B6268" s="1890">
        <f>'Acct Summary 7-8'!D82</f>
        <v>-2323</v>
      </c>
      <c r="D6268" s="2" t="str">
        <f t="shared" si="96"/>
        <v>Error?</v>
      </c>
      <c r="E6268" s="2" t="s">
        <v>189</v>
      </c>
    </row>
    <row r="6269" spans="1:5" x14ac:dyDescent="0.2">
      <c r="A6269">
        <v>6208</v>
      </c>
      <c r="B6269" s="1890">
        <f>'Acct Summary 7-8'!E82</f>
        <v>111</v>
      </c>
      <c r="D6269" s="2" t="str">
        <f t="shared" si="96"/>
        <v>Error?</v>
      </c>
      <c r="E6269" s="2" t="s">
        <v>189</v>
      </c>
    </row>
    <row r="6270" spans="1:5" x14ac:dyDescent="0.2">
      <c r="A6270">
        <v>6209</v>
      </c>
      <c r="B6270" s="1890">
        <f>'Acct Summary 7-8'!F82</f>
        <v>40209</v>
      </c>
      <c r="D6270" s="2" t="str">
        <f t="shared" si="96"/>
        <v>Error?</v>
      </c>
      <c r="E6270" s="2" t="s">
        <v>189</v>
      </c>
    </row>
    <row r="6271" spans="1:5" x14ac:dyDescent="0.2">
      <c r="A6271">
        <v>6210</v>
      </c>
      <c r="B6271" s="1890">
        <f>'Acct Summary 7-8'!G82</f>
        <v>2607</v>
      </c>
      <c r="D6271" s="2" t="str">
        <f t="shared" ref="D6271:D6334" si="97">IF(ISBLANK(B6271),"OK",IF(A6271-B6271=0,"OK","Error?"))</f>
        <v>Error?</v>
      </c>
      <c r="E6271" s="2" t="s">
        <v>189</v>
      </c>
    </row>
    <row r="6272" spans="1:5" x14ac:dyDescent="0.2">
      <c r="A6272">
        <v>6211</v>
      </c>
      <c r="B6272" s="1890">
        <f>'Acct Summary 7-8'!H82</f>
        <v>50000</v>
      </c>
      <c r="D6272" s="2" t="str">
        <f t="shared" si="97"/>
        <v>Error?</v>
      </c>
      <c r="E6272" s="2" t="s">
        <v>189</v>
      </c>
    </row>
    <row r="6273" spans="1:5" x14ac:dyDescent="0.2">
      <c r="A6273">
        <v>6212</v>
      </c>
      <c r="B6273" s="1890">
        <f>'Acct Summary 7-8'!I82</f>
        <v>34523</v>
      </c>
      <c r="D6273" s="2" t="str">
        <f t="shared" si="97"/>
        <v>Error?</v>
      </c>
      <c r="E6273" s="2" t="s">
        <v>189</v>
      </c>
    </row>
    <row r="6274" spans="1:5" x14ac:dyDescent="0.2">
      <c r="A6274">
        <v>6213</v>
      </c>
      <c r="B6274" s="1890">
        <f>'Acct Summary 7-8'!J82</f>
        <v>15773</v>
      </c>
      <c r="D6274" s="2" t="str">
        <f t="shared" si="97"/>
        <v>Error?</v>
      </c>
      <c r="E6274" s="2" t="s">
        <v>189</v>
      </c>
    </row>
    <row r="6275" spans="1:5" x14ac:dyDescent="0.2">
      <c r="A6275">
        <v>6214</v>
      </c>
      <c r="B6275" s="1890">
        <f>'Acct Summary 7-8'!K82</f>
        <v>-50344</v>
      </c>
      <c r="D6275" s="2" t="str">
        <f t="shared" si="97"/>
        <v>Error?</v>
      </c>
      <c r="E6275" s="2" t="s">
        <v>189</v>
      </c>
    </row>
    <row r="6276" spans="1:5" x14ac:dyDescent="0.2">
      <c r="A6276">
        <v>6215</v>
      </c>
      <c r="B6276" s="1890">
        <f>'Acct Summary 7-8'!C83</f>
        <v>0.2110736210613155</v>
      </c>
      <c r="D6276" s="2" t="str">
        <f t="shared" si="97"/>
        <v>Error?</v>
      </c>
      <c r="E6276" s="2" t="s">
        <v>189</v>
      </c>
    </row>
    <row r="6277" spans="1:5" x14ac:dyDescent="0.2">
      <c r="A6277">
        <v>6216</v>
      </c>
      <c r="B6277" s="1890">
        <f>'Acct Summary 7-8'!D83</f>
        <v>-0.18637676508344031</v>
      </c>
      <c r="D6277" s="2" t="str">
        <f t="shared" si="97"/>
        <v>Error?</v>
      </c>
      <c r="E6277" s="2" t="s">
        <v>189</v>
      </c>
    </row>
    <row r="6278" spans="1:5" x14ac:dyDescent="0.2">
      <c r="A6278">
        <v>6217</v>
      </c>
      <c r="B6278" s="1890">
        <f>'Acct Summary 7-8'!E83</f>
        <v>1.5805211448099103E-2</v>
      </c>
      <c r="D6278" s="2" t="str">
        <f t="shared" si="97"/>
        <v>Error?</v>
      </c>
      <c r="E6278" s="2" t="s">
        <v>189</v>
      </c>
    </row>
    <row r="6279" spans="1:5" x14ac:dyDescent="0.2">
      <c r="A6279">
        <v>6218</v>
      </c>
      <c r="B6279" s="1890">
        <f>'Acct Summary 7-8'!F83</f>
        <v>0.26571638151503735</v>
      </c>
      <c r="D6279" s="2" t="str">
        <f t="shared" si="97"/>
        <v>Error?</v>
      </c>
      <c r="E6279" s="2" t="s">
        <v>189</v>
      </c>
    </row>
    <row r="6280" spans="1:5" x14ac:dyDescent="0.2">
      <c r="A6280">
        <v>6219</v>
      </c>
      <c r="B6280" s="1890">
        <f>'Acct Summary 7-8'!G83</f>
        <v>1.4877504551135359E-2</v>
      </c>
      <c r="D6280" s="2" t="str">
        <f t="shared" si="97"/>
        <v>Error?</v>
      </c>
      <c r="E6280" s="2" t="s">
        <v>189</v>
      </c>
    </row>
    <row r="6281" spans="1:5" x14ac:dyDescent="0.2">
      <c r="A6281">
        <v>6220</v>
      </c>
      <c r="B6281" s="1890">
        <f>'Acct Summary 7-8'!H83</f>
        <v>1</v>
      </c>
      <c r="D6281" s="2" t="str">
        <f t="shared" si="97"/>
        <v>Error?</v>
      </c>
      <c r="E6281" s="2" t="s">
        <v>189</v>
      </c>
    </row>
    <row r="6282" spans="1:5" x14ac:dyDescent="0.2">
      <c r="A6282">
        <v>6221</v>
      </c>
      <c r="B6282" s="1890">
        <f>'Acct Summary 7-8'!I83</f>
        <v>0.35353814644137227</v>
      </c>
      <c r="D6282" s="2" t="str">
        <f t="shared" si="97"/>
        <v>Error?</v>
      </c>
      <c r="E6282" s="2" t="s">
        <v>189</v>
      </c>
    </row>
    <row r="6283" spans="1:5" x14ac:dyDescent="0.2">
      <c r="A6283">
        <v>6222</v>
      </c>
      <c r="B6283" s="1890">
        <f>'Acct Summary 7-8'!J83</f>
        <v>7.924179473395998E-2</v>
      </c>
      <c r="D6283" s="2" t="str">
        <f t="shared" si="97"/>
        <v>Error?</v>
      </c>
      <c r="E6283" s="2" t="s">
        <v>189</v>
      </c>
    </row>
    <row r="6284" spans="1:5" x14ac:dyDescent="0.2">
      <c r="A6284">
        <v>6223</v>
      </c>
      <c r="B6284" s="1890">
        <f>'Acct Summary 7-8'!K83</f>
        <v>-1.7847419171866137</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65811</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65811</v>
      </c>
      <c r="D6301" s="2" t="str">
        <f t="shared" si="97"/>
        <v>Error?</v>
      </c>
      <c r="E6301" s="2" t="s">
        <v>189</v>
      </c>
    </row>
    <row r="6302" spans="1:5" x14ac:dyDescent="0.2">
      <c r="A6302">
        <v>6241</v>
      </c>
      <c r="B6302" s="1890">
        <f>'Revenues 9-14'!J14</f>
        <v>387</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387</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66198</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12859</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10228</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10710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12380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102479</v>
      </c>
      <c r="D6983" s="2" t="str">
        <f t="shared" si="108"/>
        <v>Error?</v>
      </c>
    </row>
    <row r="6984" spans="1:4" x14ac:dyDescent="0.2">
      <c r="A6984">
        <v>6923</v>
      </c>
      <c r="B6984" s="1890">
        <f>'Expenditures 15-22'!K86</f>
        <v>102479</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7770</v>
      </c>
      <c r="D6987" s="2" t="str">
        <f t="shared" si="108"/>
        <v>Error?</v>
      </c>
    </row>
    <row r="6988" spans="1:4" x14ac:dyDescent="0.2">
      <c r="A6988">
        <v>6927</v>
      </c>
      <c r="B6988" s="1890">
        <f>'Expenditures 15-22'!K88</f>
        <v>7770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110249</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50425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66198</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1984</v>
      </c>
      <c r="D7073" s="2" t="str">
        <f t="shared" si="109"/>
        <v>Error?</v>
      </c>
    </row>
    <row r="7074" spans="1:4" x14ac:dyDescent="0.2">
      <c r="A7074">
        <v>7013</v>
      </c>
      <c r="B7074" s="1890">
        <f>'Expenditures 15-22'!K216</f>
        <v>1984</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156</v>
      </c>
      <c r="D7079" s="2" t="str">
        <f t="shared" si="109"/>
        <v>Error?</v>
      </c>
    </row>
    <row r="7080" spans="1:4" x14ac:dyDescent="0.2">
      <c r="A7080">
        <v>7019</v>
      </c>
      <c r="B7080" s="1890">
        <f>'Expenditures 15-22'!K226</f>
        <v>156</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163</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163</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45982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45982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3180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3180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1100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1100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50425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50425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50425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50425</v>
      </c>
      <c r="D7224" s="2" t="str">
        <f t="shared" si="111"/>
        <v>Error?</v>
      </c>
    </row>
    <row r="7225" spans="1:4" x14ac:dyDescent="0.2">
      <c r="A7225">
        <v>7164</v>
      </c>
      <c r="B7225" s="1890">
        <f>'Expenditures 15-22'!K343</f>
        <v>15773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482</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10748</v>
      </c>
      <c r="D7263" s="2" t="str">
        <f t="shared" si="112"/>
        <v>Error?</v>
      </c>
    </row>
    <row r="7264" spans="1:4" x14ac:dyDescent="0.2">
      <c r="A7264">
        <f t="shared" si="113"/>
        <v>7203</v>
      </c>
      <c r="B7264" s="1890">
        <f>'Expenditures 15-22'!D17</f>
        <v>1402</v>
      </c>
      <c r="D7264" s="2" t="str">
        <f t="shared" si="112"/>
        <v>Error?</v>
      </c>
    </row>
    <row r="7265" spans="1:5" x14ac:dyDescent="0.2">
      <c r="A7265">
        <f t="shared" si="113"/>
        <v>7204</v>
      </c>
      <c r="B7265" s="1890">
        <f>'Expenditures 15-22'!E17</f>
        <v>75</v>
      </c>
      <c r="D7265" s="2" t="str">
        <f t="shared" si="112"/>
        <v>Error?</v>
      </c>
    </row>
    <row r="7266" spans="1:5" x14ac:dyDescent="0.2">
      <c r="A7266">
        <f t="shared" si="113"/>
        <v>7205</v>
      </c>
      <c r="B7266" s="1890">
        <f>'Expenditures 15-22'!F17</f>
        <v>155</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207743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50000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6414</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6414</v>
      </c>
      <c r="D7719" s="2" t="str">
        <f t="shared" si="126"/>
        <v>Error?</v>
      </c>
      <c r="E7719" s="2" t="s">
        <v>820</v>
      </c>
    </row>
    <row r="7720" spans="1:6" x14ac:dyDescent="0.2">
      <c r="A7720">
        <v>7659</v>
      </c>
      <c r="B7720" s="1890">
        <f>'Rest Tax Levies-Tort Im 25'!H14</f>
        <v>153158</v>
      </c>
      <c r="D7720" s="2" t="str">
        <f t="shared" si="126"/>
        <v>Error?</v>
      </c>
      <c r="E7720" s="2" t="s">
        <v>820</v>
      </c>
    </row>
    <row r="7721" spans="1:6" x14ac:dyDescent="0.2">
      <c r="A7721">
        <v>7660</v>
      </c>
      <c r="B7721" s="1890">
        <f>'Rest Tax Levies-Tort Im 25'!K14</f>
        <v>6414</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6414</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575000</v>
      </c>
      <c r="D7817" s="2" t="str">
        <f t="shared" si="128"/>
        <v>Error?</v>
      </c>
      <c r="E7817" s="4" t="s">
        <v>1967</v>
      </c>
    </row>
    <row r="7818" spans="1:5" x14ac:dyDescent="0.2">
      <c r="A7818">
        <v>7757</v>
      </c>
      <c r="B7818" s="1890">
        <f>'PCTC-OEPP 27-28'!F172</f>
        <v>157325</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-275537</v>
      </c>
      <c r="D7820" s="2" t="str">
        <f t="shared" si="128"/>
        <v>Error?</v>
      </c>
    </row>
    <row r="7821" spans="1:5" x14ac:dyDescent="0.2">
      <c r="A7821">
        <v>7760</v>
      </c>
      <c r="B7821" s="1890">
        <f>'ICR Computation 30'!G40</f>
        <v>-275537</v>
      </c>
      <c r="D7821" s="2" t="str">
        <f t="shared" si="128"/>
        <v>Error?</v>
      </c>
    </row>
    <row r="7822" spans="1:5" x14ac:dyDescent="0.2">
      <c r="A7822" s="1">
        <v>7761</v>
      </c>
      <c r="B7822" s="1890">
        <f>'PCTC-OEPP 27-28'!F14</f>
        <v>5122468</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10710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314198</v>
      </c>
      <c r="D7834" s="2" t="str">
        <f t="shared" si="129"/>
        <v>Error?</v>
      </c>
      <c r="E7834" s="4" t="s">
        <v>1999</v>
      </c>
    </row>
    <row r="7835" spans="1:5" x14ac:dyDescent="0.2">
      <c r="A7835">
        <v>7774</v>
      </c>
      <c r="B7835" s="1890">
        <f>'PCTC-OEPP 27-28'!F78</f>
        <v>4808270</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10581.719829047039</v>
      </c>
      <c r="D7837" s="2" t="str">
        <f t="shared" si="129"/>
        <v>Error?</v>
      </c>
      <c r="E7837" s="4" t="s">
        <v>1999</v>
      </c>
    </row>
    <row r="7838" spans="1:5" x14ac:dyDescent="0.2">
      <c r="A7838">
        <v>7777</v>
      </c>
      <c r="B7838" s="1890">
        <f>'PCTC-OEPP 27-28'!F96</f>
        <v>38530</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45991</v>
      </c>
      <c r="D7842" s="2" t="str">
        <f t="shared" si="129"/>
        <v>Error?</v>
      </c>
      <c r="E7842" s="4" t="s">
        <v>1999</v>
      </c>
    </row>
    <row r="7843" spans="1:5" x14ac:dyDescent="0.2">
      <c r="A7843">
        <v>7782</v>
      </c>
      <c r="B7843" s="1890">
        <f>'PCTC-OEPP 27-28'!F107</f>
        <v>12859</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6414</v>
      </c>
      <c r="D7846" s="2" t="str">
        <f t="shared" si="129"/>
        <v>Error?</v>
      </c>
      <c r="E7846" s="4" t="s">
        <v>1999</v>
      </c>
    </row>
    <row r="7847" spans="1:5" x14ac:dyDescent="0.2">
      <c r="A7847">
        <v>7786</v>
      </c>
      <c r="B7847" s="1890">
        <f>'PCTC-OEPP 27-28'!F112</f>
        <v>193924</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4889</v>
      </c>
      <c r="D7857" s="2" t="str">
        <f t="shared" si="129"/>
        <v>Error?</v>
      </c>
      <c r="E7857" s="4" t="s">
        <v>1999</v>
      </c>
    </row>
    <row r="7858" spans="1:5" x14ac:dyDescent="0.2">
      <c r="A7858">
        <v>7797</v>
      </c>
      <c r="B7858" s="1890">
        <f>'PCTC-OEPP 27-28'!F126</f>
        <v>82804</v>
      </c>
      <c r="D7858" s="2" t="str">
        <f t="shared" si="129"/>
        <v>Error?</v>
      </c>
      <c r="E7858" s="4" t="s">
        <v>1999</v>
      </c>
    </row>
    <row r="7859" spans="1:5" x14ac:dyDescent="0.2">
      <c r="A7859">
        <v>7798</v>
      </c>
      <c r="B7859" s="1890">
        <f>'PCTC-OEPP 27-28'!F127</f>
        <v>56200</v>
      </c>
      <c r="D7859" s="2" t="str">
        <f t="shared" si="129"/>
        <v>Error?</v>
      </c>
      <c r="E7859" s="4" t="s">
        <v>1999</v>
      </c>
    </row>
    <row r="7860" spans="1:5" x14ac:dyDescent="0.2">
      <c r="A7860">
        <v>7799</v>
      </c>
      <c r="B7860" s="1890">
        <f>'PCTC-OEPP 27-28'!F128</f>
        <v>1303</v>
      </c>
      <c r="D7860" s="2" t="str">
        <f t="shared" si="129"/>
        <v>Error?</v>
      </c>
      <c r="E7860" s="4" t="s">
        <v>1999</v>
      </c>
    </row>
    <row r="7861" spans="1:5" x14ac:dyDescent="0.2">
      <c r="A7861">
        <v>7800</v>
      </c>
      <c r="B7861" s="1890">
        <f>'PCTC-OEPP 27-28'!F129</f>
        <v>24595</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12752</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8950</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0</v>
      </c>
      <c r="D7874" s="2" t="str">
        <f t="shared" si="129"/>
        <v>Error?</v>
      </c>
      <c r="E7874" s="4" t="s">
        <v>1999</v>
      </c>
    </row>
    <row r="7875" spans="1:5" x14ac:dyDescent="0.2">
      <c r="A7875">
        <v>7814</v>
      </c>
      <c r="B7875" s="1890">
        <f>'PCTC-OEPP 27-28'!F170</f>
        <v>9690</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714898</v>
      </c>
      <c r="D7877" s="2" t="str">
        <f t="shared" si="129"/>
        <v>Error?</v>
      </c>
      <c r="E7877" s="4" t="s">
        <v>1999</v>
      </c>
    </row>
    <row r="7878" spans="1:5" x14ac:dyDescent="0.2">
      <c r="A7878">
        <v>7817</v>
      </c>
      <c r="B7878" s="1890">
        <f>'PCTC-OEPP 27-28'!F176</f>
        <v>4093372</v>
      </c>
      <c r="D7878" s="2" t="str">
        <f t="shared" si="129"/>
        <v>Error?</v>
      </c>
      <c r="E7878" s="4" t="s">
        <v>1999</v>
      </c>
    </row>
    <row r="7879" spans="1:5" x14ac:dyDescent="0.2">
      <c r="A7879">
        <v>7818</v>
      </c>
      <c r="B7879" s="1890">
        <f>'PCTC-OEPP 27-28'!F178</f>
        <v>4301115</v>
      </c>
      <c r="D7879" s="2" t="str">
        <f t="shared" si="129"/>
        <v>Error?</v>
      </c>
      <c r="E7879" s="4" t="s">
        <v>1999</v>
      </c>
    </row>
    <row r="7880" spans="1:5" x14ac:dyDescent="0.2">
      <c r="A7880">
        <v>7819</v>
      </c>
      <c r="B7880" s="1890">
        <f>'PCTC-OEPP 27-28'!F180</f>
        <v>9465.6069402324847</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1" t="s">
        <v>1181</v>
      </c>
      <c r="B2" s="2611"/>
      <c r="C2" s="2611"/>
      <c r="D2" s="2611"/>
      <c r="E2" s="2611"/>
      <c r="F2" s="2611"/>
      <c r="G2" s="2611"/>
      <c r="H2" s="2611"/>
      <c r="I2" s="2611"/>
      <c r="J2" s="2611"/>
      <c r="K2" s="2611"/>
      <c r="L2" s="2611"/>
    </row>
    <row r="3" spans="1:29" ht="13.5" customHeight="1" x14ac:dyDescent="0.2">
      <c r="A3" s="2643" t="s">
        <v>1180</v>
      </c>
      <c r="B3" s="2643"/>
      <c r="C3" s="2643"/>
      <c r="D3" s="2643"/>
      <c r="E3" s="2643"/>
      <c r="F3" s="2643"/>
      <c r="G3" s="2643"/>
      <c r="H3" s="2643"/>
      <c r="I3" s="2643"/>
      <c r="J3" s="2643"/>
      <c r="K3" s="2643"/>
      <c r="L3" s="2643"/>
    </row>
    <row r="4" spans="1:29" ht="13.5" customHeight="1" x14ac:dyDescent="0.2">
      <c r="A4" s="2632" t="str">
        <f>"Year Ending June 30, "&amp;'AFR20'!E2</f>
        <v>Year Ending June 30, 2020</v>
      </c>
      <c r="B4" s="2633"/>
      <c r="C4" s="2633"/>
      <c r="D4" s="2633"/>
      <c r="E4" s="2633"/>
      <c r="F4" s="2633"/>
      <c r="G4" s="2633"/>
      <c r="H4" s="2633"/>
      <c r="I4" s="2633"/>
      <c r="J4" s="2633"/>
      <c r="K4" s="2633"/>
      <c r="L4" s="263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34" t="str">
        <f>COVER!A17</f>
        <v>Woodlawn Community Unit School District #209</v>
      </c>
      <c r="B7" s="2635"/>
      <c r="C7" s="2635"/>
      <c r="D7" s="2636"/>
      <c r="E7" s="2637" t="str">
        <f>COVER!A13</f>
        <v>13-041-2090-27</v>
      </c>
      <c r="F7" s="2638"/>
      <c r="G7" s="2644" t="str">
        <f>COVER!T23</f>
        <v>066-004976</v>
      </c>
      <c r="H7" s="2645"/>
      <c r="I7" s="2645"/>
      <c r="J7" s="2645"/>
      <c r="K7" s="2645"/>
      <c r="L7" s="2646"/>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47"/>
      <c r="B9" s="2648"/>
      <c r="C9" s="2648"/>
      <c r="D9" s="2648"/>
      <c r="E9" s="2648"/>
      <c r="F9" s="2649"/>
      <c r="G9" s="2617" t="str">
        <f>COVER!T13</f>
        <v>Glass &amp; Shuffett, Ltd.</v>
      </c>
      <c r="H9" s="2650"/>
      <c r="I9" s="2650"/>
      <c r="J9" s="2650"/>
      <c r="K9" s="2650"/>
      <c r="L9" s="2651"/>
    </row>
    <row r="10" spans="1:29" ht="13.5" customHeight="1" x14ac:dyDescent="0.2">
      <c r="A10" s="2623" t="str">
        <f>COVER!A38</f>
        <v>Eric Helbig</v>
      </c>
      <c r="B10" s="2624"/>
      <c r="C10" s="2624"/>
      <c r="D10" s="2624"/>
      <c r="E10" s="2624"/>
      <c r="F10" s="2625"/>
      <c r="G10" s="2617" t="str">
        <f>COVER!T17</f>
        <v>1819 W. McCord, PO Box 489</v>
      </c>
      <c r="H10" s="2618"/>
      <c r="I10" s="2618"/>
      <c r="J10" s="2618"/>
      <c r="K10" s="2618"/>
      <c r="L10" s="2619"/>
    </row>
    <row r="11" spans="1:29" ht="13.5" customHeight="1" x14ac:dyDescent="0.2">
      <c r="A11" s="1008" t="s">
        <v>1503</v>
      </c>
      <c r="B11" s="1009"/>
      <c r="C11" s="1010"/>
      <c r="D11" s="1015"/>
      <c r="E11" s="1010"/>
      <c r="F11" s="1014"/>
      <c r="G11" s="2617" t="str">
        <f>COVER!T19</f>
        <v>Centralia</v>
      </c>
      <c r="H11" s="2618"/>
      <c r="I11" s="2618"/>
      <c r="J11" s="2618"/>
      <c r="K11" s="2618"/>
      <c r="L11" s="2619"/>
    </row>
    <row r="12" spans="1:29" ht="13.5" customHeight="1" x14ac:dyDescent="0.2">
      <c r="A12" s="2626" t="s">
        <v>1502</v>
      </c>
      <c r="B12" s="2627"/>
      <c r="C12" s="2627"/>
      <c r="D12" s="2627"/>
      <c r="E12" s="2627"/>
      <c r="F12" s="2628"/>
      <c r="G12" s="2620"/>
      <c r="H12" s="2621"/>
      <c r="I12" s="2621"/>
      <c r="J12" s="2621"/>
      <c r="K12" s="2621"/>
      <c r="L12" s="2622"/>
    </row>
    <row r="13" spans="1:29" ht="13.5" customHeight="1" x14ac:dyDescent="0.2">
      <c r="A13" s="2617"/>
      <c r="B13" s="2618"/>
      <c r="C13" s="2618"/>
      <c r="D13" s="2618"/>
      <c r="E13" s="2618"/>
      <c r="F13" s="2619"/>
      <c r="G13" s="2612" t="s">
        <v>1504</v>
      </c>
      <c r="H13" s="2613"/>
      <c r="I13" s="2629" t="str">
        <f>COVER!T25</f>
        <v>gandscpa@sbcglobal.net</v>
      </c>
      <c r="J13" s="2630"/>
      <c r="K13" s="2630"/>
      <c r="L13" s="2631"/>
    </row>
    <row r="14" spans="1:29" ht="13.5" customHeight="1" x14ac:dyDescent="0.2">
      <c r="A14" s="2617" t="str">
        <f>COVER!A19</f>
        <v>301 S Central St</v>
      </c>
      <c r="B14" s="2618"/>
      <c r="C14" s="2618"/>
      <c r="D14" s="2618"/>
      <c r="E14" s="2618"/>
      <c r="F14" s="2619"/>
      <c r="G14" s="1019" t="s">
        <v>1175</v>
      </c>
      <c r="H14" s="1017"/>
      <c r="I14" s="1017"/>
      <c r="J14" s="1017"/>
      <c r="K14" s="1017"/>
      <c r="L14" s="1018"/>
    </row>
    <row r="15" spans="1:29" ht="13.5" customHeight="1" x14ac:dyDescent="0.2">
      <c r="A15" s="2617" t="str">
        <f>COVER!A21</f>
        <v>Woodlawn</v>
      </c>
      <c r="B15" s="2618"/>
      <c r="C15" s="2618"/>
      <c r="D15" s="2618"/>
      <c r="E15" s="2618"/>
      <c r="F15" s="2619"/>
      <c r="G15" s="2614" t="str">
        <f>COVER!T15</f>
        <v>Douglas A. Ess, CPA</v>
      </c>
      <c r="H15" s="2615"/>
      <c r="I15" s="2615"/>
      <c r="J15" s="2615"/>
      <c r="K15" s="2615"/>
      <c r="L15" s="2616"/>
    </row>
    <row r="16" spans="1:29" ht="12.2" customHeight="1" x14ac:dyDescent="0.2">
      <c r="A16" s="2640">
        <f>COVER!A25</f>
        <v>62898</v>
      </c>
      <c r="B16" s="2641"/>
      <c r="C16" s="2641"/>
      <c r="D16" s="2641"/>
      <c r="E16" s="2641"/>
      <c r="F16" s="2642"/>
      <c r="G16" s="2652"/>
      <c r="H16" s="2653"/>
      <c r="I16" s="2653"/>
      <c r="J16" s="2653"/>
      <c r="K16" s="2653"/>
      <c r="L16" s="2654"/>
    </row>
    <row r="17" spans="1:13" ht="12.2" customHeight="1" x14ac:dyDescent="0.2">
      <c r="A17" s="2655"/>
      <c r="B17" s="2641"/>
      <c r="C17" s="2641"/>
      <c r="D17" s="2641"/>
      <c r="E17" s="2641"/>
      <c r="F17" s="2642"/>
      <c r="G17" s="1019" t="s">
        <v>1174</v>
      </c>
      <c r="H17" s="1017"/>
      <c r="I17" s="1017"/>
      <c r="J17" s="1017"/>
      <c r="K17" s="1021" t="s">
        <v>1173</v>
      </c>
      <c r="L17" s="1014"/>
      <c r="M17" s="1007"/>
    </row>
    <row r="18" spans="1:13" ht="12.2" customHeight="1" x14ac:dyDescent="0.2">
      <c r="A18" s="2623"/>
      <c r="B18" s="2624"/>
      <c r="C18" s="2624"/>
      <c r="D18" s="2624"/>
      <c r="E18" s="2624"/>
      <c r="F18" s="2625"/>
      <c r="G18" s="2634" t="str">
        <f>COVER!T21</f>
        <v>618-532-5683</v>
      </c>
      <c r="H18" s="2635"/>
      <c r="I18" s="2635"/>
      <c r="J18" s="2635"/>
      <c r="K18" s="2634" t="str">
        <f>COVER!X21</f>
        <v>618-532-5684</v>
      </c>
      <c r="L18" s="263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6" t="str">
        <f>'Single Audit Cover'!A7</f>
        <v>Woodlawn Community Unit School District #209</v>
      </c>
      <c r="B1" s="2657"/>
      <c r="C1" s="2657"/>
      <c r="D1" s="2657"/>
    </row>
    <row r="2" spans="1:11" s="1036" customFormat="1" ht="12.75" x14ac:dyDescent="0.2">
      <c r="A2" s="2658" t="str">
        <f>'Single Audit Cover'!E7</f>
        <v>13-041-2090-27</v>
      </c>
      <c r="B2" s="2659"/>
      <c r="C2" s="2659"/>
      <c r="D2" s="2659"/>
    </row>
    <row r="3" spans="1:11" s="1036" customFormat="1" ht="12.75" x14ac:dyDescent="0.2">
      <c r="A3" s="2656" t="s">
        <v>1497</v>
      </c>
      <c r="B3" s="2657"/>
      <c r="C3" s="2657"/>
      <c r="D3" s="2657"/>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1" t="str">
        <f>'Single Audit Cover'!A7</f>
        <v>Woodlawn Community Unit School District #209</v>
      </c>
      <c r="B1" s="2661"/>
      <c r="C1" s="2661"/>
      <c r="D1" s="2661"/>
      <c r="E1" s="2661"/>
    </row>
    <row r="2" spans="1:5" x14ac:dyDescent="0.2">
      <c r="A2" s="2662" t="str">
        <f>'Single Audit Cover'!E7</f>
        <v>13-041-2090-27</v>
      </c>
      <c r="B2" s="2662"/>
      <c r="C2" s="2662"/>
      <c r="D2" s="2662"/>
      <c r="E2" s="2662"/>
    </row>
    <row r="3" spans="1:5" ht="4.5" customHeight="1" x14ac:dyDescent="0.2"/>
    <row r="4" spans="1:5" x14ac:dyDescent="0.2">
      <c r="A4" s="2661" t="s">
        <v>1234</v>
      </c>
      <c r="B4" s="2661"/>
      <c r="C4" s="2661"/>
      <c r="D4" s="2661"/>
      <c r="E4" s="2661"/>
    </row>
    <row r="5" spans="1:5" x14ac:dyDescent="0.2">
      <c r="A5" s="2664" t="str">
        <f>'Single Audit Cover'!A4</f>
        <v>Year Ending June 30, 2020</v>
      </c>
      <c r="B5" s="2664"/>
      <c r="C5" s="2664"/>
      <c r="D5" s="2664"/>
      <c r="E5" s="2664"/>
    </row>
    <row r="6" spans="1:5" x14ac:dyDescent="0.2">
      <c r="A6" s="2661" t="s">
        <v>1233</v>
      </c>
      <c r="B6" s="2661"/>
      <c r="C6" s="2661"/>
      <c r="D6" s="2661"/>
      <c r="E6" s="2661"/>
    </row>
    <row r="8" spans="1:5" x14ac:dyDescent="0.2">
      <c r="A8" s="1081" t="s">
        <v>1232</v>
      </c>
    </row>
    <row r="10" spans="1:5" x14ac:dyDescent="0.2">
      <c r="A10" s="1082" t="s">
        <v>1231</v>
      </c>
      <c r="B10" s="1083" t="s">
        <v>1230</v>
      </c>
      <c r="C10" s="1083"/>
      <c r="D10" s="1084">
        <f>SUM('Acct Summary 7-8'!C7:K7)</f>
        <v>201183</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68383</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-9690</v>
      </c>
    </row>
    <row r="19" spans="1:4" ht="13.5" thickBot="1" x14ac:dyDescent="0.25">
      <c r="A19" s="1086" t="s">
        <v>1224</v>
      </c>
      <c r="D19" s="1087">
        <f>SUM(D10:D17)</f>
        <v>259876</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3"/>
      <c r="B24" s="2663"/>
      <c r="D24" s="1089"/>
    </row>
    <row r="25" spans="1:4" x14ac:dyDescent="0.2">
      <c r="A25" s="2660"/>
      <c r="B25" s="2660"/>
      <c r="D25" s="1089"/>
    </row>
    <row r="26" spans="1:4" x14ac:dyDescent="0.2">
      <c r="A26" s="2660"/>
      <c r="B26" s="2660"/>
      <c r="D26" s="1089"/>
    </row>
    <row r="27" spans="1:4" x14ac:dyDescent="0.2">
      <c r="A27" s="2660"/>
      <c r="B27" s="2660"/>
      <c r="D27" s="1089"/>
    </row>
    <row r="28" spans="1:4" x14ac:dyDescent="0.2">
      <c r="A28" s="2660"/>
      <c r="B28" s="2660"/>
      <c r="D28" s="1089"/>
    </row>
    <row r="29" spans="1:4" x14ac:dyDescent="0.2">
      <c r="A29" s="2660"/>
      <c r="B29" s="2660"/>
      <c r="D29" s="1089"/>
    </row>
    <row r="30" spans="1:4" x14ac:dyDescent="0.2">
      <c r="A30" s="2660"/>
      <c r="B30" s="2660"/>
      <c r="D30" s="1089"/>
    </row>
    <row r="32" spans="1:4" x14ac:dyDescent="0.2">
      <c r="A32" s="1081" t="s">
        <v>1222</v>
      </c>
      <c r="D32" s="1084">
        <f>SUM(D19:D30)</f>
        <v>259876</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0"/>
      <c r="B40" s="2660"/>
      <c r="D40" s="1089"/>
    </row>
    <row r="41" spans="1:4" x14ac:dyDescent="0.2">
      <c r="A41" s="2660"/>
      <c r="B41" s="2660"/>
      <c r="D41" s="1092"/>
    </row>
    <row r="42" spans="1:4" x14ac:dyDescent="0.2">
      <c r="A42" s="2660"/>
      <c r="B42" s="2660"/>
      <c r="D42" s="1092"/>
    </row>
    <row r="43" spans="1:4" x14ac:dyDescent="0.2">
      <c r="A43" s="2660"/>
      <c r="B43" s="2660"/>
      <c r="D43" s="1092"/>
    </row>
    <row r="44" spans="1:4" x14ac:dyDescent="0.2">
      <c r="A44" s="2660"/>
      <c r="B44" s="2660"/>
      <c r="D44" s="1092"/>
    </row>
    <row r="45" spans="1:4" x14ac:dyDescent="0.2">
      <c r="A45" s="2660"/>
      <c r="B45" s="2660"/>
      <c r="D45" s="1092"/>
    </row>
    <row r="47" spans="1:4" x14ac:dyDescent="0.2">
      <c r="B47" s="1093" t="s">
        <v>1216</v>
      </c>
      <c r="C47" s="1093"/>
      <c r="D47" s="1094">
        <f>SUM(D35:D45)</f>
        <v>0</v>
      </c>
    </row>
    <row r="49" spans="2:4" x14ac:dyDescent="0.2">
      <c r="B49" s="1093" t="s">
        <v>1215</v>
      </c>
      <c r="C49" s="1093"/>
      <c r="D49" s="1094">
        <f>D32-D47</f>
        <v>259876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3" t="str">
        <f>'Single Audit Cover'!A7</f>
        <v>Woodlawn Community Unit School District #209</v>
      </c>
      <c r="C1" s="2665"/>
      <c r="D1" s="2665"/>
      <c r="E1" s="2665"/>
      <c r="F1" s="2665"/>
      <c r="G1" s="2665"/>
      <c r="H1" s="2665"/>
      <c r="I1" s="2665"/>
      <c r="J1" s="2665"/>
      <c r="K1" s="2665"/>
      <c r="L1" s="2665"/>
      <c r="M1" s="2665"/>
    </row>
    <row r="2" spans="2:14" ht="15" x14ac:dyDescent="0.2">
      <c r="B2" s="2666" t="str">
        <f>'Single Audit Cover'!E7</f>
        <v>13-041-2090-27</v>
      </c>
      <c r="C2" s="2666"/>
      <c r="D2" s="2666"/>
      <c r="E2" s="2666"/>
      <c r="F2" s="2666"/>
      <c r="G2" s="2666"/>
      <c r="H2" s="2666"/>
      <c r="I2" s="2666"/>
      <c r="J2" s="2666"/>
      <c r="K2" s="2666"/>
      <c r="L2" s="2666"/>
      <c r="M2" s="2666"/>
      <c r="N2" s="1123"/>
    </row>
    <row r="3" spans="2:14" ht="15" x14ac:dyDescent="0.2">
      <c r="B3" s="2667" t="s">
        <v>1208</v>
      </c>
      <c r="C3" s="2667"/>
      <c r="D3" s="2667"/>
      <c r="E3" s="2667"/>
      <c r="F3" s="2667"/>
      <c r="G3" s="2667"/>
      <c r="H3" s="2667"/>
      <c r="I3" s="2667"/>
      <c r="J3" s="2667"/>
      <c r="K3" s="2667"/>
      <c r="L3" s="2667"/>
      <c r="M3" s="2667"/>
      <c r="N3" s="1123"/>
    </row>
    <row r="4" spans="2:14" ht="15" x14ac:dyDescent="0.2">
      <c r="B4" s="2668" t="str">
        <f>'Single Audit Cover'!A4</f>
        <v>Year Ending June 30, 2020</v>
      </c>
      <c r="C4" s="2668"/>
      <c r="D4" s="2668"/>
      <c r="E4" s="2668"/>
      <c r="F4" s="2668"/>
      <c r="G4" s="2668"/>
      <c r="H4" s="2668"/>
      <c r="I4" s="2668"/>
      <c r="J4" s="2668"/>
      <c r="K4" s="2668"/>
      <c r="L4" s="2668"/>
      <c r="M4" s="2668"/>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E15" sqref="E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1158</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0" t="s">
        <v>1617</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308</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t="s">
        <v>2027</v>
      </c>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t="s">
        <v>2027</v>
      </c>
      <c r="C53" s="174">
        <v>22</v>
      </c>
      <c r="D53" s="242" t="s">
        <v>1446</v>
      </c>
      <c r="E53" s="243"/>
      <c r="F53" s="244"/>
      <c r="G53" s="244" t="s">
        <v>1445</v>
      </c>
      <c r="H53" s="245">
        <v>36161</v>
      </c>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1312</v>
      </c>
      <c r="B70" s="2243"/>
      <c r="C70" s="2243"/>
      <c r="D70" s="2243"/>
      <c r="E70" s="2244"/>
      <c r="F70" s="2244"/>
      <c r="G70" s="2244"/>
      <c r="H70" s="2244"/>
      <c r="I70" s="224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1309</v>
      </c>
      <c r="B83" s="2245"/>
      <c r="C83" s="2245"/>
      <c r="D83" s="2246"/>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6" t="s">
        <v>1990</v>
      </c>
      <c r="B85" s="2256"/>
      <c r="C85" s="2256"/>
      <c r="D85" s="2257"/>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58" t="s">
        <v>1990</v>
      </c>
      <c r="B88" s="2259"/>
      <c r="C88" s="2259"/>
      <c r="D88" s="2260"/>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2039</v>
      </c>
      <c r="D114" s="223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1319</v>
      </c>
      <c r="D117" s="2238"/>
      <c r="E117" s="2239"/>
      <c r="F117" s="2239"/>
      <c r="G117" s="2239"/>
      <c r="H117" s="223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Woodlawn Community Unit School District #209</v>
      </c>
      <c r="B1" s="2678"/>
      <c r="C1" s="2678"/>
      <c r="D1" s="2678"/>
      <c r="E1" s="2678"/>
      <c r="F1" s="2678"/>
    </row>
    <row r="2" spans="1:7" ht="13.5" customHeight="1" x14ac:dyDescent="0.2">
      <c r="A2" s="2666" t="str">
        <f>'Single Audit Cover'!E7</f>
        <v>13-041-2090-27</v>
      </c>
      <c r="B2" s="2666"/>
      <c r="C2" s="2666"/>
      <c r="D2" s="2666"/>
      <c r="E2" s="2666"/>
      <c r="F2" s="2666"/>
      <c r="G2" s="1096"/>
    </row>
    <row r="3" spans="1:7" ht="15.75" customHeight="1" x14ac:dyDescent="0.2">
      <c r="A3" s="2679" t="s">
        <v>1260</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97" t="s">
        <v>1706</v>
      </c>
      <c r="C6" s="295"/>
      <c r="D6" s="295"/>
    </row>
    <row r="7" spans="1:7" ht="60.95" customHeight="1" x14ac:dyDescent="0.2">
      <c r="A7" s="2677" t="s">
        <v>1707</v>
      </c>
      <c r="B7" s="2677"/>
      <c r="C7" s="2677"/>
      <c r="D7" s="2677"/>
      <c r="E7" s="2677"/>
      <c r="F7" s="2677"/>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7" t="s">
        <v>1709</v>
      </c>
      <c r="B13" s="2677"/>
      <c r="C13" s="2677"/>
      <c r="D13" s="2677"/>
      <c r="E13" s="2677"/>
      <c r="F13" s="2677"/>
    </row>
    <row r="14" spans="1:7" ht="9.75" customHeight="1" x14ac:dyDescent="0.2">
      <c r="C14" s="1081"/>
      <c r="D14" s="1081"/>
    </row>
    <row r="15" spans="1:7" ht="13.5" customHeight="1" x14ac:dyDescent="0.2">
      <c r="C15" s="1525" t="s">
        <v>1259</v>
      </c>
      <c r="D15" s="2675" t="s">
        <v>1258</v>
      </c>
      <c r="E15" s="2675"/>
      <c r="F15" s="2675"/>
    </row>
    <row r="16" spans="1:7" ht="13.5" customHeight="1" x14ac:dyDescent="0.2">
      <c r="A16" s="1103"/>
      <c r="B16" s="1097" t="s">
        <v>1257</v>
      </c>
      <c r="C16" s="1525" t="s">
        <v>1256</v>
      </c>
      <c r="D16" s="2676" t="s">
        <v>1572</v>
      </c>
      <c r="E16" s="2676"/>
      <c r="F16" s="2676"/>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1" t="s">
        <v>1710</v>
      </c>
      <c r="B32" s="2671"/>
      <c r="C32" s="2671"/>
      <c r="D32" s="2671"/>
      <c r="E32" s="2671"/>
      <c r="F32" s="2671"/>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72">
        <f>+C33+C34</f>
        <v>0</v>
      </c>
      <c r="F34" s="2673"/>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4" t="s">
        <v>1574</v>
      </c>
      <c r="C49" s="2674"/>
      <c r="D49" s="2674"/>
      <c r="E49" s="1213"/>
    </row>
    <row r="50" spans="1:5" s="1121" customFormat="1" ht="3.75" customHeight="1" x14ac:dyDescent="0.2">
      <c r="A50" s="1120"/>
      <c r="B50" s="1524"/>
      <c r="C50" s="1524"/>
      <c r="D50" s="1524"/>
      <c r="E50" s="1213"/>
    </row>
    <row r="51" spans="1:5" s="1121" customFormat="1" ht="20.25" customHeight="1" x14ac:dyDescent="0.2">
      <c r="A51" s="1122">
        <v>6</v>
      </c>
      <c r="B51" s="2669" t="s">
        <v>1535</v>
      </c>
      <c r="C51" s="2669"/>
      <c r="D51" s="2669"/>
    </row>
    <row r="52" spans="1:5" ht="14.25" customHeight="1" x14ac:dyDescent="0.2">
      <c r="A52" s="1122"/>
      <c r="B52" s="2669"/>
      <c r="C52" s="2669"/>
      <c r="D52" s="26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2" t="str">
        <f>'Single Audit Cover'!A7</f>
        <v>Woodlawn Community Unit School District #209</v>
      </c>
      <c r="C1" s="2693"/>
      <c r="D1" s="2693"/>
      <c r="E1" s="2693"/>
      <c r="F1" s="2693"/>
      <c r="G1" s="2693"/>
      <c r="H1" s="2693"/>
      <c r="I1" s="2693"/>
      <c r="J1" s="1223"/>
    </row>
    <row r="2" spans="2:10" s="295" customFormat="1" ht="12.75" customHeight="1" x14ac:dyDescent="0.2">
      <c r="B2" s="2694" t="str">
        <f>'Single Audit Cover'!E7</f>
        <v>13-041-2090-27</v>
      </c>
      <c r="C2" s="2695"/>
      <c r="D2" s="2695"/>
      <c r="E2" s="2695"/>
      <c r="F2" s="2695"/>
      <c r="G2" s="2695"/>
      <c r="H2" s="2695"/>
      <c r="I2" s="2695"/>
      <c r="J2" s="1223"/>
    </row>
    <row r="3" spans="2:10" s="295" customFormat="1" ht="12.75" customHeight="1" x14ac:dyDescent="0.2">
      <c r="B3" s="2696" t="s">
        <v>1274</v>
      </c>
      <c r="C3" s="2697"/>
      <c r="D3" s="2697"/>
      <c r="E3" s="2697"/>
      <c r="F3" s="2697"/>
      <c r="G3" s="2697"/>
      <c r="H3" s="2697"/>
      <c r="I3" s="2697"/>
      <c r="J3" s="1224"/>
    </row>
    <row r="4" spans="2:10" s="295" customFormat="1" ht="12.75" customHeight="1" x14ac:dyDescent="0.2">
      <c r="B4" s="2696" t="str">
        <f>'Single Audit Cover'!A4</f>
        <v>Year Ending June 30, 2020</v>
      </c>
      <c r="C4" s="2697"/>
      <c r="D4" s="2697"/>
      <c r="E4" s="2697"/>
      <c r="F4" s="2697"/>
      <c r="G4" s="2697"/>
      <c r="H4" s="2697"/>
      <c r="I4" s="2697"/>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6" t="s">
        <v>1273</v>
      </c>
      <c r="C7" s="2697"/>
      <c r="D7" s="2697"/>
      <c r="E7" s="2697"/>
      <c r="F7" s="2697"/>
      <c r="G7" s="2697"/>
      <c r="H7" s="2697"/>
      <c r="I7" s="2697"/>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8"/>
      <c r="D11" s="2698"/>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9"/>
      <c r="E29" s="2699"/>
      <c r="F29" s="2699"/>
      <c r="G29" s="2699"/>
      <c r="H29" s="2699"/>
      <c r="I29" s="2699"/>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700" t="s">
        <v>1729</v>
      </c>
      <c r="D37" s="2701"/>
      <c r="E37" s="2701"/>
      <c r="F37" s="2702"/>
      <c r="G37" s="2700" t="s">
        <v>1576</v>
      </c>
      <c r="H37" s="2701"/>
      <c r="I37" s="2702"/>
    </row>
    <row r="38" spans="2:9" ht="16.5" customHeight="1" x14ac:dyDescent="0.2">
      <c r="B38" s="1245"/>
      <c r="C38" s="2688"/>
      <c r="D38" s="2689"/>
      <c r="E38" s="2689"/>
      <c r="F38" s="2690"/>
      <c r="G38" s="2703"/>
      <c r="H38" s="2704"/>
      <c r="I38" s="2705"/>
    </row>
    <row r="39" spans="2:9" ht="16.5" customHeight="1" x14ac:dyDescent="0.2">
      <c r="B39" s="1245"/>
      <c r="C39" s="2688"/>
      <c r="D39" s="2689"/>
      <c r="E39" s="2689"/>
      <c r="F39" s="2690"/>
      <c r="G39" s="2691"/>
      <c r="H39" s="2691"/>
      <c r="I39" s="2691"/>
    </row>
    <row r="40" spans="2:9" ht="16.5" customHeight="1" x14ac:dyDescent="0.2">
      <c r="B40" s="1245"/>
      <c r="C40" s="2688"/>
      <c r="D40" s="2689"/>
      <c r="E40" s="2689"/>
      <c r="F40" s="2690"/>
      <c r="G40" s="2691"/>
      <c r="H40" s="2691"/>
      <c r="I40" s="2691"/>
    </row>
    <row r="41" spans="2:9" ht="16.5" customHeight="1" x14ac:dyDescent="0.2">
      <c r="B41" s="1245"/>
      <c r="C41" s="2688"/>
      <c r="D41" s="2689"/>
      <c r="E41" s="2689"/>
      <c r="F41" s="2690"/>
      <c r="G41" s="2691"/>
      <c r="H41" s="2691"/>
      <c r="I41" s="2691"/>
    </row>
    <row r="42" spans="2:9" ht="16.5" customHeight="1" x14ac:dyDescent="0.2">
      <c r="B42" s="1245"/>
      <c r="C42" s="2688"/>
      <c r="D42" s="2689"/>
      <c r="E42" s="2689"/>
      <c r="F42" s="2690"/>
      <c r="G42" s="2691"/>
      <c r="H42" s="2691"/>
      <c r="I42" s="2691"/>
    </row>
    <row r="43" spans="2:9" ht="16.5" customHeight="1" x14ac:dyDescent="0.2">
      <c r="B43" s="1245"/>
      <c r="C43" s="2681" t="s">
        <v>1577</v>
      </c>
      <c r="D43" s="2682"/>
      <c r="E43" s="2682"/>
      <c r="F43" s="2683"/>
      <c r="G43" s="2684">
        <f>SUM(G38:I42)</f>
        <v>0</v>
      </c>
      <c r="H43" s="2684"/>
      <c r="I43" s="2684"/>
    </row>
    <row r="44" spans="2:9" ht="12.75" customHeight="1" x14ac:dyDescent="0.2"/>
    <row r="45" spans="2:9" ht="12.75" customHeight="1" x14ac:dyDescent="0.2">
      <c r="B45" s="1985" t="str">
        <f>"Total Federal Expenditures for 7/1/"&amp;MID('AFR20'!E2,3,2)-1&amp;"-6/30/"&amp;MID('AFR20'!E2,3,2)</f>
        <v>Total Federal Expenditures for 7/1/19-6/30/20</v>
      </c>
      <c r="C45" s="1986"/>
      <c r="D45" s="2685">
        <v>0</v>
      </c>
      <c r="E45" s="2686"/>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687"/>
      <c r="F49" s="2687"/>
      <c r="G49" s="2687"/>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2" t="str">
        <f>'Single Audit Cover'!A7</f>
        <v>Woodlawn Community Unit School District #209</v>
      </c>
      <c r="C1" s="2692"/>
      <c r="D1" s="2692"/>
      <c r="E1" s="2692"/>
      <c r="F1" s="2692"/>
      <c r="G1" s="2692"/>
      <c r="H1" s="2692"/>
      <c r="I1" s="2692"/>
      <c r="J1" s="2692"/>
      <c r="K1" s="2692"/>
      <c r="L1" s="1189"/>
      <c r="M1" s="1189"/>
    </row>
    <row r="2" spans="1:13" ht="12" customHeight="1" x14ac:dyDescent="0.2">
      <c r="B2" s="2694" t="str">
        <f>'Single Audit Cover'!E7</f>
        <v>13-041-2090-27</v>
      </c>
      <c r="C2" s="2694"/>
      <c r="D2" s="2694"/>
      <c r="E2" s="2694"/>
      <c r="F2" s="2694"/>
      <c r="G2" s="2694"/>
      <c r="H2" s="2694"/>
      <c r="I2" s="2694"/>
      <c r="J2" s="2694"/>
      <c r="K2" s="2694"/>
      <c r="L2" s="1190"/>
      <c r="M2" s="1191"/>
    </row>
    <row r="3" spans="1:13" ht="10.35" customHeight="1" x14ac:dyDescent="0.2">
      <c r="B3" s="2708" t="s">
        <v>1274</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1285</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07"/>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07"/>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1"/>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07"/>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07"/>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6"/>
      <c r="C29" s="2706"/>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6"/>
      <c r="C32" s="2706"/>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Woodlawn Community Unit School District #209</v>
      </c>
      <c r="C1" s="2715"/>
      <c r="D1" s="2715"/>
      <c r="E1" s="2715"/>
      <c r="F1" s="2715"/>
      <c r="G1" s="2715"/>
      <c r="H1" s="2715"/>
      <c r="I1" s="2715"/>
      <c r="J1" s="2715"/>
      <c r="K1" s="2715"/>
      <c r="L1" s="1266"/>
    </row>
    <row r="2" spans="1:12" ht="12.75" customHeight="1" x14ac:dyDescent="0.2">
      <c r="B2" s="2716" t="str">
        <f>'Single Audit Cover'!E7</f>
        <v>13-041-2090-27</v>
      </c>
      <c r="C2" s="2716"/>
      <c r="D2" s="2716"/>
      <c r="E2" s="2716"/>
      <c r="F2" s="2716"/>
      <c r="G2" s="2716"/>
      <c r="H2" s="2716"/>
      <c r="I2" s="2716"/>
      <c r="J2" s="2716"/>
      <c r="K2" s="2716"/>
      <c r="L2" s="1267"/>
    </row>
    <row r="3" spans="1:12" ht="12.75" customHeight="1" x14ac:dyDescent="0.2">
      <c r="B3" s="2708" t="s">
        <v>1274</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1159</v>
      </c>
      <c r="C5" s="1081"/>
      <c r="L5" s="300"/>
    </row>
    <row r="6" spans="1:12" ht="30.75" customHeight="1" x14ac:dyDescent="0.2">
      <c r="A6" s="300"/>
      <c r="B6" s="2717" t="s">
        <v>1297</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9"/>
      <c r="G12" s="2699"/>
      <c r="H12" s="2699"/>
      <c r="I12" s="2699"/>
      <c r="J12" s="2699"/>
      <c r="K12" s="269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2"/>
      <c r="E14" s="2712"/>
      <c r="F14" s="2712"/>
      <c r="H14" s="1275" t="s">
        <v>1292</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3"/>
      <c r="E16" s="2713"/>
      <c r="F16" s="2713"/>
      <c r="G16" s="2713"/>
      <c r="H16" s="2713"/>
      <c r="I16" s="2713"/>
      <c r="J16" s="2713"/>
      <c r="K16" s="2713"/>
      <c r="L16" s="300"/>
    </row>
    <row r="17" spans="2:12" ht="13.5" customHeight="1" x14ac:dyDescent="0.2">
      <c r="B17" s="1201" t="s">
        <v>1290</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2" t="str">
        <f>'Single Audit Cover'!A7</f>
        <v>Woodlawn Community Unit School District #209</v>
      </c>
      <c r="C1" s="2692"/>
      <c r="D1" s="2692"/>
      <c r="E1" s="1285"/>
    </row>
    <row r="2" spans="2:5" s="1103" customFormat="1" ht="12.75" customHeight="1" x14ac:dyDescent="0.2">
      <c r="B2" s="2694" t="str">
        <f>'Single Audit Cover'!E7</f>
        <v>13-041-2090-27</v>
      </c>
      <c r="C2" s="2694"/>
      <c r="D2" s="2694"/>
      <c r="E2" s="1286"/>
    </row>
    <row r="3" spans="2:5" ht="12.75" customHeight="1" x14ac:dyDescent="0.2">
      <c r="B3" s="2708" t="s">
        <v>1744</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37" sqref="D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381</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72654935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3.0574500000000001E-2</v>
      </c>
      <c r="E10" s="333" t="s">
        <v>996</v>
      </c>
      <c r="F10" s="332">
        <v>7.0000000000000001E-3</v>
      </c>
      <c r="G10" s="333" t="s">
        <v>996</v>
      </c>
      <c r="H10" s="332">
        <v>3.0000000000000001E-3</v>
      </c>
      <c r="I10" s="333" t="s">
        <v>997</v>
      </c>
      <c r="J10" s="1473">
        <f>ROUND(D10+F10+H10,5)</f>
        <v>4.0570000000000002E-2</v>
      </c>
      <c r="K10" s="217"/>
      <c r="L10" s="332">
        <v>5.5300000000000002E-5</v>
      </c>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5550023</v>
      </c>
      <c r="E16" s="1597"/>
      <c r="F16" s="1596">
        <f>SUM('Acct Summary 7-8'!C17,'Acct Summary 7-8'!D17,'Acct Summary 7-8'!F17)</f>
        <v>4866120</v>
      </c>
      <c r="G16" s="1597"/>
      <c r="H16" s="1596">
        <f>SUM(D16-F16)</f>
        <v>683903</v>
      </c>
      <c r="I16" s="1598"/>
      <c r="J16" s="1596">
        <f>SUM('Acct Summary 7-8'!C81,'Acct Summary 7-8'!D81,'Acct Summary 7-8'!F81,'Acct Summary 7-8'!I81)</f>
        <v>3158502</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74">
        <f>IF(B31="X",(J7*0.069),IF(B32="X",(J7*0.138),"Enter x in a.or b."))</f>
        <v>10026381.030000001</v>
      </c>
      <c r="I31" s="345"/>
      <c r="J31" s="217"/>
      <c r="K31" s="217"/>
      <c r="L31" s="217"/>
      <c r="M31" s="217"/>
    </row>
    <row r="32" spans="1:13" ht="13.35" customHeight="1" x14ac:dyDescent="0.2">
      <c r="B32" s="346" t="s">
        <v>2027</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191300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550</v>
      </c>
      <c r="B2" s="2280"/>
      <c r="C2" s="2280"/>
      <c r="D2" s="2280"/>
      <c r="E2" s="2280"/>
      <c r="F2" s="2280"/>
      <c r="G2" s="2280"/>
      <c r="H2" s="2280"/>
      <c r="I2" s="2280"/>
      <c r="J2" s="2280"/>
      <c r="K2" s="2280"/>
      <c r="L2" s="2280"/>
      <c r="M2" s="2280"/>
      <c r="N2" s="2280"/>
      <c r="O2" s="2280"/>
      <c r="P2" s="2280"/>
      <c r="Q2" s="2280"/>
      <c r="R2" s="2280"/>
    </row>
    <row r="3" spans="1:18" ht="12.75" x14ac:dyDescent="0.2">
      <c r="A3" s="2281" t="s">
        <v>1397</v>
      </c>
      <c r="B3" s="2281"/>
      <c r="C3" s="2281"/>
      <c r="D3" s="2281"/>
      <c r="E3" s="2281"/>
      <c r="F3" s="2281"/>
      <c r="G3" s="2281"/>
      <c r="H3" s="2281"/>
      <c r="I3" s="2281"/>
      <c r="J3" s="2281"/>
      <c r="K3" s="2281"/>
      <c r="L3" s="2281"/>
      <c r="M3" s="2281"/>
      <c r="N3" s="2281"/>
      <c r="O3" s="2281"/>
      <c r="P3" s="2281"/>
      <c r="Q3" s="2281"/>
      <c r="R3" s="2281"/>
    </row>
    <row r="4" spans="1:18" x14ac:dyDescent="0.2">
      <c r="A4" s="2282" t="s">
        <v>1538</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Woodlawn Community Unit School District #209</v>
      </c>
      <c r="E7" s="368"/>
      <c r="G7" s="247"/>
      <c r="H7" s="364"/>
      <c r="I7" s="364"/>
      <c r="J7" s="364"/>
      <c r="K7" s="364"/>
      <c r="L7" s="307"/>
      <c r="M7" s="307"/>
      <c r="N7" s="307"/>
      <c r="O7" s="307"/>
      <c r="P7" s="307"/>
    </row>
    <row r="8" spans="1:18" ht="12.75" x14ac:dyDescent="0.2">
      <c r="A8" s="307"/>
      <c r="B8" s="307"/>
      <c r="C8" s="366" t="s">
        <v>1115</v>
      </c>
      <c r="D8" s="369" t="str">
        <f>COVER!A13</f>
        <v>13-041-2090-27</v>
      </c>
      <c r="E8" s="370"/>
      <c r="G8" s="307"/>
      <c r="H8" s="307"/>
      <c r="I8" s="307"/>
      <c r="J8" s="307"/>
      <c r="K8" s="307"/>
      <c r="L8" s="307"/>
      <c r="M8" s="307"/>
      <c r="N8" s="307"/>
      <c r="O8" s="307"/>
      <c r="P8" s="307"/>
    </row>
    <row r="9" spans="1:18" ht="12.75" x14ac:dyDescent="0.2">
      <c r="A9" s="307"/>
      <c r="B9" s="307"/>
      <c r="C9" s="366" t="s">
        <v>706</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3158502</v>
      </c>
      <c r="I12" s="380"/>
      <c r="J12" s="380"/>
      <c r="K12" s="1609">
        <f>TRUNC((H12/H13*100000),5)/100000</f>
        <v>0.56909710099999999</v>
      </c>
      <c r="L12" s="381"/>
      <c r="M12" s="337" t="s">
        <v>1134</v>
      </c>
      <c r="N12" s="337"/>
      <c r="O12" s="1612">
        <v>0.35</v>
      </c>
      <c r="P12" s="213"/>
      <c r="Q12" s="213"/>
    </row>
    <row r="13" spans="1:18" s="382" customFormat="1" ht="12.75" x14ac:dyDescent="0.2">
      <c r="A13" s="213"/>
      <c r="B13" s="377"/>
      <c r="C13" s="2278" t="s">
        <v>1313</v>
      </c>
      <c r="D13" s="2279"/>
      <c r="E13" s="213"/>
      <c r="F13" s="383" t="s">
        <v>786</v>
      </c>
      <c r="G13" s="378"/>
      <c r="H13" s="1601">
        <f>SUM('Acct Summary 7-8'!C8+'Acct Summary 7-8'!D8+'Acct Summary 7-8'!F8+'Acct Summary 7-8'!I8)+H14</f>
        <v>5550023</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4866120</v>
      </c>
      <c r="I17" s="380"/>
      <c r="J17" s="389"/>
      <c r="K17" s="1609">
        <f>TRUNC((H17/H18*100000),5)/100000</f>
        <v>0.87677474480000006</v>
      </c>
      <c r="L17" s="381"/>
      <c r="M17" s="390" t="s">
        <v>1161</v>
      </c>
      <c r="O17" s="1615" t="str">
        <f>IF(AND(O16="2", J20 &gt; 2),"1",IF(AND(O16 = "1", J20 &gt; 2),"2",IF(AND(O16="1", J20 &gt;1),"1","0")))</f>
        <v>0</v>
      </c>
      <c r="P17" s="213"/>
    </row>
    <row r="18" spans="1:18" s="382" customFormat="1" ht="11.25" x14ac:dyDescent="0.2">
      <c r="A18" s="213"/>
      <c r="B18" s="377"/>
      <c r="C18" s="2278" t="s">
        <v>1306</v>
      </c>
      <c r="D18" s="2279"/>
      <c r="E18" s="213"/>
      <c r="F18" s="391" t="s">
        <v>787</v>
      </c>
      <c r="G18" s="378"/>
      <c r="H18" s="1601">
        <f>SUM('Acct Summary 7-8'!C8+'Acct Summary 7-8'!D8+'Acct Summary 7-8'!F8+'Acct Summary 7-8'!I8)+H19</f>
        <v>5550023</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5" t="s">
        <v>1396</v>
      </c>
      <c r="D24" s="2275"/>
      <c r="E24" s="213"/>
      <c r="F24" s="213" t="s">
        <v>440</v>
      </c>
      <c r="G24" s="378"/>
      <c r="H24" s="1601">
        <f>SUM('Assets-Liab 5-6'!C4+'Assets-Liab 5-6'!D4+'Assets-Liab 5-6'!F4+'Assets-Liab 5-6'!I4+'Assets-Liab 5-6'!C5+'Assets-Liab 5-6'!D5+'Assets-Liab 5-6'!F5+'Assets-Liab 5-6'!I5)</f>
        <v>3159302</v>
      </c>
      <c r="I24" s="394"/>
      <c r="J24" s="394"/>
      <c r="K24" s="1605">
        <f>TRUNC(((H24/H25*100000)/100000),2)</f>
        <v>233.72</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13517</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2505469.1060100002</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4</v>
      </c>
      <c r="P31" s="211"/>
    </row>
    <row r="32" spans="1:18" s="382" customFormat="1" ht="11.25" x14ac:dyDescent="0.2">
      <c r="A32" s="213"/>
      <c r="B32" s="377"/>
      <c r="C32" s="213" t="s">
        <v>840</v>
      </c>
      <c r="D32" s="213"/>
      <c r="E32" s="213"/>
      <c r="F32" s="213"/>
      <c r="G32" s="378"/>
      <c r="H32" s="1601">
        <f>'FP Info 3'!H37</f>
        <v>191300</v>
      </c>
      <c r="I32" s="392"/>
      <c r="J32" s="392"/>
      <c r="K32" s="1605">
        <f>TRUNC(100-((((H32/H33*100))*100)/100),2)</f>
        <v>98.09</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10026381.030000001</v>
      </c>
      <c r="I33" s="392"/>
      <c r="J33" s="392"/>
      <c r="K33" s="379"/>
      <c r="L33" s="213"/>
      <c r="M33" s="401" t="s">
        <v>1135</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D11" sqref="D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4"/>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5" t="s">
        <v>965</v>
      </c>
      <c r="B3" s="2286"/>
      <c r="C3" s="1351"/>
      <c r="D3" s="1352"/>
      <c r="E3" s="1352"/>
      <c r="F3" s="1352"/>
      <c r="G3" s="1352"/>
      <c r="H3" s="1352"/>
      <c r="I3" s="1352"/>
      <c r="J3" s="1352"/>
      <c r="K3" s="1352"/>
      <c r="L3" s="1352"/>
      <c r="M3" s="1353"/>
      <c r="N3" s="1354"/>
    </row>
    <row r="4" spans="1:14" ht="13.5" customHeight="1" x14ac:dyDescent="0.2">
      <c r="A4" s="427" t="s">
        <v>1633</v>
      </c>
      <c r="B4" s="428"/>
      <c r="C4" s="1622">
        <f>2892765+5000+100</f>
        <v>2897865</v>
      </c>
      <c r="D4" s="1623">
        <v>12464</v>
      </c>
      <c r="E4" s="1623">
        <v>7023</v>
      </c>
      <c r="F4" s="1623">
        <v>151323</v>
      </c>
      <c r="G4" s="1623">
        <v>175231</v>
      </c>
      <c r="H4" s="1623">
        <v>50000</v>
      </c>
      <c r="I4" s="1623">
        <v>97650</v>
      </c>
      <c r="J4" s="1624">
        <v>199049</v>
      </c>
      <c r="K4" s="1623">
        <v>28208</v>
      </c>
      <c r="L4" s="1623">
        <v>80334</v>
      </c>
      <c r="M4" s="1625"/>
      <c r="N4" s="1626"/>
    </row>
    <row r="5" spans="1:14" x14ac:dyDescent="0.2">
      <c r="A5" s="427" t="s">
        <v>983</v>
      </c>
      <c r="B5" s="429">
        <v>120</v>
      </c>
      <c r="C5" s="1622"/>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2897865</v>
      </c>
      <c r="D13" s="1637">
        <f t="shared" ref="D13:L13" si="0">SUM(D4:D12)</f>
        <v>12464</v>
      </c>
      <c r="E13" s="1637">
        <f t="shared" si="0"/>
        <v>7023</v>
      </c>
      <c r="F13" s="1637">
        <f t="shared" si="0"/>
        <v>151323</v>
      </c>
      <c r="G13" s="1637">
        <f t="shared" si="0"/>
        <v>175231</v>
      </c>
      <c r="H13" s="1637">
        <f t="shared" si="0"/>
        <v>50000</v>
      </c>
      <c r="I13" s="1637">
        <f t="shared" si="0"/>
        <v>97650</v>
      </c>
      <c r="J13" s="1637">
        <f t="shared" si="0"/>
        <v>199049</v>
      </c>
      <c r="K13" s="1637">
        <f t="shared" si="0"/>
        <v>28208</v>
      </c>
      <c r="L13" s="1637">
        <f t="shared" si="0"/>
        <v>80334</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v>26166</v>
      </c>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7027063</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229609</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2018023</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7023</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184277</v>
      </c>
    </row>
    <row r="23" spans="1:14" ht="13.5" customHeight="1" thickBot="1" x14ac:dyDescent="0.25">
      <c r="A23" s="1475" t="s">
        <v>636</v>
      </c>
      <c r="B23" s="1478"/>
      <c r="C23" s="1625"/>
      <c r="D23" s="1625"/>
      <c r="E23" s="1625"/>
      <c r="F23" s="1625"/>
      <c r="G23" s="1625"/>
      <c r="H23" s="1625"/>
      <c r="I23" s="1625"/>
      <c r="J23" s="1625"/>
      <c r="K23" s="1625"/>
      <c r="L23" s="1625"/>
      <c r="M23" s="1644">
        <f>SUM(M15:M22)</f>
        <v>9300861</v>
      </c>
      <c r="N23" s="1644">
        <f>SUM(N21:N22)</f>
        <v>191300</v>
      </c>
    </row>
    <row r="24" spans="1:14" ht="18" customHeight="1" thickTop="1" x14ac:dyDescent="0.2">
      <c r="A24" s="2289" t="s">
        <v>592</v>
      </c>
      <c r="B24" s="2290"/>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v>800</v>
      </c>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80334</v>
      </c>
      <c r="M33" s="1625"/>
      <c r="N33" s="1626"/>
    </row>
    <row r="34" spans="1:14" ht="13.5" customHeight="1" thickBot="1" x14ac:dyDescent="0.25">
      <c r="A34" s="1476" t="s">
        <v>647</v>
      </c>
      <c r="B34" s="1477"/>
      <c r="C34" s="1650">
        <f>SUM(C25:C33)</f>
        <v>800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80334</v>
      </c>
      <c r="M34" s="1625"/>
      <c r="N34" s="1635"/>
    </row>
    <row r="35" spans="1:14" ht="18" customHeight="1" thickTop="1" x14ac:dyDescent="0.2">
      <c r="A35" s="2291" t="s">
        <v>524</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191300</v>
      </c>
    </row>
    <row r="37" spans="1:14" ht="13.5" thickBot="1" x14ac:dyDescent="0.25">
      <c r="A37" s="1475" t="s">
        <v>646</v>
      </c>
      <c r="B37" s="1478"/>
      <c r="C37" s="1632"/>
      <c r="D37" s="1632"/>
      <c r="E37" s="1632"/>
      <c r="F37" s="1632"/>
      <c r="G37" s="1632"/>
      <c r="H37" s="1632"/>
      <c r="I37" s="1632"/>
      <c r="J37" s="1632"/>
      <c r="K37" s="1632"/>
      <c r="L37" s="1635"/>
      <c r="M37" s="1625"/>
      <c r="N37" s="1644">
        <f>SUM(N36:N36)</f>
        <v>191300</v>
      </c>
    </row>
    <row r="38" spans="1:14" s="307" customFormat="1" ht="13.5" customHeight="1" thickTop="1" x14ac:dyDescent="0.2">
      <c r="A38" s="438" t="s">
        <v>415</v>
      </c>
      <c r="B38" s="432">
        <v>714</v>
      </c>
      <c r="C38" s="1623">
        <v>70411</v>
      </c>
      <c r="D38" s="1623"/>
      <c r="E38" s="1623"/>
      <c r="F38" s="1623"/>
      <c r="G38" s="1623"/>
      <c r="H38" s="1623">
        <v>50000</v>
      </c>
      <c r="I38" s="1623"/>
      <c r="J38" s="1624"/>
      <c r="K38" s="1623"/>
      <c r="L38" s="1636"/>
      <c r="M38" s="1654"/>
      <c r="N38" s="1654"/>
    </row>
    <row r="39" spans="1:14" s="307" customFormat="1" ht="13.5" customHeight="1" x14ac:dyDescent="0.2">
      <c r="A39" s="438" t="s">
        <v>337</v>
      </c>
      <c r="B39" s="432">
        <v>730</v>
      </c>
      <c r="C39" s="1623">
        <v>2826654</v>
      </c>
      <c r="D39" s="1623">
        <v>12464</v>
      </c>
      <c r="E39" s="1623">
        <v>7023</v>
      </c>
      <c r="F39" s="1623">
        <v>151323</v>
      </c>
      <c r="G39" s="1623">
        <v>175231</v>
      </c>
      <c r="H39" s="1623"/>
      <c r="I39" s="1623">
        <v>97650</v>
      </c>
      <c r="J39" s="1624">
        <v>199049</v>
      </c>
      <c r="K39" s="1623">
        <v>28208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9300861</v>
      </c>
      <c r="N40" s="1654"/>
    </row>
    <row r="41" spans="1:14" ht="13.5" customHeight="1" thickBot="1" x14ac:dyDescent="0.25">
      <c r="A41" s="1475" t="s">
        <v>648</v>
      </c>
      <c r="B41" s="1454"/>
      <c r="C41" s="1644">
        <f>(SUM(C34,C37,C38,C39))</f>
        <v>2897865</v>
      </c>
      <c r="D41" s="1644">
        <f t="shared" ref="D41:L41" si="2">SUM(D34,D37,D38:D39)</f>
        <v>12464</v>
      </c>
      <c r="E41" s="1644">
        <f t="shared" si="2"/>
        <v>7023</v>
      </c>
      <c r="F41" s="1644">
        <f t="shared" si="2"/>
        <v>151323</v>
      </c>
      <c r="G41" s="1644">
        <f t="shared" si="2"/>
        <v>175231</v>
      </c>
      <c r="H41" s="1644">
        <f t="shared" si="2"/>
        <v>50000</v>
      </c>
      <c r="I41" s="1644">
        <f t="shared" si="2"/>
        <v>97650</v>
      </c>
      <c r="J41" s="1644">
        <f t="shared" si="2"/>
        <v>199049</v>
      </c>
      <c r="K41" s="1644">
        <f t="shared" si="2"/>
        <v>28208</v>
      </c>
      <c r="L41" s="1644">
        <f t="shared" si="2"/>
        <v>80334</v>
      </c>
      <c r="M41" s="1644">
        <f>SUM(M40)</f>
        <v>9300861</v>
      </c>
      <c r="N41" s="1644">
        <f>SUM(N37)</f>
        <v>191300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activeCell="D11" sqref="D11"/>
      <selection pane="bottomLeft" activeCell="D11" sqref="D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2"/>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3" t="s">
        <v>1165</v>
      </c>
      <c r="B3" s="2314"/>
      <c r="C3" s="1356"/>
      <c r="D3" s="1357"/>
      <c r="E3" s="1357"/>
      <c r="F3" s="1357"/>
      <c r="G3" s="1357"/>
      <c r="H3" s="1357"/>
      <c r="I3" s="1357"/>
      <c r="J3" s="1357"/>
      <c r="K3" s="1358"/>
      <c r="L3" s="446"/>
    </row>
    <row r="4" spans="1:13" ht="15.75" customHeight="1" x14ac:dyDescent="0.2">
      <c r="A4" s="1587" t="s">
        <v>1483</v>
      </c>
      <c r="B4" s="1588">
        <v>1000</v>
      </c>
      <c r="C4" s="1656">
        <f>'Revenues 9-14'!C109</f>
        <v>2142435</v>
      </c>
      <c r="D4" s="1656">
        <f>'Revenues 9-14'!D109</f>
        <v>345238</v>
      </c>
      <c r="E4" s="1656">
        <f>'Revenues 9-14'!E109</f>
        <v>66926</v>
      </c>
      <c r="F4" s="1656">
        <f>'Revenues 9-14'!F109</f>
        <v>148018</v>
      </c>
      <c r="G4" s="1656">
        <f>'Revenues 9-14'!G109</f>
        <v>141715</v>
      </c>
      <c r="H4" s="1656">
        <f>'Revenues 9-14'!H109</f>
        <v>0</v>
      </c>
      <c r="I4" s="1656">
        <f>'Revenues 9-14'!I109</f>
        <v>34523</v>
      </c>
      <c r="J4" s="1656">
        <f>'Revenues 9-14'!J109</f>
        <v>66198</v>
      </c>
      <c r="K4" s="1656">
        <f>'Revenues 9-14'!K109</f>
        <v>34523</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2387848</v>
      </c>
      <c r="D6" s="1657">
        <f>'Revenues 9-14'!D170</f>
        <v>96854</v>
      </c>
      <c r="E6" s="1657">
        <f>'Revenues 9-14'!E170</f>
        <v>0</v>
      </c>
      <c r="F6" s="1657">
        <f>'Revenues 9-14'!F170</f>
        <v>193924</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1486</v>
      </c>
      <c r="B7" s="1361">
        <v>4000</v>
      </c>
      <c r="C7" s="1657">
        <f>'Revenues 9-14'!C267</f>
        <v>201183</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4731466</v>
      </c>
      <c r="D8" s="1644">
        <f t="shared" ref="D8:K8" si="0">SUM(D4:D7)</f>
        <v>442092</v>
      </c>
      <c r="E8" s="1644">
        <f t="shared" si="0"/>
        <v>66926</v>
      </c>
      <c r="F8" s="1644">
        <f t="shared" si="0"/>
        <v>341942</v>
      </c>
      <c r="G8" s="1644">
        <f t="shared" si="0"/>
        <v>141715</v>
      </c>
      <c r="H8" s="1644">
        <f t="shared" si="0"/>
        <v>50000</v>
      </c>
      <c r="I8" s="1644">
        <f t="shared" si="0"/>
        <v>34523</v>
      </c>
      <c r="J8" s="1644">
        <f t="shared" si="0"/>
        <v>66198</v>
      </c>
      <c r="K8" s="1644">
        <f t="shared" si="0"/>
        <v>34523</v>
      </c>
      <c r="L8" s="325"/>
    </row>
    <row r="9" spans="1:13" ht="15.75" thickTop="1" x14ac:dyDescent="0.2">
      <c r="A9" s="449" t="s">
        <v>1635</v>
      </c>
      <c r="B9" s="450">
        <v>3998</v>
      </c>
      <c r="C9" s="1636">
        <f>2379757+33844</f>
        <v>2413601</v>
      </c>
      <c r="D9" s="1663"/>
      <c r="E9" s="1636"/>
      <c r="F9" s="1636"/>
      <c r="G9" s="1664"/>
      <c r="H9" s="1636"/>
      <c r="I9" s="1659" t="s">
        <v>1159</v>
      </c>
      <c r="J9" s="1633"/>
      <c r="K9" s="1636"/>
      <c r="L9" s="325"/>
    </row>
    <row r="10" spans="1:13" s="452" customFormat="1" ht="13.5" thickBot="1" x14ac:dyDescent="0.25">
      <c r="A10" s="1475" t="s">
        <v>1163</v>
      </c>
      <c r="B10" s="1456"/>
      <c r="C10" s="1644">
        <f>SUM(C8:C9)</f>
        <v>7145067</v>
      </c>
      <c r="D10" s="1644">
        <f t="shared" ref="D10:K10" si="1">SUM(D8:D9)</f>
        <v>442092</v>
      </c>
      <c r="E10" s="1644">
        <f t="shared" si="1"/>
        <v>66926</v>
      </c>
      <c r="F10" s="1644">
        <f t="shared" si="1"/>
        <v>341942</v>
      </c>
      <c r="G10" s="1644">
        <f t="shared" si="1"/>
        <v>141715</v>
      </c>
      <c r="H10" s="1644">
        <f t="shared" si="1"/>
        <v>50000</v>
      </c>
      <c r="I10" s="1644">
        <f t="shared" si="1"/>
        <v>34523</v>
      </c>
      <c r="J10" s="1644">
        <f t="shared" si="1"/>
        <v>66198</v>
      </c>
      <c r="K10" s="1644">
        <f t="shared" si="1"/>
        <v>34523</v>
      </c>
      <c r="L10" s="451"/>
    </row>
    <row r="11" spans="1:13" s="452" customFormat="1" ht="16.7" customHeight="1" thickTop="1" x14ac:dyDescent="0.2">
      <c r="A11" s="2287" t="s">
        <v>1166</v>
      </c>
      <c r="B11" s="2288"/>
      <c r="C11" s="1652"/>
      <c r="D11" s="1653"/>
      <c r="E11" s="1653"/>
      <c r="F11" s="1653"/>
      <c r="G11" s="1653"/>
      <c r="H11" s="1653"/>
      <c r="I11" s="1653"/>
      <c r="J11" s="1653"/>
      <c r="K11" s="1665"/>
      <c r="L11" s="451"/>
    </row>
    <row r="12" spans="1:13" ht="15.75" customHeight="1" x14ac:dyDescent="0.2">
      <c r="A12" s="1359" t="s">
        <v>451</v>
      </c>
      <c r="B12" s="1361">
        <v>1000</v>
      </c>
      <c r="C12" s="1656">
        <f>'Expenditures 15-22'!K33</f>
        <v>3126083</v>
      </c>
      <c r="D12" s="1666" t="s">
        <v>1159</v>
      </c>
      <c r="E12" s="1625" t="s">
        <v>1159</v>
      </c>
      <c r="F12" s="1625" t="s">
        <v>1159</v>
      </c>
      <c r="G12" s="1656">
        <f>'Expenditures 15-22'!K229</f>
        <v>69082</v>
      </c>
      <c r="H12" s="1667"/>
      <c r="I12" s="1625" t="s">
        <v>1159</v>
      </c>
      <c r="J12" s="1625" t="s">
        <v>1159</v>
      </c>
      <c r="K12" s="1667" t="s">
        <v>1159</v>
      </c>
      <c r="L12" s="325"/>
    </row>
    <row r="13" spans="1:13" ht="15.75" customHeight="1" x14ac:dyDescent="0.2">
      <c r="A13" s="1359" t="s">
        <v>452</v>
      </c>
      <c r="B13" s="1361">
        <v>2000</v>
      </c>
      <c r="C13" s="1657">
        <f>'Expenditures 15-22'!K74</f>
        <v>883640</v>
      </c>
      <c r="D13" s="1657">
        <f>'Expenditures 15-22'!K129</f>
        <v>444415</v>
      </c>
      <c r="E13" s="1626" t="s">
        <v>1159</v>
      </c>
      <c r="F13" s="1657">
        <f>'Expenditures 15-22'!K184</f>
        <v>301733</v>
      </c>
      <c r="G13" s="1657">
        <f>'Expenditures 15-22'!K279</f>
        <v>70026</v>
      </c>
      <c r="H13" s="1657">
        <f>'Expenditures 15-22'!K303</f>
        <v>0</v>
      </c>
      <c r="I13" s="1625" t="s">
        <v>1159</v>
      </c>
      <c r="J13" s="1657">
        <f>'Expenditures 15-22'!K330</f>
        <v>50425</v>
      </c>
      <c r="K13" s="1668">
        <f>'Expenditures 15-22'!K352</f>
        <v>84867</v>
      </c>
      <c r="L13" s="325"/>
    </row>
    <row r="14" spans="1:13" ht="15.75" customHeight="1" x14ac:dyDescent="0.2">
      <c r="A14" s="1359" t="s">
        <v>444</v>
      </c>
      <c r="B14" s="1361">
        <v>3000</v>
      </c>
      <c r="C14" s="1657">
        <f>'Expenditures 15-22'!K75</f>
        <v>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110249</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66815</v>
      </c>
      <c r="F16" s="1657">
        <f>'Expenditures 15-22'!K208</f>
        <v>0</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4119972</v>
      </c>
      <c r="D17" s="1644">
        <f t="shared" si="2"/>
        <v>444415</v>
      </c>
      <c r="E17" s="1644">
        <f t="shared" si="2"/>
        <v>66815</v>
      </c>
      <c r="F17" s="1644">
        <f t="shared" si="2"/>
        <v>301733</v>
      </c>
      <c r="G17" s="1644">
        <f t="shared" si="2"/>
        <v>139108</v>
      </c>
      <c r="H17" s="1644">
        <f t="shared" si="2"/>
        <v>0</v>
      </c>
      <c r="I17" s="1625"/>
      <c r="J17" s="1644">
        <f>SUM(J12:J16)</f>
        <v>50425</v>
      </c>
      <c r="K17" s="1644">
        <f>SUM(K12:K16)</f>
        <v>84867</v>
      </c>
      <c r="L17" s="325"/>
    </row>
    <row r="18" spans="1:12" ht="15" customHeight="1" thickTop="1" x14ac:dyDescent="0.2">
      <c r="A18" s="1479" t="s">
        <v>1636</v>
      </c>
      <c r="B18" s="1480">
        <v>4180</v>
      </c>
      <c r="C18" s="1656">
        <f t="shared" ref="C18:H18" si="3">C9</f>
        <v>2413601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6533573</v>
      </c>
      <c r="D19" s="1644">
        <f t="shared" si="4"/>
        <v>444415</v>
      </c>
      <c r="E19" s="1644">
        <f t="shared" si="4"/>
        <v>66815</v>
      </c>
      <c r="F19" s="1644">
        <f t="shared" si="4"/>
        <v>301733</v>
      </c>
      <c r="G19" s="1644">
        <f t="shared" si="4"/>
        <v>139108</v>
      </c>
      <c r="H19" s="1644">
        <f t="shared" si="4"/>
        <v>0</v>
      </c>
      <c r="I19" s="1625"/>
      <c r="J19" s="1644">
        <f>SUM(J17:J18)</f>
        <v>50425</v>
      </c>
      <c r="K19" s="1644">
        <f>SUM(K17:K18)</f>
        <v>84867</v>
      </c>
      <c r="L19" s="325"/>
    </row>
    <row r="20" spans="1:12" ht="16.5" thickTop="1" thickBot="1" x14ac:dyDescent="0.25">
      <c r="A20" s="2303" t="s">
        <v>1637</v>
      </c>
      <c r="B20" s="2304"/>
      <c r="C20" s="1672">
        <f>C8-C17</f>
        <v>611494</v>
      </c>
      <c r="D20" s="1672">
        <f t="shared" ref="D20:K20" si="5">D8-D17</f>
        <v>-2323</v>
      </c>
      <c r="E20" s="1672">
        <f t="shared" si="5"/>
        <v>111</v>
      </c>
      <c r="F20" s="1672">
        <f t="shared" si="5"/>
        <v>40209</v>
      </c>
      <c r="G20" s="1672">
        <f t="shared" si="5"/>
        <v>2607</v>
      </c>
      <c r="H20" s="1672">
        <f t="shared" si="5"/>
        <v>50000</v>
      </c>
      <c r="I20" s="1672">
        <f t="shared" si="5"/>
        <v>34523</v>
      </c>
      <c r="J20" s="1672">
        <f t="shared" si="5"/>
        <v>15773</v>
      </c>
      <c r="K20" s="1672">
        <f t="shared" si="5"/>
        <v>-50344</v>
      </c>
      <c r="L20" s="325"/>
    </row>
    <row r="21" spans="1:12" ht="16.7" customHeight="1" thickTop="1" x14ac:dyDescent="0.2">
      <c r="A21" s="2315" t="s">
        <v>589</v>
      </c>
      <c r="B21" s="2316"/>
      <c r="C21" s="1652"/>
      <c r="D21" s="1653"/>
      <c r="E21" s="1653"/>
      <c r="F21" s="1653"/>
      <c r="G21" s="1653"/>
      <c r="H21" s="1653"/>
      <c r="I21" s="1653"/>
      <c r="J21" s="1653"/>
      <c r="K21" s="1665"/>
      <c r="L21" s="453"/>
    </row>
    <row r="22" spans="1:12" ht="15.75" customHeight="1" collapsed="1" x14ac:dyDescent="0.2">
      <c r="A22" s="2311" t="s">
        <v>590</v>
      </c>
      <c r="B22" s="2312"/>
      <c r="C22" s="1632"/>
      <c r="D22" s="1632"/>
      <c r="E22" s="1632"/>
      <c r="F22" s="1632"/>
      <c r="G22" s="1632"/>
      <c r="H22" s="1632"/>
      <c r="I22" s="1632"/>
      <c r="J22" s="1632"/>
      <c r="K22" s="1632"/>
      <c r="L22" s="325"/>
    </row>
    <row r="23" spans="1:12" s="433" customFormat="1" ht="15.75" customHeight="1" x14ac:dyDescent="0.2">
      <c r="A23" s="2307" t="s">
        <v>288</v>
      </c>
      <c r="B23" s="2308"/>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09" t="s">
        <v>972</v>
      </c>
      <c r="B32" s="2310"/>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c r="G43" s="1624"/>
      <c r="H43" s="1624"/>
      <c r="I43" s="1624"/>
      <c r="J43" s="1624"/>
      <c r="K43" s="1624"/>
      <c r="L43" s="453"/>
    </row>
    <row r="44" spans="1:12" s="433" customFormat="1" ht="13.5" customHeight="1" thickBot="1" x14ac:dyDescent="0.25">
      <c r="A44" s="2317" t="s">
        <v>369</v>
      </c>
      <c r="B44" s="231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3" t="s">
        <v>435</v>
      </c>
      <c r="B76" s="229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5" t="s">
        <v>1167</v>
      </c>
      <c r="B77" s="229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591</v>
      </c>
      <c r="B78" s="2300"/>
      <c r="C78" s="1679">
        <f t="shared" ref="C78:K78" si="9">C20+C77</f>
        <v>611494</v>
      </c>
      <c r="D78" s="1679">
        <f t="shared" si="9"/>
        <v>-2323</v>
      </c>
      <c r="E78" s="1679">
        <f t="shared" si="9"/>
        <v>111</v>
      </c>
      <c r="F78" s="1679">
        <f t="shared" si="9"/>
        <v>40209</v>
      </c>
      <c r="G78" s="1679">
        <f t="shared" si="9"/>
        <v>2607</v>
      </c>
      <c r="H78" s="1679">
        <f t="shared" si="9"/>
        <v>50000</v>
      </c>
      <c r="I78" s="1679">
        <f t="shared" si="9"/>
        <v>34523</v>
      </c>
      <c r="J78" s="1679">
        <f t="shared" si="9"/>
        <v>15773</v>
      </c>
      <c r="K78" s="1679">
        <f t="shared" si="9"/>
        <v>-50344</v>
      </c>
      <c r="L78" s="457"/>
    </row>
    <row r="79" spans="1:12" ht="13.5" thickTop="1" x14ac:dyDescent="0.2">
      <c r="A79" s="1902" t="str">
        <f>"Fund Balances - July 1, "&amp;'AFR20'!E2-1</f>
        <v>Fund Balances - July 1, 2019</v>
      </c>
      <c r="B79" s="458"/>
      <c r="C79" s="1633">
        <v>2285571</v>
      </c>
      <c r="D79" s="1680">
        <v>14787</v>
      </c>
      <c r="E79" s="1680">
        <v>6912</v>
      </c>
      <c r="F79" s="1680">
        <v>111114</v>
      </c>
      <c r="G79" s="1680">
        <v>172624</v>
      </c>
      <c r="H79" s="1680">
        <v>0</v>
      </c>
      <c r="I79" s="1680">
        <v>63127</v>
      </c>
      <c r="J79" s="1680">
        <v>183276</v>
      </c>
      <c r="K79" s="1680">
        <v>78552</v>
      </c>
      <c r="L79" s="325"/>
    </row>
    <row r="80" spans="1:12" x14ac:dyDescent="0.2">
      <c r="A80" s="2305" t="s">
        <v>1773</v>
      </c>
      <c r="B80" s="2306"/>
      <c r="C80" s="1624"/>
      <c r="D80" s="1624"/>
      <c r="E80" s="1624"/>
      <c r="F80" s="1624"/>
      <c r="G80" s="1624"/>
      <c r="H80" s="1624"/>
      <c r="I80" s="1624"/>
      <c r="J80" s="1624"/>
      <c r="K80" s="1624"/>
      <c r="L80" s="325"/>
    </row>
    <row r="81" spans="1:12" ht="13.5" thickBot="1" x14ac:dyDescent="0.25">
      <c r="A81" s="2297" t="str">
        <f>"Fund Balances - June 30, "&amp;'AFR20'!E2</f>
        <v>Fund Balances - June 30, 2020</v>
      </c>
      <c r="B81" s="2298"/>
      <c r="C81" s="1644">
        <f>(SUM(C78:C80))</f>
        <v>2897065</v>
      </c>
      <c r="D81" s="1644">
        <f>SUM(D78:D80)</f>
        <v>12464</v>
      </c>
      <c r="E81" s="1644">
        <f t="shared" ref="E81:K81" si="10">SUM(E78:E80)</f>
        <v>7023</v>
      </c>
      <c r="F81" s="1644">
        <f t="shared" si="10"/>
        <v>151323</v>
      </c>
      <c r="G81" s="1644">
        <f t="shared" si="10"/>
        <v>175231</v>
      </c>
      <c r="H81" s="1644">
        <f t="shared" si="10"/>
        <v>50000</v>
      </c>
      <c r="I81" s="1644">
        <f t="shared" si="10"/>
        <v>97650</v>
      </c>
      <c r="J81" s="1644">
        <f t="shared" si="10"/>
        <v>199049</v>
      </c>
      <c r="K81" s="1644">
        <f t="shared" si="10"/>
        <v>28208</v>
      </c>
      <c r="L81" s="325"/>
    </row>
    <row r="82" spans="1:12" ht="0.75" customHeight="1" thickTop="1" thickBot="1" x14ac:dyDescent="0.25">
      <c r="A82" s="459" t="s">
        <v>338</v>
      </c>
      <c r="B82" s="460"/>
      <c r="C82" s="461">
        <f>(C81-C79)</f>
        <v>611494</v>
      </c>
      <c r="D82" s="461">
        <f t="shared" ref="D82:K82" si="11">(D81-D79)</f>
        <v>-2323</v>
      </c>
      <c r="E82" s="461">
        <f t="shared" si="11"/>
        <v>111</v>
      </c>
      <c r="F82" s="461">
        <f t="shared" si="11"/>
        <v>40209</v>
      </c>
      <c r="G82" s="461">
        <f t="shared" si="11"/>
        <v>2607</v>
      </c>
      <c r="H82" s="461">
        <f t="shared" si="11"/>
        <v>50000</v>
      </c>
      <c r="I82" s="461">
        <f t="shared" si="11"/>
        <v>34523</v>
      </c>
      <c r="J82" s="461">
        <f t="shared" si="11"/>
        <v>15773</v>
      </c>
      <c r="K82" s="461">
        <f t="shared" si="11"/>
        <v>-50344</v>
      </c>
    </row>
    <row r="83" spans="1:12" ht="14.25" hidden="1" thickTop="1" thickBot="1" x14ac:dyDescent="0.25">
      <c r="A83" s="462" t="s">
        <v>339</v>
      </c>
      <c r="B83" s="428"/>
      <c r="C83" s="463">
        <f>C82/C81</f>
        <v>0.2110736210613155</v>
      </c>
      <c r="D83" s="463">
        <f t="shared" ref="D83:K83" si="12">D82/D81</f>
        <v>-0.18637676508344031</v>
      </c>
      <c r="E83" s="463">
        <f t="shared" si="12"/>
        <v>1.5805211448099103E-2</v>
      </c>
      <c r="F83" s="463">
        <f t="shared" si="12"/>
        <v>0.26571638151503735</v>
      </c>
      <c r="G83" s="463">
        <f t="shared" si="12"/>
        <v>1.4877504551135359E-2</v>
      </c>
      <c r="H83" s="463">
        <f t="shared" si="12"/>
        <v>1</v>
      </c>
      <c r="I83" s="463">
        <f t="shared" si="12"/>
        <v>0.35353814644137227</v>
      </c>
      <c r="J83" s="463">
        <f t="shared" si="12"/>
        <v>7.924179473395998E-2</v>
      </c>
      <c r="K83" s="463">
        <f t="shared" si="12"/>
        <v>-1.7847419171866137</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4" activePane="bottomLeft" state="frozen"/>
      <selection activeCell="D11" sqref="D11"/>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1780</v>
      </c>
      <c r="B1" s="416"/>
      <c r="C1" s="417" t="s">
        <v>420</v>
      </c>
      <c r="D1" s="417" t="s">
        <v>421</v>
      </c>
      <c r="E1" s="417" t="s">
        <v>422</v>
      </c>
      <c r="F1" s="417" t="s">
        <v>423</v>
      </c>
      <c r="G1" s="417" t="s">
        <v>424</v>
      </c>
      <c r="H1" s="417" t="s">
        <v>425</v>
      </c>
      <c r="I1" s="417" t="s">
        <v>426</v>
      </c>
      <c r="J1" s="417" t="s">
        <v>427</v>
      </c>
      <c r="K1" s="417" t="s">
        <v>749</v>
      </c>
    </row>
    <row r="2" spans="1:12" ht="36" x14ac:dyDescent="0.2">
      <c r="A2" s="2302"/>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f>504158+173008+977138</f>
        <v>1654304</v>
      </c>
      <c r="D5" s="1636">
        <f>91595+46037+204544+2</f>
        <v>342178</v>
      </c>
      <c r="E5" s="1623">
        <f>45905+20273</f>
        <v>66178</v>
      </c>
      <c r="F5" s="1681">
        <f>39254+87664+19730-1</f>
        <v>146647</v>
      </c>
      <c r="G5" s="1623">
        <f>19412+29398+3715+1</f>
        <v>52526</v>
      </c>
      <c r="H5" s="1623"/>
      <c r="I5" s="1623">
        <f>13084+6577+14612</f>
        <v>34273</v>
      </c>
      <c r="J5" s="1624">
        <f>33971+9822+22017+1</f>
        <v>65811</v>
      </c>
      <c r="K5" s="1623">
        <f>13084+6577+14612</f>
        <v>34273</v>
      </c>
    </row>
    <row r="6" spans="1:12" ht="15" x14ac:dyDescent="0.2">
      <c r="A6" s="427" t="s">
        <v>1644</v>
      </c>
      <c r="B6" s="429">
        <v>1130</v>
      </c>
      <c r="C6" s="1623">
        <f>6769+3298+7306</f>
        <v>17373</v>
      </c>
      <c r="D6" s="1623"/>
      <c r="E6" s="1630"/>
      <c r="F6" s="1630"/>
      <c r="G6" s="1625"/>
      <c r="H6" s="1625"/>
      <c r="I6" s="1625"/>
      <c r="J6" s="1625"/>
      <c r="K6" s="1625"/>
    </row>
    <row r="7" spans="1:12" x14ac:dyDescent="0.2">
      <c r="A7" s="427" t="s">
        <v>110</v>
      </c>
      <c r="B7" s="471">
        <v>1140</v>
      </c>
      <c r="C7" s="1623">
        <f>52341+13153+87664</f>
        <v>153158</v>
      </c>
      <c r="D7" s="1623"/>
      <c r="E7" s="1625"/>
      <c r="F7" s="1624"/>
      <c r="G7" s="1624"/>
      <c r="H7" s="1624"/>
      <c r="I7" s="1625"/>
      <c r="J7" s="1625"/>
      <c r="K7" s="1625"/>
    </row>
    <row r="8" spans="1:12" x14ac:dyDescent="0.2">
      <c r="A8" s="427" t="s">
        <v>408</v>
      </c>
      <c r="B8" s="429">
        <v>1150</v>
      </c>
      <c r="C8" s="1630"/>
      <c r="D8" s="1630"/>
      <c r="E8" s="1632"/>
      <c r="F8" s="1632"/>
      <c r="G8" s="1636">
        <f>39200+24265+5768</f>
        <v>69233</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1824835</v>
      </c>
      <c r="D12" s="1683">
        <f t="shared" si="0"/>
        <v>342178</v>
      </c>
      <c r="E12" s="1683">
        <f t="shared" si="0"/>
        <v>66178</v>
      </c>
      <c r="F12" s="1683">
        <f t="shared" si="0"/>
        <v>146647</v>
      </c>
      <c r="G12" s="1683">
        <f t="shared" si="0"/>
        <v>121759</v>
      </c>
      <c r="H12" s="1683">
        <f t="shared" si="0"/>
        <v>0</v>
      </c>
      <c r="I12" s="1683">
        <f t="shared" si="0"/>
        <v>34273</v>
      </c>
      <c r="J12" s="1683">
        <f t="shared" si="0"/>
        <v>65811</v>
      </c>
      <c r="K12" s="1644">
        <f t="shared" si="0"/>
        <v>34273</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f>449+2739+10632</f>
        <v>13820</v>
      </c>
      <c r="D14" s="1623">
        <f>73+666+2028</f>
        <v>2767</v>
      </c>
      <c r="E14" s="1623">
        <f>293+455</f>
        <v>748</v>
      </c>
      <c r="F14" s="1623">
        <f>31+285+870</f>
        <v>1186</v>
      </c>
      <c r="G14" s="1623">
        <f>35+137+680</f>
        <v>852</v>
      </c>
      <c r="H14" s="1623"/>
      <c r="I14" s="1623">
        <f>10+95+145</f>
        <v>250</v>
      </c>
      <c r="J14" s="1624">
        <f>27+142+218</f>
        <v>387</v>
      </c>
      <c r="K14" s="1623">
        <f>10+95+145</f>
        <v>250</v>
      </c>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108257</v>
      </c>
      <c r="D16" s="1623"/>
      <c r="E16" s="1623"/>
      <c r="F16" s="1623"/>
      <c r="G16" s="1623">
        <v>19104</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122077</v>
      </c>
      <c r="D18" s="1685">
        <f t="shared" ref="D18:K18" si="1">SUM(D14:D17)</f>
        <v>2767</v>
      </c>
      <c r="E18" s="1685">
        <f t="shared" si="1"/>
        <v>748</v>
      </c>
      <c r="F18" s="1685">
        <f t="shared" si="1"/>
        <v>1186</v>
      </c>
      <c r="G18" s="1685">
        <f t="shared" si="1"/>
        <v>19956</v>
      </c>
      <c r="H18" s="1685">
        <f t="shared" si="1"/>
        <v>0</v>
      </c>
      <c r="I18" s="1685">
        <f t="shared" si="1"/>
        <v>250</v>
      </c>
      <c r="J18" s="1685">
        <f t="shared" si="1"/>
        <v>387</v>
      </c>
      <c r="K18" s="1686">
        <f t="shared" si="1"/>
        <v>250</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0</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0</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40010</v>
      </c>
      <c r="D65" s="1623"/>
      <c r="E65" s="1623"/>
      <c r="F65" s="1624"/>
      <c r="G65" s="1623"/>
      <c r="H65" s="1623"/>
      <c r="I65" s="1623"/>
      <c r="J65" s="1624"/>
      <c r="K65" s="1623"/>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40010</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f>37336</f>
        <v>37336</v>
      </c>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v>3595</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v>3026</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542</v>
      </c>
      <c r="B75" s="1456"/>
      <c r="C75" s="1644">
        <f>SUM(C69:C74)</f>
        <v>43957</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27067</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v>9813</v>
      </c>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v>1650</v>
      </c>
      <c r="D81" s="1623"/>
      <c r="E81" s="1625"/>
      <c r="F81" s="1625"/>
      <c r="G81" s="1625"/>
      <c r="H81" s="1625"/>
      <c r="I81" s="1625"/>
      <c r="J81" s="1625"/>
      <c r="K81" s="1625"/>
    </row>
    <row r="82" spans="1:11" ht="12.75" customHeight="1" thickBot="1" x14ac:dyDescent="0.25">
      <c r="A82" s="1455" t="s">
        <v>239</v>
      </c>
      <c r="B82" s="1456"/>
      <c r="C82" s="1683">
        <f>SUM(C77:C81)</f>
        <v>38530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13766</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13766</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c r="E95" s="1667"/>
      <c r="F95" s="1667"/>
      <c r="G95" s="1667"/>
      <c r="H95" s="1667"/>
      <c r="I95" s="1667"/>
      <c r="J95" s="1667"/>
      <c r="K95" s="1667"/>
    </row>
    <row r="96" spans="1:11" ht="12.75" customHeight="1" x14ac:dyDescent="0.2">
      <c r="A96" s="427" t="s">
        <v>386</v>
      </c>
      <c r="B96" s="429">
        <v>1920</v>
      </c>
      <c r="C96" s="1682">
        <v>3600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v>593</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55067</v>
      </c>
      <c r="D107" s="1623">
        <v>293</v>
      </c>
      <c r="E107" s="1623"/>
      <c r="F107" s="1623">
        <v>185</v>
      </c>
      <c r="G107" s="1623"/>
      <c r="H107" s="1623"/>
      <c r="I107" s="1623"/>
      <c r="J107" s="1624"/>
      <c r="K107" s="1623"/>
    </row>
    <row r="108" spans="1:12" ht="12.75" customHeight="1" thickBot="1" x14ac:dyDescent="0.25">
      <c r="A108" s="1455" t="s">
        <v>482</v>
      </c>
      <c r="B108" s="1457"/>
      <c r="C108" s="1683">
        <f>SUM(C95:C107)</f>
        <v>59260</v>
      </c>
      <c r="D108" s="1683">
        <f t="shared" ref="D108:K108" si="3">SUM(D95:D107)</f>
        <v>293</v>
      </c>
      <c r="E108" s="1683">
        <f t="shared" si="3"/>
        <v>0</v>
      </c>
      <c r="F108" s="1683">
        <f t="shared" si="3"/>
        <v>185</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564</v>
      </c>
      <c r="C109" s="1691">
        <f t="shared" ref="C109:K109" si="4">SUM(C12,C18,C40,C63,C67,C75,C82,C93,C108,)</f>
        <v>2142435</v>
      </c>
      <c r="D109" s="1691">
        <f t="shared" si="4"/>
        <v>345238</v>
      </c>
      <c r="E109" s="1691">
        <f t="shared" si="4"/>
        <v>66926</v>
      </c>
      <c r="F109" s="1691">
        <f t="shared" si="4"/>
        <v>148018</v>
      </c>
      <c r="G109" s="1691">
        <f t="shared" si="4"/>
        <v>141715</v>
      </c>
      <c r="H109" s="1691">
        <f t="shared" si="4"/>
        <v>0</v>
      </c>
      <c r="I109" s="1691">
        <f t="shared" si="4"/>
        <v>34523</v>
      </c>
      <c r="J109" s="1691">
        <f t="shared" si="4"/>
        <v>66198</v>
      </c>
      <c r="K109" s="1679">
        <f t="shared" si="4"/>
        <v>34523</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2321635</v>
      </c>
      <c r="D117" s="1636">
        <v>96854</v>
      </c>
      <c r="E117" s="1623"/>
      <c r="F117" s="1636"/>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2321635</v>
      </c>
      <c r="D122" s="1683">
        <f t="shared" si="5"/>
        <v>96854</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v>45991</v>
      </c>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45991</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v>12859</v>
      </c>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12859</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949</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f>4372+2042</f>
        <v>6414</v>
      </c>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147830</v>
      </c>
      <c r="G152" s="1624"/>
      <c r="H152" s="1625"/>
      <c r="I152" s="1625"/>
      <c r="J152" s="1625"/>
      <c r="K152" s="1625"/>
    </row>
    <row r="153" spans="1:11" ht="12.75" customHeight="1" x14ac:dyDescent="0.2">
      <c r="A153" s="427" t="s">
        <v>1048</v>
      </c>
      <c r="B153" s="478">
        <v>3510</v>
      </c>
      <c r="C153" s="1682"/>
      <c r="D153" s="1623"/>
      <c r="E153" s="1690"/>
      <c r="F153" s="1623">
        <v>46094</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193924</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1" t="s">
        <v>393</v>
      </c>
      <c r="B169" s="2322"/>
      <c r="C169" s="1708">
        <f t="shared" ref="C169:K169" si="6">SUM(C132,C141,C145,C146:C150,C155,C156:C167,C168)</f>
        <v>66213</v>
      </c>
      <c r="D169" s="1708">
        <f t="shared" si="6"/>
        <v>0</v>
      </c>
      <c r="E169" s="1708">
        <f t="shared" si="6"/>
        <v>0</v>
      </c>
      <c r="F169" s="1708">
        <f t="shared" si="6"/>
        <v>193924</v>
      </c>
      <c r="G169" s="1708">
        <f t="shared" si="6"/>
        <v>0</v>
      </c>
      <c r="H169" s="1708">
        <f t="shared" si="6"/>
        <v>50000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2387848</v>
      </c>
      <c r="D170" s="1691">
        <f t="shared" si="7"/>
        <v>96854</v>
      </c>
      <c r="E170" s="1691">
        <f t="shared" si="7"/>
        <v>0</v>
      </c>
      <c r="F170" s="1691">
        <f t="shared" si="7"/>
        <v>193924</v>
      </c>
      <c r="G170" s="1691">
        <f t="shared" si="7"/>
        <v>0</v>
      </c>
      <c r="H170" s="1691">
        <f t="shared" si="7"/>
        <v>50000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3" t="s">
        <v>1476</v>
      </c>
      <c r="B172" s="2324"/>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27" t="s">
        <v>1647</v>
      </c>
      <c r="B175" s="23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1646</v>
      </c>
      <c r="B176" s="2332"/>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29" t="s">
        <v>778</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1781</v>
      </c>
      <c r="B182" s="2326"/>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v>4889</v>
      </c>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4889</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55323</v>
      </c>
      <c r="D191" s="1625"/>
      <c r="E191" s="1690"/>
      <c r="F191" s="1625"/>
      <c r="G191" s="1714"/>
      <c r="H191" s="1625"/>
      <c r="I191" s="1625"/>
      <c r="J191" s="1625"/>
      <c r="K191" s="1625"/>
    </row>
    <row r="192" spans="1:11" ht="12.75" customHeight="1" x14ac:dyDescent="0.2">
      <c r="A192" s="427" t="s">
        <v>1038</v>
      </c>
      <c r="B192" s="429">
        <v>4215</v>
      </c>
      <c r="C192" s="1682">
        <v>11025</v>
      </c>
      <c r="D192" s="1625"/>
      <c r="E192" s="1690"/>
      <c r="F192" s="1625"/>
      <c r="G192" s="1714"/>
      <c r="H192" s="1625"/>
      <c r="I192" s="1625"/>
      <c r="J192" s="1625"/>
      <c r="K192" s="1625"/>
    </row>
    <row r="193" spans="1:11" ht="12.75" customHeight="1" x14ac:dyDescent="0.2">
      <c r="A193" s="427" t="s">
        <v>1050</v>
      </c>
      <c r="B193" s="429">
        <v>4220</v>
      </c>
      <c r="C193" s="1682"/>
      <c r="D193" s="1625"/>
      <c r="E193" s="1690"/>
      <c r="F193" s="1625"/>
      <c r="G193" s="1714"/>
      <c r="H193" s="1625"/>
      <c r="I193" s="1625"/>
      <c r="J193" s="1625"/>
      <c r="K193" s="1625"/>
    </row>
    <row r="194" spans="1:11" ht="12.75" customHeight="1" x14ac:dyDescent="0.2">
      <c r="A194" s="427" t="s">
        <v>1435</v>
      </c>
      <c r="B194" s="429">
        <v>4225</v>
      </c>
      <c r="C194" s="1682">
        <v>16456</v>
      </c>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82804</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f>25030+31170</f>
        <v>56200</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56200</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1303</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1303</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24595</v>
      </c>
      <c r="D213" s="1623"/>
      <c r="E213" s="1625"/>
      <c r="F213" s="1623"/>
      <c r="G213" s="1623"/>
      <c r="H213" s="1625"/>
      <c r="I213" s="1625"/>
      <c r="J213" s="1625"/>
      <c r="K213" s="1625"/>
    </row>
    <row r="214" spans="1:11" ht="12.75" customHeight="1" x14ac:dyDescent="0.2">
      <c r="A214" s="427" t="s">
        <v>1045</v>
      </c>
      <c r="B214" s="429">
        <v>4625</v>
      </c>
      <c r="C214" s="1682"/>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24595</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v>12752</v>
      </c>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12752</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8950</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c r="D263" s="1701"/>
      <c r="E263" s="1625"/>
      <c r="F263" s="1701"/>
      <c r="G263" s="1701"/>
      <c r="H263" s="1625"/>
      <c r="I263" s="1625"/>
      <c r="J263" s="1625"/>
      <c r="K263" s="1625"/>
    </row>
    <row r="264" spans="1:11" ht="12.75" customHeight="1" thickTop="1" thickBot="1" x14ac:dyDescent="0.25">
      <c r="A264" s="427" t="s">
        <v>372</v>
      </c>
      <c r="B264" s="429">
        <v>4992</v>
      </c>
      <c r="C264" s="1700">
        <v>9690</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201183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201183</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4731466</v>
      </c>
      <c r="D268" s="1691">
        <f t="shared" si="12"/>
        <v>442092</v>
      </c>
      <c r="E268" s="1691">
        <f t="shared" si="12"/>
        <v>66926</v>
      </c>
      <c r="F268" s="1691">
        <f t="shared" si="12"/>
        <v>341942</v>
      </c>
      <c r="G268" s="1691">
        <f t="shared" si="12"/>
        <v>141715</v>
      </c>
      <c r="H268" s="1691">
        <f t="shared" si="12"/>
        <v>50000</v>
      </c>
      <c r="I268" s="1691">
        <f t="shared" si="12"/>
        <v>34523</v>
      </c>
      <c r="J268" s="1691">
        <f t="shared" si="12"/>
        <v>66198</v>
      </c>
      <c r="K268" s="1679">
        <f t="shared" si="12"/>
        <v>34523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0" activePane="bottomLeft" state="frozen"/>
      <selection activeCell="D11" sqref="D11"/>
      <selection pane="bottomLeft" activeCell="D11" sqref="D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3"/>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39" t="s">
        <v>292</v>
      </c>
      <c r="B3" s="2340"/>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f>1227832+471090+4100+11925+26160-3</f>
        <v>1741104</v>
      </c>
      <c r="D5" s="1623">
        <f>128363+49469+2595+28523+11294+5709+650</f>
        <v>226603</v>
      </c>
      <c r="E5" s="1623">
        <f>3654+2112+30228+5195+2431+40</f>
        <v>43660</v>
      </c>
      <c r="F5" s="1623">
        <f>22931+11808+7631+5751+17444+176</f>
        <v>65741</v>
      </c>
      <c r="G5" s="1623"/>
      <c r="H5" s="1623"/>
      <c r="I5" s="1624"/>
      <c r="J5" s="1624"/>
      <c r="K5" s="1722">
        <f>SUM(C5:J5)</f>
        <v>2077108</v>
      </c>
      <c r="L5" s="1623">
        <v>2100441</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v>10228</v>
      </c>
      <c r="D7" s="1624">
        <f>482</f>
        <v>482</v>
      </c>
      <c r="E7" s="1624"/>
      <c r="F7" s="1624"/>
      <c r="G7" s="1624"/>
      <c r="H7" s="1624"/>
      <c r="I7" s="1624"/>
      <c r="J7" s="1624"/>
      <c r="K7" s="1722">
        <f t="shared" ref="K7:K32" si="0">SUM(C7:J7)</f>
        <v>10710</v>
      </c>
      <c r="L7" s="1623">
        <v>500</v>
      </c>
    </row>
    <row r="8" spans="1:14" x14ac:dyDescent="0.2">
      <c r="A8" s="1319" t="s">
        <v>163</v>
      </c>
      <c r="B8" s="503">
        <v>1200</v>
      </c>
      <c r="C8" s="1623">
        <f>207443+115827+137465+2143</f>
        <v>462878</v>
      </c>
      <c r="D8" s="1623">
        <f>21471+12310+6627+4849+2775+13952+359</f>
        <v>62343</v>
      </c>
      <c r="E8" s="1623">
        <f>703+15554+47276+673+252</f>
        <v>64458</v>
      </c>
      <c r="F8" s="1623">
        <f>439+317+269</f>
        <v>1025</v>
      </c>
      <c r="G8" s="1623"/>
      <c r="H8" s="1623"/>
      <c r="I8" s="1624"/>
      <c r="J8" s="1624"/>
      <c r="K8" s="1722">
        <f t="shared" si="0"/>
        <v>590704</v>
      </c>
      <c r="L8" s="1623">
        <v>614024</v>
      </c>
    </row>
    <row r="9" spans="1:14" x14ac:dyDescent="0.2">
      <c r="A9" s="1319" t="s">
        <v>714</v>
      </c>
      <c r="B9" s="503" t="s">
        <v>960</v>
      </c>
      <c r="C9" s="1624"/>
      <c r="D9" s="1624"/>
      <c r="E9" s="1624"/>
      <c r="F9" s="1624"/>
      <c r="G9" s="1624"/>
      <c r="H9" s="1624"/>
      <c r="I9" s="1624"/>
      <c r="J9" s="1624"/>
      <c r="K9" s="1722">
        <f t="shared" si="0"/>
        <v>0</v>
      </c>
      <c r="L9" s="1623"/>
    </row>
    <row r="10" spans="1:14" x14ac:dyDescent="0.2">
      <c r="A10" s="1319" t="s">
        <v>715</v>
      </c>
      <c r="B10" s="503">
        <v>1250</v>
      </c>
      <c r="C10" s="1623">
        <f>5245+16586+65+7152+27984+3264</f>
        <v>60296</v>
      </c>
      <c r="D10" s="1623">
        <f>14+115+337+1319+513+4293+54+427+4578</f>
        <v>11650</v>
      </c>
      <c r="E10" s="1623">
        <f>542+3889+732+4650+99</f>
        <v>9912</v>
      </c>
      <c r="F10" s="1623">
        <f>7388+200</f>
        <v>7588</v>
      </c>
      <c r="G10" s="1623">
        <f>19267</f>
        <v>19267</v>
      </c>
      <c r="H10" s="1623"/>
      <c r="I10" s="1624"/>
      <c r="J10" s="1624"/>
      <c r="K10" s="1722">
        <f t="shared" si="0"/>
        <v>108713</v>
      </c>
      <c r="L10" s="1623">
        <v>73908</v>
      </c>
    </row>
    <row r="11" spans="1:14" x14ac:dyDescent="0.2">
      <c r="A11" s="1319" t="s">
        <v>1120</v>
      </c>
      <c r="B11" s="503" t="s">
        <v>160</v>
      </c>
      <c r="C11" s="1624"/>
      <c r="D11" s="1624"/>
      <c r="E11" s="1624"/>
      <c r="F11" s="1624"/>
      <c r="G11" s="1624"/>
      <c r="H11" s="1624"/>
      <c r="I11" s="1624"/>
      <c r="J11" s="1624"/>
      <c r="K11" s="1722">
        <f t="shared" si="0"/>
        <v>0</v>
      </c>
      <c r="L11" s="1623"/>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f>143562+12637+698+240</f>
        <v>157137</v>
      </c>
      <c r="D13" s="1623">
        <f>15294+906+575+257+3451</f>
        <v>20483</v>
      </c>
      <c r="E13" s="1623">
        <f>240+197</f>
        <v>437</v>
      </c>
      <c r="F13" s="1623">
        <f>49+12022+545+2776</f>
        <v>15392</v>
      </c>
      <c r="G13" s="1623">
        <f>3891+4372</f>
        <v>8263</v>
      </c>
      <c r="H13" s="1623">
        <f>235</f>
        <v>235</v>
      </c>
      <c r="I13" s="1624"/>
      <c r="J13" s="1624"/>
      <c r="K13" s="1722">
        <f t="shared" si="0"/>
        <v>201947</v>
      </c>
      <c r="L13" s="1623">
        <v>213118</v>
      </c>
    </row>
    <row r="14" spans="1:14" x14ac:dyDescent="0.2">
      <c r="A14" s="1319" t="s">
        <v>955</v>
      </c>
      <c r="B14" s="503">
        <v>1500</v>
      </c>
      <c r="C14" s="1623">
        <f>43995+16550</f>
        <v>60545</v>
      </c>
      <c r="D14" s="1623">
        <f>1037+1115+57+234+251</f>
        <v>2694</v>
      </c>
      <c r="E14" s="1623">
        <f>12312+16326</f>
        <v>28638</v>
      </c>
      <c r="F14" s="1623">
        <f>8364+11216</f>
        <v>19580</v>
      </c>
      <c r="G14" s="1623">
        <f>13064</f>
        <v>13064</v>
      </c>
      <c r="H14" s="1623"/>
      <c r="I14" s="1624"/>
      <c r="J14" s="1624"/>
      <c r="K14" s="1722">
        <f t="shared" si="0"/>
        <v>124521</v>
      </c>
      <c r="L14" s="1623">
        <v>124607</v>
      </c>
    </row>
    <row r="15" spans="1:14" x14ac:dyDescent="0.2">
      <c r="A15" s="1319" t="s">
        <v>956</v>
      </c>
      <c r="B15" s="503">
        <v>1600</v>
      </c>
      <c r="C15" s="1623"/>
      <c r="D15" s="1623"/>
      <c r="E15" s="1623"/>
      <c r="F15" s="1623"/>
      <c r="G15" s="1623"/>
      <c r="H15" s="1623"/>
      <c r="I15" s="1624"/>
      <c r="J15" s="1624"/>
      <c r="K15" s="1722">
        <f t="shared" si="0"/>
        <v>0</v>
      </c>
      <c r="L15" s="1623"/>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v>10748</v>
      </c>
      <c r="D17" s="1624">
        <f>1144+258</f>
        <v>1402</v>
      </c>
      <c r="E17" s="1624">
        <f>75</f>
        <v>75</v>
      </c>
      <c r="F17" s="1624">
        <f>15+140</f>
        <v>155</v>
      </c>
      <c r="G17" s="1624"/>
      <c r="H17" s="1624"/>
      <c r="I17" s="1624"/>
      <c r="J17" s="1624"/>
      <c r="K17" s="1722">
        <f t="shared" si="0"/>
        <v>12380</v>
      </c>
      <c r="L17" s="1623">
        <v>12380</v>
      </c>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2502936</v>
      </c>
      <c r="D33" s="1724">
        <f t="shared" ref="D33:L33" si="1">SUM(D5:D32)</f>
        <v>325657</v>
      </c>
      <c r="E33" s="1724">
        <f t="shared" si="1"/>
        <v>147180</v>
      </c>
      <c r="F33" s="1724">
        <f t="shared" si="1"/>
        <v>109481</v>
      </c>
      <c r="G33" s="1724">
        <f t="shared" si="1"/>
        <v>40594</v>
      </c>
      <c r="H33" s="1724">
        <f t="shared" si="1"/>
        <v>235</v>
      </c>
      <c r="I33" s="1724">
        <f t="shared" si="1"/>
        <v>0</v>
      </c>
      <c r="J33" s="1724">
        <f t="shared" si="1"/>
        <v>0</v>
      </c>
      <c r="K33" s="1724">
        <f t="shared" si="1"/>
        <v>3126083</v>
      </c>
      <c r="L33" s="1724">
        <f t="shared" si="1"/>
        <v>3138978</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c r="F36" s="1636"/>
      <c r="G36" s="1636"/>
      <c r="H36" s="1636"/>
      <c r="I36" s="1624"/>
      <c r="J36" s="1624"/>
      <c r="K36" s="1722">
        <f t="shared" ref="K36:K41" si="2">SUM(C36:J36)</f>
        <v>0</v>
      </c>
      <c r="L36" s="1623"/>
    </row>
    <row r="37" spans="1:14" x14ac:dyDescent="0.2">
      <c r="A37" s="1319" t="s">
        <v>1081</v>
      </c>
      <c r="B37" s="503">
        <v>2120</v>
      </c>
      <c r="C37" s="1623">
        <f>65443+48829</f>
        <v>114272</v>
      </c>
      <c r="D37" s="1623">
        <f>6935+5172+1564+1167</f>
        <v>14838</v>
      </c>
      <c r="E37" s="1623">
        <f>501+133</f>
        <v>634</v>
      </c>
      <c r="F37" s="1623"/>
      <c r="G37" s="1623"/>
      <c r="H37" s="1623"/>
      <c r="I37" s="1624"/>
      <c r="J37" s="1624"/>
      <c r="K37" s="1722">
        <f t="shared" si="2"/>
        <v>129744</v>
      </c>
      <c r="L37" s="1623">
        <v>133943</v>
      </c>
    </row>
    <row r="38" spans="1:14" x14ac:dyDescent="0.2">
      <c r="A38" s="1319" t="s">
        <v>196</v>
      </c>
      <c r="B38" s="503">
        <v>2130</v>
      </c>
      <c r="C38" s="1623">
        <f>33272</f>
        <v>33272</v>
      </c>
      <c r="D38" s="1623">
        <f>1509+10200</f>
        <v>11709</v>
      </c>
      <c r="E38" s="1623"/>
      <c r="F38" s="1623">
        <f>2093</f>
        <v>2093</v>
      </c>
      <c r="G38" s="1623"/>
      <c r="H38" s="1623"/>
      <c r="I38" s="1624"/>
      <c r="J38" s="1624"/>
      <c r="K38" s="1722">
        <f t="shared" si="2"/>
        <v>47074</v>
      </c>
      <c r="L38" s="1623">
        <v>46783</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f>20013</f>
        <v>20013</v>
      </c>
      <c r="F40" s="1623"/>
      <c r="G40" s="1623"/>
      <c r="H40" s="1623"/>
      <c r="I40" s="1624"/>
      <c r="J40" s="1624"/>
      <c r="K40" s="1722">
        <f t="shared" si="2"/>
        <v>20013</v>
      </c>
      <c r="L40" s="1623">
        <v>20100</v>
      </c>
    </row>
    <row r="41" spans="1:14" x14ac:dyDescent="0.2">
      <c r="A41" s="1319" t="s">
        <v>1651</v>
      </c>
      <c r="B41" s="503">
        <v>2190</v>
      </c>
      <c r="C41" s="1623"/>
      <c r="D41" s="1623"/>
      <c r="E41" s="1623"/>
      <c r="F41" s="1623"/>
      <c r="G41" s="1623"/>
      <c r="H41" s="1623"/>
      <c r="I41" s="1624"/>
      <c r="J41" s="1624"/>
      <c r="K41" s="1722">
        <f t="shared" si="2"/>
        <v>0</v>
      </c>
      <c r="L41" s="1623"/>
    </row>
    <row r="42" spans="1:14" ht="12.75" customHeight="1" thickBot="1" x14ac:dyDescent="0.25">
      <c r="A42" s="1429" t="s">
        <v>554</v>
      </c>
      <c r="B42" s="1430" t="s">
        <v>709</v>
      </c>
      <c r="C42" s="1724">
        <f>SUM(C36:C41)</f>
        <v>147544</v>
      </c>
      <c r="D42" s="1724">
        <f t="shared" ref="D42:L42" si="3">SUM(D36:D41)</f>
        <v>26547</v>
      </c>
      <c r="E42" s="1724">
        <f t="shared" si="3"/>
        <v>20647</v>
      </c>
      <c r="F42" s="1724">
        <f t="shared" si="3"/>
        <v>2093</v>
      </c>
      <c r="G42" s="1724">
        <f t="shared" si="3"/>
        <v>0</v>
      </c>
      <c r="H42" s="1724">
        <f t="shared" si="3"/>
        <v>0</v>
      </c>
      <c r="I42" s="1724">
        <f t="shared" si="3"/>
        <v>0</v>
      </c>
      <c r="J42" s="1724">
        <f t="shared" si="3"/>
        <v>0</v>
      </c>
      <c r="K42" s="1724">
        <f t="shared" si="3"/>
        <v>196831</v>
      </c>
      <c r="L42" s="1724">
        <f t="shared" si="3"/>
        <v>200826</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c r="D44" s="1636"/>
      <c r="E44" s="1636">
        <f>555</f>
        <v>555</v>
      </c>
      <c r="F44" s="1636"/>
      <c r="G44" s="1636"/>
      <c r="H44" s="1636"/>
      <c r="I44" s="1624"/>
      <c r="J44" s="1624"/>
      <c r="K44" s="1728">
        <f>SUM(C44:J44)</f>
        <v>555</v>
      </c>
      <c r="L44" s="1636">
        <v>600</v>
      </c>
    </row>
    <row r="45" spans="1:14" x14ac:dyDescent="0.2">
      <c r="A45" s="1319" t="s">
        <v>808</v>
      </c>
      <c r="B45" s="503">
        <v>2220</v>
      </c>
      <c r="C45" s="1623"/>
      <c r="D45" s="1623"/>
      <c r="E45" s="1623"/>
      <c r="F45" s="1623">
        <v>64</v>
      </c>
      <c r="G45" s="1623"/>
      <c r="H45" s="1623"/>
      <c r="I45" s="1624"/>
      <c r="J45" s="1624"/>
      <c r="K45" s="1728">
        <f>SUM(C45:J45)</f>
        <v>64</v>
      </c>
      <c r="L45" s="1623">
        <v>75</v>
      </c>
    </row>
    <row r="46" spans="1:14" x14ac:dyDescent="0.2">
      <c r="A46" s="1319" t="s">
        <v>809</v>
      </c>
      <c r="B46" s="503">
        <v>2230</v>
      </c>
      <c r="C46" s="1623"/>
      <c r="D46" s="1623"/>
      <c r="E46" s="1623"/>
      <c r="F46" s="1623"/>
      <c r="G46" s="1623"/>
      <c r="H46" s="1623"/>
      <c r="I46" s="1624"/>
      <c r="J46" s="1624"/>
      <c r="K46" s="1728">
        <f>SUM(C46:J46)</f>
        <v>0</v>
      </c>
      <c r="L46" s="1623"/>
    </row>
    <row r="47" spans="1:14" ht="12.75" customHeight="1" thickBot="1" x14ac:dyDescent="0.25">
      <c r="A47" s="1429" t="s">
        <v>555</v>
      </c>
      <c r="B47" s="1430" t="s">
        <v>32</v>
      </c>
      <c r="C47" s="1724">
        <f>SUM(C44:C46)</f>
        <v>0</v>
      </c>
      <c r="D47" s="1724">
        <f t="shared" ref="D47:K47" si="4">SUM(D44:D46)</f>
        <v>0</v>
      </c>
      <c r="E47" s="1724">
        <f t="shared" si="4"/>
        <v>555</v>
      </c>
      <c r="F47" s="1724">
        <f t="shared" si="4"/>
        <v>64</v>
      </c>
      <c r="G47" s="1724">
        <f t="shared" si="4"/>
        <v>0</v>
      </c>
      <c r="H47" s="1724">
        <f t="shared" si="4"/>
        <v>0</v>
      </c>
      <c r="I47" s="1724">
        <f t="shared" si="4"/>
        <v>0</v>
      </c>
      <c r="J47" s="1724">
        <f t="shared" si="4"/>
        <v>0</v>
      </c>
      <c r="K47" s="1724">
        <f t="shared" si="4"/>
        <v>619</v>
      </c>
      <c r="L47" s="1724">
        <f>SUM(L44:L46)</f>
        <v>675</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f>1350</f>
        <v>1350</v>
      </c>
      <c r="D49" s="1636">
        <v>64</v>
      </c>
      <c r="E49" s="1636">
        <f>370+10307+5853+300+3169</f>
        <v>19999</v>
      </c>
      <c r="F49" s="1636">
        <f>4745</f>
        <v>4745</v>
      </c>
      <c r="G49" s="1636"/>
      <c r="H49" s="1636">
        <f>11977+3045</f>
        <v>15022</v>
      </c>
      <c r="I49" s="1624"/>
      <c r="J49" s="1624"/>
      <c r="K49" s="1728">
        <f>SUM(C49:J49)</f>
        <v>41180</v>
      </c>
      <c r="L49" s="1636">
        <v>38818</v>
      </c>
    </row>
    <row r="50" spans="1:14" x14ac:dyDescent="0.2">
      <c r="A50" s="1319" t="s">
        <v>811</v>
      </c>
      <c r="B50" s="503">
        <v>2320</v>
      </c>
      <c r="C50" s="1623">
        <v>86100</v>
      </c>
      <c r="D50" s="1623">
        <f>9064+2044</f>
        <v>11108</v>
      </c>
      <c r="E50" s="1623">
        <v>1291</v>
      </c>
      <c r="F50" s="1623">
        <v>23</v>
      </c>
      <c r="G50" s="1623"/>
      <c r="H50" s="1623">
        <v>1315</v>
      </c>
      <c r="I50" s="1624"/>
      <c r="J50" s="1624"/>
      <c r="K50" s="1728">
        <f>SUM(C50:J50)</f>
        <v>99837</v>
      </c>
      <c r="L50" s="1623">
        <v>97925</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87450</v>
      </c>
      <c r="D53" s="1724">
        <f t="shared" ref="D53:L53" si="5">SUM(D49:D52)</f>
        <v>11172</v>
      </c>
      <c r="E53" s="1724">
        <f t="shared" si="5"/>
        <v>21290</v>
      </c>
      <c r="F53" s="1724">
        <f t="shared" si="5"/>
        <v>4768</v>
      </c>
      <c r="G53" s="1724">
        <f t="shared" si="5"/>
        <v>0</v>
      </c>
      <c r="H53" s="1724">
        <f t="shared" si="5"/>
        <v>16337</v>
      </c>
      <c r="I53" s="1724">
        <f t="shared" si="5"/>
        <v>0</v>
      </c>
      <c r="J53" s="1724">
        <f t="shared" si="5"/>
        <v>0</v>
      </c>
      <c r="K53" s="1724">
        <f t="shared" si="5"/>
        <v>141017</v>
      </c>
      <c r="L53" s="1724">
        <f t="shared" si="5"/>
        <v>136743</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f>72350+23200</f>
        <v>95550</v>
      </c>
      <c r="D55" s="1636">
        <f>7617+2442+1713+551</f>
        <v>12323</v>
      </c>
      <c r="E55" s="1636">
        <f>430+345+199+65</f>
        <v>1039</v>
      </c>
      <c r="F55" s="1636">
        <v>100</v>
      </c>
      <c r="G55" s="1636"/>
      <c r="H55" s="1636"/>
      <c r="I55" s="1624"/>
      <c r="J55" s="1624"/>
      <c r="K55" s="1728">
        <f>SUM(C55:J55)</f>
        <v>109012</v>
      </c>
      <c r="L55" s="1636">
        <v>109825</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95550</v>
      </c>
      <c r="D57" s="1729">
        <f t="shared" ref="D57:K57" si="6">SUM(D55:D56)</f>
        <v>12323</v>
      </c>
      <c r="E57" s="1729">
        <f t="shared" si="6"/>
        <v>1039</v>
      </c>
      <c r="F57" s="1729">
        <f t="shared" si="6"/>
        <v>100</v>
      </c>
      <c r="G57" s="1729">
        <f t="shared" si="6"/>
        <v>0</v>
      </c>
      <c r="H57" s="1729">
        <f t="shared" si="6"/>
        <v>0</v>
      </c>
      <c r="I57" s="1729">
        <f t="shared" si="6"/>
        <v>0</v>
      </c>
      <c r="J57" s="1729">
        <f t="shared" si="6"/>
        <v>0</v>
      </c>
      <c r="K57" s="1729">
        <f t="shared" si="6"/>
        <v>109012</v>
      </c>
      <c r="L57" s="1724">
        <f>SUM(L55:L56)</f>
        <v>109825</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f>47500</f>
        <v>47500</v>
      </c>
      <c r="D60" s="1623">
        <f>2238+2125</f>
        <v>4363</v>
      </c>
      <c r="E60" s="1623">
        <f>18697+33</f>
        <v>18730</v>
      </c>
      <c r="F60" s="1623">
        <v>251</v>
      </c>
      <c r="G60" s="1623"/>
      <c r="H60" s="1623"/>
      <c r="I60" s="1624"/>
      <c r="J60" s="1624"/>
      <c r="K60" s="1728">
        <f t="shared" si="7"/>
        <v>70844</v>
      </c>
      <c r="L60" s="1623">
        <v>64258</v>
      </c>
      <c r="M60" s="501"/>
      <c r="N60" s="501"/>
    </row>
    <row r="61" spans="1:14" s="321" customFormat="1" x14ac:dyDescent="0.2">
      <c r="A61" s="1319" t="s">
        <v>195</v>
      </c>
      <c r="B61" s="503">
        <v>2540</v>
      </c>
      <c r="C61" s="1623"/>
      <c r="D61" s="1623"/>
      <c r="E61" s="1623">
        <v>1993</v>
      </c>
      <c r="F61" s="1623"/>
      <c r="G61" s="1623"/>
      <c r="H61" s="1623"/>
      <c r="I61" s="1624"/>
      <c r="J61" s="1624"/>
      <c r="K61" s="1728">
        <f t="shared" si="7"/>
        <v>1993</v>
      </c>
      <c r="L61" s="1623">
        <v>1993</v>
      </c>
      <c r="M61" s="501"/>
      <c r="N61" s="501"/>
    </row>
    <row r="62" spans="1:14" s="321" customFormat="1" x14ac:dyDescent="0.2">
      <c r="A62" s="1319" t="s">
        <v>945</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f>74168+26290+144+78</f>
        <v>100680</v>
      </c>
      <c r="D63" s="1623">
        <f>3463+1229+9300</f>
        <v>13992</v>
      </c>
      <c r="E63" s="1623">
        <v>135</v>
      </c>
      <c r="F63" s="1623">
        <f>56170+12078</f>
        <v>68248</v>
      </c>
      <c r="G63" s="1623"/>
      <c r="H63" s="1623"/>
      <c r="I63" s="1624"/>
      <c r="J63" s="1624"/>
      <c r="K63" s="1728">
        <f t="shared" si="7"/>
        <v>183055</v>
      </c>
      <c r="L63" s="1623">
        <v>181927</v>
      </c>
    </row>
    <row r="64" spans="1:14" s="501" customFormat="1" x14ac:dyDescent="0.2">
      <c r="A64" s="1324" t="s">
        <v>101</v>
      </c>
      <c r="B64" s="513">
        <v>2570</v>
      </c>
      <c r="C64" s="1636">
        <f>27309+26489</f>
        <v>53798</v>
      </c>
      <c r="D64" s="1636">
        <f>1248+621</f>
        <v>1869</v>
      </c>
      <c r="E64" s="1636"/>
      <c r="F64" s="1636"/>
      <c r="G64" s="1636"/>
      <c r="H64" s="1636"/>
      <c r="I64" s="1624"/>
      <c r="J64" s="1624"/>
      <c r="K64" s="1728">
        <f t="shared" si="7"/>
        <v>55667</v>
      </c>
      <c r="L64" s="1636">
        <v>56048</v>
      </c>
    </row>
    <row r="65" spans="1:14" s="321" customFormat="1" ht="12.75" customHeight="1" thickBot="1" x14ac:dyDescent="0.25">
      <c r="A65" s="1429" t="s">
        <v>712</v>
      </c>
      <c r="B65" s="1430" t="s">
        <v>35</v>
      </c>
      <c r="C65" s="1724">
        <f>SUM(C59:C64)</f>
        <v>201978</v>
      </c>
      <c r="D65" s="1724">
        <f t="shared" ref="D65:L65" si="8">SUM(D59:D64)</f>
        <v>20224</v>
      </c>
      <c r="E65" s="1724">
        <f t="shared" si="8"/>
        <v>20858</v>
      </c>
      <c r="F65" s="1724">
        <f t="shared" si="8"/>
        <v>68499</v>
      </c>
      <c r="G65" s="1724">
        <f t="shared" si="8"/>
        <v>0</v>
      </c>
      <c r="H65" s="1724">
        <f t="shared" si="8"/>
        <v>0</v>
      </c>
      <c r="I65" s="1724">
        <f t="shared" si="8"/>
        <v>0</v>
      </c>
      <c r="J65" s="1724">
        <f t="shared" si="8"/>
        <v>0</v>
      </c>
      <c r="K65" s="1724">
        <f t="shared" si="8"/>
        <v>311559</v>
      </c>
      <c r="L65" s="1724">
        <f t="shared" si="8"/>
        <v>304226</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c r="G68" s="1623"/>
      <c r="H68" s="1623"/>
      <c r="I68" s="1624"/>
      <c r="J68" s="1624"/>
      <c r="K68" s="1728">
        <f>SUM(C68:J68)</f>
        <v>0</v>
      </c>
      <c r="L68" s="1623"/>
      <c r="M68" s="501"/>
      <c r="N68" s="501"/>
    </row>
    <row r="69" spans="1:14" s="321" customFormat="1" x14ac:dyDescent="0.2">
      <c r="A69" s="1319" t="s">
        <v>1052</v>
      </c>
      <c r="B69" s="503">
        <v>2630</v>
      </c>
      <c r="C69" s="1623"/>
      <c r="D69" s="1623"/>
      <c r="E69" s="1623">
        <f>25663+13940+2688+1250+18048+27879</f>
        <v>89468</v>
      </c>
      <c r="F69" s="1623">
        <f>736+5586+138</f>
        <v>6460</v>
      </c>
      <c r="G69" s="1623">
        <f>28674</f>
        <v>28674</v>
      </c>
      <c r="H69" s="1623"/>
      <c r="I69" s="1624"/>
      <c r="J69" s="1624"/>
      <c r="K69" s="1728">
        <f>SUM(C69:J69)</f>
        <v>124602</v>
      </c>
      <c r="L69" s="1623">
        <v>90219</v>
      </c>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89468</v>
      </c>
      <c r="F72" s="1724">
        <f t="shared" si="9"/>
        <v>6460</v>
      </c>
      <c r="G72" s="1724">
        <f t="shared" si="9"/>
        <v>28674</v>
      </c>
      <c r="H72" s="1724">
        <f t="shared" si="9"/>
        <v>0</v>
      </c>
      <c r="I72" s="1724">
        <f t="shared" si="9"/>
        <v>0</v>
      </c>
      <c r="J72" s="1724">
        <f t="shared" si="9"/>
        <v>0</v>
      </c>
      <c r="K72" s="1724">
        <f t="shared" si="9"/>
        <v>124602</v>
      </c>
      <c r="L72" s="1724">
        <f>SUM(L67:L71)</f>
        <v>90219</v>
      </c>
      <c r="M72" s="501"/>
      <c r="N72" s="501"/>
    </row>
    <row r="73" spans="1:14" s="321" customFormat="1" ht="14.25" thickTop="1" thickBot="1" x14ac:dyDescent="0.25">
      <c r="A73" s="1325" t="s">
        <v>971</v>
      </c>
      <c r="B73" s="515" t="s">
        <v>568</v>
      </c>
      <c r="C73" s="1699"/>
      <c r="D73" s="1699"/>
      <c r="E73" s="1699"/>
      <c r="F73" s="1699"/>
      <c r="G73" s="1699"/>
      <c r="H73" s="1699"/>
      <c r="I73" s="1677"/>
      <c r="J73" s="1677"/>
      <c r="K73" s="1724">
        <f>SUM(C73:J73)</f>
        <v>0</v>
      </c>
      <c r="L73" s="1701"/>
      <c r="M73" s="501"/>
      <c r="N73" s="501"/>
    </row>
    <row r="74" spans="1:14" ht="12.75" customHeight="1" thickTop="1" thickBot="1" x14ac:dyDescent="0.25">
      <c r="A74" s="1429" t="s">
        <v>804</v>
      </c>
      <c r="B74" s="1433">
        <v>2000</v>
      </c>
      <c r="C74" s="1731">
        <f>SUM(C42,C47,C53,C57,C65,C72,C73)</f>
        <v>532522</v>
      </c>
      <c r="D74" s="1731">
        <f t="shared" ref="D74:K74" si="10">SUM(D42,D47,D53,D57,D65,D72,D73)</f>
        <v>70266</v>
      </c>
      <c r="E74" s="1731">
        <f t="shared" si="10"/>
        <v>153857</v>
      </c>
      <c r="F74" s="1731">
        <f t="shared" si="10"/>
        <v>81984</v>
      </c>
      <c r="G74" s="1731">
        <f t="shared" si="10"/>
        <v>28674</v>
      </c>
      <c r="H74" s="1731">
        <f t="shared" si="10"/>
        <v>16337</v>
      </c>
      <c r="I74" s="1731">
        <f t="shared" si="10"/>
        <v>0</v>
      </c>
      <c r="J74" s="1731">
        <f t="shared" si="10"/>
        <v>0</v>
      </c>
      <c r="K74" s="1731">
        <f t="shared" si="10"/>
        <v>883640</v>
      </c>
      <c r="L74" s="1731">
        <f>SUM(L42,L47,L53,L57,L65,L72,L73)</f>
        <v>842514</v>
      </c>
    </row>
    <row r="75" spans="1:14" s="254" customFormat="1" ht="15.75" customHeight="1" thickTop="1" thickBot="1" x14ac:dyDescent="0.25">
      <c r="A75" s="1393" t="s">
        <v>47</v>
      </c>
      <c r="B75" s="1394" t="s">
        <v>569</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row>
    <row r="79" spans="1:14" x14ac:dyDescent="0.2">
      <c r="A79" s="1319" t="s">
        <v>299</v>
      </c>
      <c r="B79" s="503">
        <v>4120</v>
      </c>
      <c r="C79" s="1723"/>
      <c r="D79" s="1723"/>
      <c r="E79" s="1623"/>
      <c r="F79" s="1723"/>
      <c r="G79" s="1723"/>
      <c r="H79" s="1623"/>
      <c r="I79" s="1632"/>
      <c r="J79" s="1632"/>
      <c r="K79" s="1722">
        <f t="shared" si="11"/>
        <v>0</v>
      </c>
      <c r="L79" s="1623"/>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c r="I83" s="1632"/>
      <c r="J83" s="1632"/>
      <c r="K83" s="1722">
        <f t="shared" si="11"/>
        <v>0</v>
      </c>
      <c r="L83" s="1623"/>
    </row>
    <row r="84" spans="1:12" ht="13.5" thickBot="1" x14ac:dyDescent="0.25">
      <c r="A84" s="1429" t="s">
        <v>1469</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692</v>
      </c>
      <c r="B86" s="518">
        <v>4220</v>
      </c>
      <c r="C86" s="1723"/>
      <c r="D86" s="1723"/>
      <c r="E86" s="1734"/>
      <c r="F86" s="1723"/>
      <c r="G86" s="1723"/>
      <c r="H86" s="1624">
        <f>14194+88285</f>
        <v>102479</v>
      </c>
      <c r="I86" s="1632"/>
      <c r="J86" s="1632"/>
      <c r="K86" s="1731">
        <f t="shared" ref="K86:K98" si="12">H86</f>
        <v>102479</v>
      </c>
      <c r="L86" s="1676">
        <v>103000</v>
      </c>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f>7770</f>
        <v>7770</v>
      </c>
      <c r="I88" s="1632"/>
      <c r="J88" s="1632"/>
      <c r="K88" s="1731">
        <f t="shared" si="12"/>
        <v>7770</v>
      </c>
      <c r="L88" s="1676"/>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110249</v>
      </c>
      <c r="I92" s="1632"/>
      <c r="J92" s="1632"/>
      <c r="K92" s="1731">
        <f t="shared" si="12"/>
        <v>110249</v>
      </c>
      <c r="L92" s="1724">
        <f>SUM(L85:L91)</f>
        <v>103000</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0</v>
      </c>
      <c r="F102" s="1723"/>
      <c r="G102" s="1723"/>
      <c r="H102" s="1731">
        <f>SUM(H84,H92,H100,H101)</f>
        <v>110249</v>
      </c>
      <c r="I102" s="1632"/>
      <c r="J102" s="1632"/>
      <c r="K102" s="1731">
        <f>SUM(K84,K92,K100,K101)</f>
        <v>110249</v>
      </c>
      <c r="L102" s="1731">
        <f>SUM(L84,L92,L100,L101)</f>
        <v>103000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3035458</v>
      </c>
      <c r="D114" s="1724">
        <f t="shared" ref="D114:K114" si="13">SUM(D33,D74,D75,D102,D112,D113)</f>
        <v>395923</v>
      </c>
      <c r="E114" s="1724">
        <f t="shared" si="13"/>
        <v>301037</v>
      </c>
      <c r="F114" s="1724">
        <f t="shared" si="13"/>
        <v>191465</v>
      </c>
      <c r="G114" s="1724">
        <f t="shared" si="13"/>
        <v>69268</v>
      </c>
      <c r="H114" s="1724">
        <f>SUM(H33,H74,H75,H102,H112,H113)</f>
        <v>126821</v>
      </c>
      <c r="I114" s="1724">
        <f t="shared" si="13"/>
        <v>0</v>
      </c>
      <c r="J114" s="1724">
        <f t="shared" si="13"/>
        <v>0</v>
      </c>
      <c r="K114" s="1724">
        <f t="shared" si="13"/>
        <v>4119972</v>
      </c>
      <c r="L114" s="1724">
        <f>SUM(L33,L74,L75,L102,L112,L113)</f>
        <v>4084492</v>
      </c>
    </row>
    <row r="115" spans="1:14" ht="13.5" thickTop="1" x14ac:dyDescent="0.2">
      <c r="A115" s="2358" t="s">
        <v>987</v>
      </c>
      <c r="B115" s="2359"/>
      <c r="C115" s="1725"/>
      <c r="D115" s="1725"/>
      <c r="E115" s="1725"/>
      <c r="F115" s="1725"/>
      <c r="G115" s="1725"/>
      <c r="H115" s="1725"/>
      <c r="I115" s="1725"/>
      <c r="J115" s="1725"/>
      <c r="K115" s="1739">
        <f>'Revenues 9-14'!C268-'Expenditures 15-22'!K114</f>
        <v>611494</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291</v>
      </c>
      <c r="B117" s="2337"/>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c r="D120" s="1623"/>
      <c r="E120" s="1623"/>
      <c r="F120" s="1623"/>
      <c r="G120" s="1623"/>
      <c r="H120" s="1623"/>
      <c r="I120" s="1624"/>
      <c r="J120" s="1624"/>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f>74358+62459</f>
        <v>136817</v>
      </c>
      <c r="D124" s="1623">
        <f>3504+1987+500-59</f>
        <v>5932</v>
      </c>
      <c r="E124" s="1623">
        <f>31883+78108+25931+2964+2207+3963+2768+2714-25997</f>
        <v>124541</v>
      </c>
      <c r="F124" s="1623">
        <f>17883+17118+16271+22060+24846+17260</f>
        <v>115438</v>
      </c>
      <c r="G124" s="1623">
        <f>35690+25997</f>
        <v>61687</v>
      </c>
      <c r="H124" s="1623"/>
      <c r="I124" s="1624"/>
      <c r="J124" s="1624"/>
      <c r="K124" s="1724">
        <f>SUM(C124:J124)</f>
        <v>444415</v>
      </c>
      <c r="L124" s="1623">
        <v>407603</v>
      </c>
    </row>
    <row r="125" spans="1:14" ht="14.25" thickTop="1" thickBot="1" x14ac:dyDescent="0.25">
      <c r="A125" s="1319" t="s">
        <v>945</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712</v>
      </c>
      <c r="B127" s="1430" t="s">
        <v>35</v>
      </c>
      <c r="C127" s="1724">
        <f>SUM(C122:C126)</f>
        <v>136817</v>
      </c>
      <c r="D127" s="1724">
        <f t="shared" ref="D127:L127" si="14">SUM(D122:D126)</f>
        <v>5932</v>
      </c>
      <c r="E127" s="1724">
        <f t="shared" si="14"/>
        <v>124541</v>
      </c>
      <c r="F127" s="1724">
        <f t="shared" si="14"/>
        <v>115438</v>
      </c>
      <c r="G127" s="1724">
        <f t="shared" si="14"/>
        <v>61687</v>
      </c>
      <c r="H127" s="1724">
        <f t="shared" si="14"/>
        <v>0</v>
      </c>
      <c r="I127" s="1724">
        <f t="shared" si="14"/>
        <v>0</v>
      </c>
      <c r="J127" s="1724">
        <f t="shared" si="14"/>
        <v>0</v>
      </c>
      <c r="K127" s="1724">
        <f t="shared" si="14"/>
        <v>444415</v>
      </c>
      <c r="L127" s="1724">
        <f t="shared" si="14"/>
        <v>407603</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row>
    <row r="129" spans="1:14" ht="12.75" customHeight="1" thickBot="1" x14ac:dyDescent="0.25">
      <c r="A129" s="1438" t="s">
        <v>804</v>
      </c>
      <c r="B129" s="1439" t="s">
        <v>563</v>
      </c>
      <c r="C129" s="1731">
        <f>SUM(C120,C127,C128)</f>
        <v>136817</v>
      </c>
      <c r="D129" s="1731">
        <f t="shared" ref="D129:L129" si="15">SUM(D120,D127,D128)</f>
        <v>5932</v>
      </c>
      <c r="E129" s="1731">
        <f t="shared" si="15"/>
        <v>124541</v>
      </c>
      <c r="F129" s="1731">
        <f t="shared" si="15"/>
        <v>115438</v>
      </c>
      <c r="G129" s="1731">
        <f t="shared" si="15"/>
        <v>61687</v>
      </c>
      <c r="H129" s="1731">
        <f t="shared" si="15"/>
        <v>0</v>
      </c>
      <c r="I129" s="1731">
        <f t="shared" si="15"/>
        <v>0</v>
      </c>
      <c r="J129" s="1731">
        <f t="shared" si="15"/>
        <v>0</v>
      </c>
      <c r="K129" s="1731">
        <f t="shared" si="15"/>
        <v>444415</v>
      </c>
      <c r="L129" s="1731">
        <f t="shared" si="15"/>
        <v>407603</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c r="F133" s="1625"/>
      <c r="G133" s="1625"/>
      <c r="H133" s="1735"/>
      <c r="I133" s="1625"/>
      <c r="J133" s="1625"/>
      <c r="K133" s="1747">
        <f>SUM(E133,H133)</f>
        <v>0</v>
      </c>
      <c r="L133" s="1735"/>
      <c r="M133" s="201"/>
      <c r="N133" s="201"/>
    </row>
    <row r="134" spans="1:14" x14ac:dyDescent="0.2">
      <c r="A134" s="1319" t="s">
        <v>299</v>
      </c>
      <c r="B134" s="503">
        <v>4120</v>
      </c>
      <c r="C134" s="1723"/>
      <c r="D134" s="1723"/>
      <c r="E134" s="1633"/>
      <c r="F134" s="1723"/>
      <c r="G134" s="1723"/>
      <c r="H134" s="1636"/>
      <c r="I134" s="1632"/>
      <c r="J134" s="1723"/>
      <c r="K134" s="1728">
        <f>SUM(E134,H134)</f>
        <v>0</v>
      </c>
      <c r="L134" s="1636"/>
    </row>
    <row r="135" spans="1:14" x14ac:dyDescent="0.2">
      <c r="A135" s="1319" t="s">
        <v>690</v>
      </c>
      <c r="B135" s="503">
        <v>4140</v>
      </c>
      <c r="C135" s="1723"/>
      <c r="D135" s="1723"/>
      <c r="E135" s="1624"/>
      <c r="F135" s="1723"/>
      <c r="G135" s="1723"/>
      <c r="H135" s="1623"/>
      <c r="I135" s="1632"/>
      <c r="J135" s="1723"/>
      <c r="K135" s="1728">
        <f>SUM(E135,H135)</f>
        <v>0</v>
      </c>
      <c r="L135" s="1623"/>
    </row>
    <row r="136" spans="1:14" x14ac:dyDescent="0.2">
      <c r="A136" s="1323" t="s">
        <v>691</v>
      </c>
      <c r="B136" s="512">
        <v>4190</v>
      </c>
      <c r="C136" s="1723"/>
      <c r="D136" s="1723"/>
      <c r="E136" s="1624"/>
      <c r="F136" s="1723"/>
      <c r="G136" s="1723"/>
      <c r="H136" s="1623"/>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1160</v>
      </c>
      <c r="B144" s="512" t="s">
        <v>611</v>
      </c>
      <c r="C144" s="1723"/>
      <c r="D144" s="1723"/>
      <c r="E144" s="1723"/>
      <c r="F144" s="1723"/>
      <c r="G144" s="1723"/>
      <c r="H144" s="1623"/>
      <c r="I144" s="1625"/>
      <c r="J144" s="1723"/>
      <c r="K144" s="1728">
        <f>SUM(H144)</f>
        <v>0</v>
      </c>
      <c r="L144" s="1623"/>
    </row>
    <row r="145" spans="1:14" x14ac:dyDescent="0.2">
      <c r="A145" s="1319" t="s">
        <v>89</v>
      </c>
      <c r="B145" s="503" t="s">
        <v>583</v>
      </c>
      <c r="C145" s="1723"/>
      <c r="D145" s="1723"/>
      <c r="E145" s="1723"/>
      <c r="F145" s="1723"/>
      <c r="G145" s="1723"/>
      <c r="H145" s="1623"/>
      <c r="I145" s="1625"/>
      <c r="J145" s="1723"/>
      <c r="K145" s="1728">
        <f>SUM(H145)</f>
        <v>0</v>
      </c>
      <c r="L145" s="1623"/>
    </row>
    <row r="146" spans="1:14" ht="12.75" customHeight="1" x14ac:dyDescent="0.2">
      <c r="A146" s="1319" t="s">
        <v>613</v>
      </c>
      <c r="B146" s="503" t="s">
        <v>612</v>
      </c>
      <c r="C146" s="1723"/>
      <c r="D146" s="1723"/>
      <c r="E146" s="1723"/>
      <c r="F146" s="1723"/>
      <c r="G146" s="1723"/>
      <c r="H146" s="1623"/>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48" t="s">
        <v>614</v>
      </c>
      <c r="B151" s="2330"/>
      <c r="C151" s="1724">
        <f>SUM(C129,C130,C139,C149,C150)</f>
        <v>136817</v>
      </c>
      <c r="D151" s="1724">
        <f t="shared" ref="D151:K151" si="16">SUM(D129,D130,D139,D149,D150)</f>
        <v>5932</v>
      </c>
      <c r="E151" s="1724">
        <f t="shared" si="16"/>
        <v>124541</v>
      </c>
      <c r="F151" s="1724">
        <f t="shared" si="16"/>
        <v>115438</v>
      </c>
      <c r="G151" s="1724">
        <f t="shared" si="16"/>
        <v>61687</v>
      </c>
      <c r="H151" s="1724">
        <f t="shared" si="16"/>
        <v>0</v>
      </c>
      <c r="I151" s="1724">
        <f t="shared" si="16"/>
        <v>0</v>
      </c>
      <c r="J151" s="1724">
        <f t="shared" si="16"/>
        <v>0</v>
      </c>
      <c r="K151" s="1724">
        <f t="shared" si="16"/>
        <v>444415</v>
      </c>
      <c r="L151" s="1724">
        <f>SUM(L129,L130,L139,L149,L150)</f>
        <v>407603</v>
      </c>
    </row>
    <row r="152" spans="1:14" ht="12.75" customHeight="1" thickTop="1" x14ac:dyDescent="0.2">
      <c r="A152" s="2351" t="s">
        <v>1168</v>
      </c>
      <c r="B152" s="2352"/>
      <c r="C152" s="1725"/>
      <c r="D152" s="1725"/>
      <c r="E152" s="1725"/>
      <c r="F152" s="1725"/>
      <c r="G152" s="1725"/>
      <c r="H152" s="1725"/>
      <c r="I152" s="1725"/>
      <c r="J152" s="1723"/>
      <c r="K152" s="1739">
        <f>'Revenues 9-14'!D268-'Expenditures 15-22'!K151</f>
        <v>-2323</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615</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1160</v>
      </c>
      <c r="B165" s="503" t="s">
        <v>611</v>
      </c>
      <c r="C165" s="1723"/>
      <c r="D165" s="1723"/>
      <c r="E165" s="1723"/>
      <c r="F165" s="1723"/>
      <c r="G165" s="1723"/>
      <c r="H165" s="1623"/>
      <c r="I165" s="1723"/>
      <c r="J165" s="1723"/>
      <c r="K165" s="1722">
        <f>SUM(C165:J165)</f>
        <v>0</v>
      </c>
      <c r="L165" s="1623"/>
    </row>
    <row r="166" spans="1:14" x14ac:dyDescent="0.2">
      <c r="A166" s="1319" t="s">
        <v>89</v>
      </c>
      <c r="B166" s="512" t="s">
        <v>583</v>
      </c>
      <c r="C166" s="1723"/>
      <c r="D166" s="1723"/>
      <c r="E166" s="1723"/>
      <c r="F166" s="1723"/>
      <c r="G166" s="1723"/>
      <c r="H166" s="1623"/>
      <c r="I166" s="1723"/>
      <c r="J166" s="1723"/>
      <c r="K166" s="1722">
        <f>SUM(C166:J166)</f>
        <v>0</v>
      </c>
      <c r="L166" s="1623"/>
    </row>
    <row r="167" spans="1:14" ht="12.75" customHeight="1" x14ac:dyDescent="0.2">
      <c r="A167" s="1319" t="s">
        <v>613</v>
      </c>
      <c r="B167" s="503" t="s">
        <v>612</v>
      </c>
      <c r="C167" s="1723"/>
      <c r="D167" s="1723"/>
      <c r="E167" s="1723"/>
      <c r="F167" s="1723"/>
      <c r="G167" s="1723"/>
      <c r="H167" s="1623"/>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6515</v>
      </c>
      <c r="I169" s="1723"/>
      <c r="J169" s="1723"/>
      <c r="K169" s="1722">
        <f>SUM(C169:H169)</f>
        <v>6515</v>
      </c>
      <c r="L169" s="1745">
        <v>6515</v>
      </c>
    </row>
    <row r="170" spans="1:14" ht="33.75" customHeight="1" x14ac:dyDescent="0.2">
      <c r="A170" s="543" t="s">
        <v>1652</v>
      </c>
      <c r="B170" s="545" t="s">
        <v>31</v>
      </c>
      <c r="C170" s="1723"/>
      <c r="D170" s="1723"/>
      <c r="E170" s="1723"/>
      <c r="F170" s="1723"/>
      <c r="G170" s="1723"/>
      <c r="H170" s="1696">
        <v>60300</v>
      </c>
      <c r="I170" s="1723"/>
      <c r="J170" s="1723"/>
      <c r="K170" s="1722">
        <f>SUM(C170:J170)</f>
        <v>60300</v>
      </c>
      <c r="L170" s="1696">
        <v>60300</v>
      </c>
    </row>
    <row r="171" spans="1:14" ht="15.75" customHeight="1" x14ac:dyDescent="0.2">
      <c r="A171" s="507" t="s">
        <v>759</v>
      </c>
      <c r="B171" s="546" t="s">
        <v>84</v>
      </c>
      <c r="C171" s="1723"/>
      <c r="D171" s="1723"/>
      <c r="E171" s="1623"/>
      <c r="F171" s="1723"/>
      <c r="G171" s="1723"/>
      <c r="H171" s="1696"/>
      <c r="I171" s="1632"/>
      <c r="J171" s="1723"/>
      <c r="K171" s="1722">
        <f>SUM(C171:J171)</f>
        <v>0</v>
      </c>
      <c r="L171" s="1696"/>
    </row>
    <row r="172" spans="1:14" ht="12.75" customHeight="1" thickBot="1" x14ac:dyDescent="0.25">
      <c r="A172" s="1429" t="s">
        <v>631</v>
      </c>
      <c r="B172" s="1430" t="s">
        <v>487</v>
      </c>
      <c r="C172" s="1723"/>
      <c r="D172" s="1723"/>
      <c r="E172" s="1731">
        <f>SUM(E168,E169,E170,E171)</f>
        <v>0</v>
      </c>
      <c r="F172" s="1723"/>
      <c r="G172" s="1723"/>
      <c r="H172" s="1731">
        <f>SUM(H168,H169,H170,H171)</f>
        <v>66815</v>
      </c>
      <c r="I172" s="1734"/>
      <c r="J172" s="1723"/>
      <c r="K172" s="1731">
        <f>SUM(K168,K169,K170,K171)</f>
        <v>66815</v>
      </c>
      <c r="L172" s="1731">
        <f>SUM(L168,L169,L170,L171)</f>
        <v>66815</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66815</v>
      </c>
      <c r="I174" s="1734"/>
      <c r="J174" s="1723"/>
      <c r="K174" s="1731">
        <f>SUM(K160,K172,K173)</f>
        <v>66815</v>
      </c>
      <c r="L174" s="1731">
        <f>SUM(L160,L172,L173)</f>
        <v>66815</v>
      </c>
    </row>
    <row r="175" spans="1:14" ht="13.5" thickTop="1" x14ac:dyDescent="0.2">
      <c r="A175" s="2358" t="s">
        <v>987</v>
      </c>
      <c r="B175" s="2359"/>
      <c r="C175" s="1723"/>
      <c r="D175" s="1723"/>
      <c r="E175" s="1723"/>
      <c r="F175" s="1723"/>
      <c r="G175" s="1723"/>
      <c r="H175" s="1725"/>
      <c r="I175" s="1723"/>
      <c r="J175" s="1723"/>
      <c r="K175" s="1739">
        <f>'Revenues 9-14'!E268-'Expenditures 15-22'!K174</f>
        <v>111</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c r="D180" s="1623"/>
      <c r="E180" s="1623"/>
      <c r="F180" s="1623"/>
      <c r="G180" s="1623"/>
      <c r="H180" s="1623"/>
      <c r="I180" s="1624"/>
      <c r="J180" s="1624"/>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5500</v>
      </c>
      <c r="D182" s="1623">
        <f>579+131</f>
        <v>710</v>
      </c>
      <c r="E182" s="1623">
        <f>129093+96869+6912+12297+1450+4465+18692+73</f>
        <v>269851</v>
      </c>
      <c r="F182" s="1623">
        <f>218+25454</f>
        <v>25672</v>
      </c>
      <c r="G182" s="1623"/>
      <c r="H182" s="1623"/>
      <c r="I182" s="1624"/>
      <c r="J182" s="1624"/>
      <c r="K182" s="1722">
        <f>SUM(C182:J182)</f>
        <v>301733</v>
      </c>
      <c r="L182" s="1623">
        <v>301798</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804</v>
      </c>
      <c r="B184" s="1430" t="s">
        <v>563</v>
      </c>
      <c r="C184" s="1731">
        <f>SUM(C180,C182,C183)</f>
        <v>5500</v>
      </c>
      <c r="D184" s="1731">
        <f t="shared" ref="D184:J184" si="17">SUM(D180,D182,D183)</f>
        <v>710</v>
      </c>
      <c r="E184" s="1731">
        <f t="shared" si="17"/>
        <v>269851</v>
      </c>
      <c r="F184" s="1731">
        <f t="shared" si="17"/>
        <v>25672</v>
      </c>
      <c r="G184" s="1731">
        <f t="shared" si="17"/>
        <v>0</v>
      </c>
      <c r="H184" s="1731">
        <f t="shared" si="17"/>
        <v>0</v>
      </c>
      <c r="I184" s="1731">
        <f t="shared" si="17"/>
        <v>0</v>
      </c>
      <c r="J184" s="1731">
        <f t="shared" si="17"/>
        <v>0</v>
      </c>
      <c r="K184" s="1731">
        <f>SUM(K180,K182,K183)</f>
        <v>301733</v>
      </c>
      <c r="L184" s="1731">
        <f>SUM(L180, L182:L183)</f>
        <v>301798</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row>
    <row r="189" spans="1:14" x14ac:dyDescent="0.2">
      <c r="A189" s="1319" t="s">
        <v>299</v>
      </c>
      <c r="B189" s="503">
        <v>4120</v>
      </c>
      <c r="C189" s="1723"/>
      <c r="D189" s="1723"/>
      <c r="E189" s="1623"/>
      <c r="F189" s="1723"/>
      <c r="G189" s="1723"/>
      <c r="H189" s="1623"/>
      <c r="I189" s="1632"/>
      <c r="J189" s="1723"/>
      <c r="K189" s="1722">
        <f t="shared" si="18"/>
        <v>0</v>
      </c>
      <c r="L189" s="1623"/>
    </row>
    <row r="190" spans="1:14" x14ac:dyDescent="0.2">
      <c r="A190" s="1319" t="s">
        <v>300</v>
      </c>
      <c r="B190" s="512">
        <v>4130</v>
      </c>
      <c r="C190" s="1723"/>
      <c r="D190" s="1723"/>
      <c r="E190" s="1623"/>
      <c r="F190" s="1723"/>
      <c r="G190" s="1723"/>
      <c r="H190" s="1623"/>
      <c r="I190" s="1632"/>
      <c r="J190" s="1723"/>
      <c r="K190" s="1722">
        <f t="shared" si="18"/>
        <v>0</v>
      </c>
      <c r="L190" s="1623"/>
    </row>
    <row r="191" spans="1:14" x14ac:dyDescent="0.2">
      <c r="A191" s="1319" t="s">
        <v>690</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691</v>
      </c>
      <c r="B193" s="512">
        <v>4190</v>
      </c>
      <c r="C193" s="1723"/>
      <c r="D193" s="1723"/>
      <c r="E193" s="1623"/>
      <c r="F193" s="1723"/>
      <c r="G193" s="1723"/>
      <c r="H193" s="1623"/>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1160</v>
      </c>
      <c r="B201" s="512" t="s">
        <v>611</v>
      </c>
      <c r="C201" s="1723"/>
      <c r="D201" s="1723"/>
      <c r="E201" s="1723"/>
      <c r="F201" s="1723"/>
      <c r="G201" s="1723"/>
      <c r="H201" s="1623"/>
      <c r="I201" s="1723"/>
      <c r="J201" s="1723"/>
      <c r="K201" s="1722">
        <f>SUM(H201)</f>
        <v>0</v>
      </c>
      <c r="L201" s="1623"/>
    </row>
    <row r="202" spans="1:14" x14ac:dyDescent="0.2">
      <c r="A202" s="1319" t="s">
        <v>89</v>
      </c>
      <c r="B202" s="503" t="s">
        <v>583</v>
      </c>
      <c r="C202" s="1723"/>
      <c r="D202" s="1723"/>
      <c r="E202" s="1723"/>
      <c r="F202" s="1723"/>
      <c r="G202" s="1723"/>
      <c r="H202" s="1623"/>
      <c r="I202" s="1723"/>
      <c r="J202" s="1723"/>
      <c r="K202" s="1722">
        <f>SUM(H202)</f>
        <v>0</v>
      </c>
      <c r="L202" s="1623"/>
    </row>
    <row r="203" spans="1:14" x14ac:dyDescent="0.2">
      <c r="A203" s="1331" t="s">
        <v>613</v>
      </c>
      <c r="B203" s="503" t="s">
        <v>612</v>
      </c>
      <c r="C203" s="1723"/>
      <c r="D203" s="1723"/>
      <c r="E203" s="1723"/>
      <c r="F203" s="1723"/>
      <c r="G203" s="1723"/>
      <c r="H203" s="1627"/>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1653</v>
      </c>
      <c r="B206" s="546" t="s">
        <v>31</v>
      </c>
      <c r="C206" s="1723"/>
      <c r="D206" s="1723"/>
      <c r="E206" s="1723"/>
      <c r="F206" s="1723"/>
      <c r="G206" s="1723"/>
      <c r="H206" s="1623"/>
      <c r="I206" s="1723"/>
      <c r="J206" s="1723"/>
      <c r="K206" s="1722">
        <f>SUM(H206)</f>
        <v>0</v>
      </c>
      <c r="L206" s="1623"/>
    </row>
    <row r="207" spans="1:14" ht="15.75" customHeight="1" x14ac:dyDescent="0.2">
      <c r="A207" s="507" t="s">
        <v>759</v>
      </c>
      <c r="B207" s="546" t="s">
        <v>84</v>
      </c>
      <c r="C207" s="1723"/>
      <c r="D207" s="1723"/>
      <c r="E207" s="1723"/>
      <c r="F207" s="1723"/>
      <c r="G207" s="1723"/>
      <c r="H207" s="1624"/>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5500</v>
      </c>
      <c r="D210" s="1724">
        <f>SUM(D184,D185)</f>
        <v>710</v>
      </c>
      <c r="E210" s="1724">
        <f>SUM(E184,E185,E196)</f>
        <v>269851</v>
      </c>
      <c r="F210" s="1724">
        <f>SUM(F184,F185)</f>
        <v>25672</v>
      </c>
      <c r="G210" s="1724">
        <f>SUM(G184,G185)</f>
        <v>0</v>
      </c>
      <c r="H210" s="1724">
        <f>SUM(H184,H185,H196,H208,H209)</f>
        <v>0</v>
      </c>
      <c r="I210" s="1724">
        <f>SUM(I184,I185)</f>
        <v>0</v>
      </c>
      <c r="J210" s="1724">
        <f>SUM(J184,J185)</f>
        <v>0</v>
      </c>
      <c r="K210" s="1722">
        <f>SUM(K184,K185,K196,K208,K209)</f>
        <v>301733</v>
      </c>
      <c r="L210" s="1724">
        <f>SUM(L184,L185,L196,L208,L209)</f>
        <v>301798</v>
      </c>
    </row>
    <row r="211" spans="1:14" ht="13.5" thickTop="1" x14ac:dyDescent="0.2">
      <c r="A211" s="2358" t="s">
        <v>987</v>
      </c>
      <c r="B211" s="2359"/>
      <c r="C211" s="1725"/>
      <c r="D211" s="1725"/>
      <c r="E211" s="1725"/>
      <c r="F211" s="1725"/>
      <c r="G211" s="1725"/>
      <c r="H211" s="1725"/>
      <c r="I211" s="1723"/>
      <c r="J211" s="1723"/>
      <c r="K211" s="1739">
        <f>'Revenues 9-14'!F268-'Expenditures 15-22'!K210</f>
        <v>40209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957</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f>16130+6958</f>
        <v>23088</v>
      </c>
      <c r="E215" s="1723"/>
      <c r="F215" s="1723"/>
      <c r="G215" s="1723"/>
      <c r="H215" s="1723"/>
      <c r="I215" s="1723"/>
      <c r="J215" s="1723"/>
      <c r="K215" s="1722">
        <f>D215</f>
        <v>23088</v>
      </c>
      <c r="L215" s="1623">
        <v>23200</v>
      </c>
    </row>
    <row r="216" spans="1:14" x14ac:dyDescent="0.2">
      <c r="A216" s="1319" t="s">
        <v>162</v>
      </c>
      <c r="B216" s="503" t="s">
        <v>959</v>
      </c>
      <c r="C216" s="1723"/>
      <c r="D216" s="1624">
        <f>1165+664+155</f>
        <v>1984</v>
      </c>
      <c r="E216" s="1723"/>
      <c r="F216" s="1723"/>
      <c r="G216" s="1723"/>
      <c r="H216" s="1723"/>
      <c r="I216" s="1723"/>
      <c r="J216" s="1723"/>
      <c r="K216" s="1722">
        <f t="shared" ref="K216:K228" si="19">D216</f>
        <v>1984</v>
      </c>
      <c r="L216" s="1623"/>
    </row>
    <row r="217" spans="1:14" x14ac:dyDescent="0.2">
      <c r="A217" s="1319" t="s">
        <v>163</v>
      </c>
      <c r="B217" s="503">
        <v>1200</v>
      </c>
      <c r="C217" s="1723"/>
      <c r="D217" s="1623">
        <f>15572+9169+4654+1655</f>
        <v>31050</v>
      </c>
      <c r="E217" s="1723"/>
      <c r="F217" s="1723"/>
      <c r="G217" s="1723"/>
      <c r="H217" s="1723"/>
      <c r="I217" s="1723"/>
      <c r="J217" s="1723"/>
      <c r="K217" s="1722">
        <f t="shared" si="19"/>
        <v>31050</v>
      </c>
      <c r="L217" s="1623">
        <v>31170</v>
      </c>
    </row>
    <row r="218" spans="1:14" x14ac:dyDescent="0.2">
      <c r="A218" s="1319" t="s">
        <v>274</v>
      </c>
      <c r="B218" s="503" t="s">
        <v>960</v>
      </c>
      <c r="C218" s="1723"/>
      <c r="D218" s="1624"/>
      <c r="E218" s="1723"/>
      <c r="F218" s="1723"/>
      <c r="G218" s="1723"/>
      <c r="H218" s="1723"/>
      <c r="I218" s="1723"/>
      <c r="J218" s="1723"/>
      <c r="K218" s="1722">
        <f t="shared" si="19"/>
        <v>0</v>
      </c>
      <c r="L218" s="1623"/>
    </row>
    <row r="219" spans="1:14" x14ac:dyDescent="0.2">
      <c r="A219" s="1319" t="s">
        <v>275</v>
      </c>
      <c r="B219" s="503">
        <v>1250</v>
      </c>
      <c r="C219" s="1723"/>
      <c r="D219" s="1623">
        <f>3247+679+4+464+1792+1+185+660+47</f>
        <v>7079</v>
      </c>
      <c r="E219" s="1723"/>
      <c r="F219" s="1723"/>
      <c r="G219" s="1723"/>
      <c r="H219" s="1723"/>
      <c r="I219" s="1723"/>
      <c r="J219" s="1723"/>
      <c r="K219" s="1722">
        <f t="shared" si="19"/>
        <v>7079</v>
      </c>
      <c r="L219" s="1623">
        <v>4448</v>
      </c>
    </row>
    <row r="220" spans="1:14" x14ac:dyDescent="0.2">
      <c r="A220" s="1319" t="s">
        <v>276</v>
      </c>
      <c r="B220" s="503" t="s">
        <v>160</v>
      </c>
      <c r="C220" s="1723"/>
      <c r="D220" s="1624"/>
      <c r="E220" s="1723"/>
      <c r="F220" s="1723"/>
      <c r="G220" s="1723"/>
      <c r="H220" s="1723"/>
      <c r="I220" s="1723"/>
      <c r="J220" s="1723"/>
      <c r="K220" s="1722">
        <f t="shared" si="19"/>
        <v>0</v>
      </c>
      <c r="L220" s="1623"/>
    </row>
    <row r="221" spans="1:14" x14ac:dyDescent="0.2">
      <c r="A221" s="1319" t="s">
        <v>954</v>
      </c>
      <c r="B221" s="503">
        <v>1300</v>
      </c>
      <c r="C221" s="1723"/>
      <c r="D221" s="1623"/>
      <c r="E221" s="1723"/>
      <c r="F221" s="1723"/>
      <c r="G221" s="1723"/>
      <c r="H221" s="1723"/>
      <c r="I221" s="1723"/>
      <c r="J221" s="1723"/>
      <c r="K221" s="1722">
        <f t="shared" si="19"/>
        <v>0</v>
      </c>
      <c r="L221" s="1623"/>
    </row>
    <row r="222" spans="1:14" x14ac:dyDescent="0.2">
      <c r="A222" s="1319" t="s">
        <v>716</v>
      </c>
      <c r="B222" s="503">
        <v>1400</v>
      </c>
      <c r="C222" s="1723"/>
      <c r="D222" s="1623">
        <f>2092+187</f>
        <v>2279</v>
      </c>
      <c r="E222" s="1723"/>
      <c r="F222" s="1723"/>
      <c r="G222" s="1723"/>
      <c r="H222" s="1723"/>
      <c r="I222" s="1723"/>
      <c r="J222" s="1723"/>
      <c r="K222" s="1722">
        <f t="shared" si="19"/>
        <v>2279</v>
      </c>
      <c r="L222" s="1623">
        <v>2200</v>
      </c>
    </row>
    <row r="223" spans="1:14" x14ac:dyDescent="0.2">
      <c r="A223" s="1319" t="s">
        <v>955</v>
      </c>
      <c r="B223" s="503">
        <v>1500</v>
      </c>
      <c r="C223" s="1723"/>
      <c r="D223" s="1623">
        <f>133+2075+370+628+240</f>
        <v>3446</v>
      </c>
      <c r="E223" s="1723"/>
      <c r="F223" s="1723"/>
      <c r="G223" s="1723"/>
      <c r="H223" s="1723"/>
      <c r="I223" s="1723"/>
      <c r="J223" s="1723"/>
      <c r="K223" s="1722">
        <f t="shared" si="19"/>
        <v>3446</v>
      </c>
      <c r="L223" s="1623">
        <v>3463</v>
      </c>
    </row>
    <row r="224" spans="1:14" x14ac:dyDescent="0.2">
      <c r="A224" s="1319" t="s">
        <v>956</v>
      </c>
      <c r="B224" s="503">
        <v>1600</v>
      </c>
      <c r="C224" s="1723"/>
      <c r="D224" s="1623"/>
      <c r="E224" s="1723"/>
      <c r="F224" s="1723"/>
      <c r="G224" s="1723"/>
      <c r="H224" s="1723"/>
      <c r="I224" s="1723"/>
      <c r="J224" s="1723"/>
      <c r="K224" s="1722">
        <f t="shared" si="19"/>
        <v>0</v>
      </c>
      <c r="L224" s="1623"/>
    </row>
    <row r="225" spans="1:12" x14ac:dyDescent="0.2">
      <c r="A225" s="1319" t="s">
        <v>978</v>
      </c>
      <c r="B225" s="503">
        <v>1650</v>
      </c>
      <c r="C225" s="1723"/>
      <c r="D225" s="1623"/>
      <c r="E225" s="1723"/>
      <c r="F225" s="1723"/>
      <c r="G225" s="1723"/>
      <c r="H225" s="1723"/>
      <c r="I225" s="1723"/>
      <c r="J225" s="1723"/>
      <c r="K225" s="1722">
        <f t="shared" si="19"/>
        <v>0</v>
      </c>
      <c r="L225" s="1623"/>
    </row>
    <row r="226" spans="1:12" x14ac:dyDescent="0.2">
      <c r="A226" s="1319" t="s">
        <v>717</v>
      </c>
      <c r="B226" s="503" t="s">
        <v>161</v>
      </c>
      <c r="C226" s="1723"/>
      <c r="D226" s="1624">
        <f>156</f>
        <v>156</v>
      </c>
      <c r="E226" s="1723"/>
      <c r="F226" s="1723"/>
      <c r="G226" s="1723"/>
      <c r="H226" s="1723"/>
      <c r="I226" s="1723"/>
      <c r="J226" s="1723"/>
      <c r="K226" s="1722">
        <f t="shared" si="19"/>
        <v>156</v>
      </c>
      <c r="L226" s="1623">
        <v>200</v>
      </c>
    </row>
    <row r="227" spans="1:12" x14ac:dyDescent="0.2">
      <c r="A227" s="1319" t="s">
        <v>1078</v>
      </c>
      <c r="B227" s="503">
        <v>1800</v>
      </c>
      <c r="C227" s="1723"/>
      <c r="D227" s="1623"/>
      <c r="E227" s="1723"/>
      <c r="F227" s="1723"/>
      <c r="G227" s="1723"/>
      <c r="H227" s="1723"/>
      <c r="I227" s="1723"/>
      <c r="J227" s="1723"/>
      <c r="K227" s="1722">
        <f t="shared" si="19"/>
        <v>0</v>
      </c>
      <c r="L227" s="1623"/>
    </row>
    <row r="228" spans="1:12" x14ac:dyDescent="0.2">
      <c r="A228" s="1319" t="s">
        <v>1079</v>
      </c>
      <c r="B228" s="503">
        <v>1900</v>
      </c>
      <c r="C228" s="1723"/>
      <c r="D228" s="1623"/>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69082</v>
      </c>
      <c r="E229" s="1723"/>
      <c r="F229" s="1723"/>
      <c r="G229" s="1723"/>
      <c r="H229" s="1723"/>
      <c r="I229" s="1723"/>
      <c r="J229" s="1723"/>
      <c r="K229" s="1724">
        <f>SUM(K215:K228)</f>
        <v>69082</v>
      </c>
      <c r="L229" s="1724">
        <f>SUM(L215:L228)</f>
        <v>64681</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c r="E232" s="1723"/>
      <c r="F232" s="1723"/>
      <c r="G232" s="1723"/>
      <c r="H232" s="1723"/>
      <c r="I232" s="1723"/>
      <c r="J232" s="1723"/>
      <c r="K232" s="1722">
        <f t="shared" ref="K232:K237" si="20">D232</f>
        <v>0</v>
      </c>
      <c r="L232" s="1623"/>
    </row>
    <row r="233" spans="1:12" x14ac:dyDescent="0.2">
      <c r="A233" s="1319" t="s">
        <v>1081</v>
      </c>
      <c r="B233" s="503">
        <v>2120</v>
      </c>
      <c r="C233" s="1723"/>
      <c r="D233" s="1623">
        <f>939+708</f>
        <v>1647</v>
      </c>
      <c r="E233" s="1723"/>
      <c r="F233" s="1723"/>
      <c r="G233" s="1723"/>
      <c r="H233" s="1723"/>
      <c r="I233" s="1723"/>
      <c r="J233" s="1723"/>
      <c r="K233" s="1722">
        <f t="shared" si="20"/>
        <v>1647</v>
      </c>
      <c r="L233" s="1623">
        <v>1700</v>
      </c>
    </row>
    <row r="234" spans="1:12" x14ac:dyDescent="0.2">
      <c r="A234" s="1319" t="s">
        <v>196</v>
      </c>
      <c r="B234" s="503">
        <v>2130</v>
      </c>
      <c r="C234" s="1723"/>
      <c r="D234" s="1623">
        <f>3549+1514+354</f>
        <v>5417</v>
      </c>
      <c r="E234" s="1723"/>
      <c r="F234" s="1723"/>
      <c r="G234" s="1723"/>
      <c r="H234" s="1723"/>
      <c r="I234" s="1723"/>
      <c r="J234" s="1723"/>
      <c r="K234" s="1722">
        <f t="shared" si="20"/>
        <v>5417</v>
      </c>
      <c r="L234" s="1623">
        <v>5300</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7064</v>
      </c>
      <c r="E238" s="1723"/>
      <c r="F238" s="1723"/>
      <c r="G238" s="1723"/>
      <c r="H238" s="1723"/>
      <c r="I238" s="1723"/>
      <c r="J238" s="1723"/>
      <c r="K238" s="1724">
        <f>SUM(K232:K237)</f>
        <v>7064</v>
      </c>
      <c r="L238" s="1724">
        <f>SUM(L232:L237)</f>
        <v>7000</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c r="E240" s="1723"/>
      <c r="F240" s="1723"/>
      <c r="G240" s="1723"/>
      <c r="H240" s="1723"/>
      <c r="I240" s="1723"/>
      <c r="J240" s="1723"/>
      <c r="K240" s="1728">
        <f>D240</f>
        <v>0</v>
      </c>
      <c r="L240" s="1636"/>
    </row>
    <row r="241" spans="1:12" x14ac:dyDescent="0.2">
      <c r="A241" s="1319" t="s">
        <v>808</v>
      </c>
      <c r="B241" s="503">
        <v>2220</v>
      </c>
      <c r="C241" s="1723"/>
      <c r="D241" s="1623"/>
      <c r="E241" s="1723"/>
      <c r="F241" s="1723"/>
      <c r="G241" s="1723"/>
      <c r="H241" s="1723"/>
      <c r="I241" s="1723"/>
      <c r="J241" s="1723"/>
      <c r="K241" s="1728">
        <f>D241</f>
        <v>0</v>
      </c>
      <c r="L241" s="1623"/>
    </row>
    <row r="242" spans="1:12" x14ac:dyDescent="0.2">
      <c r="A242" s="1319" t="s">
        <v>809</v>
      </c>
      <c r="B242" s="503">
        <v>2230</v>
      </c>
      <c r="C242" s="1723"/>
      <c r="D242" s="1623"/>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f>150+88+20</f>
        <v>258</v>
      </c>
      <c r="E245" s="1723"/>
      <c r="F245" s="1723"/>
      <c r="G245" s="1723"/>
      <c r="H245" s="1723"/>
      <c r="I245" s="1723"/>
      <c r="J245" s="1723"/>
      <c r="K245" s="1728">
        <f>D245</f>
        <v>258</v>
      </c>
      <c r="L245" s="1636">
        <v>275</v>
      </c>
    </row>
    <row r="246" spans="1:12" x14ac:dyDescent="0.2">
      <c r="A246" s="1319" t="s">
        <v>811</v>
      </c>
      <c r="B246" s="503">
        <v>2320</v>
      </c>
      <c r="C246" s="1723"/>
      <c r="D246" s="1623">
        <v>1162</v>
      </c>
      <c r="E246" s="1723"/>
      <c r="F246" s="1723"/>
      <c r="G246" s="1723"/>
      <c r="H246" s="1723"/>
      <c r="I246" s="1723"/>
      <c r="J246" s="1723"/>
      <c r="K246" s="1728">
        <f t="shared" ref="K246:K256" si="21">D246</f>
        <v>1162</v>
      </c>
      <c r="L246" s="1623">
        <v>1700</v>
      </c>
    </row>
    <row r="247" spans="1:12" x14ac:dyDescent="0.2">
      <c r="A247" s="1319" t="s">
        <v>812</v>
      </c>
      <c r="B247" s="503">
        <v>2330</v>
      </c>
      <c r="C247" s="1723"/>
      <c r="D247" s="1623"/>
      <c r="E247" s="1723"/>
      <c r="F247" s="1723"/>
      <c r="G247" s="1723"/>
      <c r="H247" s="1723"/>
      <c r="I247" s="1723"/>
      <c r="J247" s="1723"/>
      <c r="K247" s="1728">
        <f t="shared" si="21"/>
        <v>0</v>
      </c>
      <c r="L247" s="1623"/>
    </row>
    <row r="248" spans="1:12" x14ac:dyDescent="0.2">
      <c r="A248" s="1320" t="s">
        <v>294</v>
      </c>
      <c r="B248" s="494" t="s">
        <v>277</v>
      </c>
      <c r="C248" s="1723"/>
      <c r="D248" s="1629"/>
      <c r="E248" s="1723"/>
      <c r="F248" s="1723"/>
      <c r="G248" s="1723"/>
      <c r="H248" s="1723"/>
      <c r="I248" s="1723"/>
      <c r="J248" s="1723"/>
      <c r="K248" s="1728">
        <f t="shared" si="21"/>
        <v>0</v>
      </c>
      <c r="L248" s="1623"/>
    </row>
    <row r="249" spans="1:12" x14ac:dyDescent="0.2">
      <c r="A249" s="1321" t="s">
        <v>1783</v>
      </c>
      <c r="B249" s="557" t="s">
        <v>278</v>
      </c>
      <c r="C249" s="1723"/>
      <c r="D249" s="1629"/>
      <c r="E249" s="1723"/>
      <c r="F249" s="1723"/>
      <c r="G249" s="1723"/>
      <c r="H249" s="1723"/>
      <c r="I249" s="1723"/>
      <c r="J249" s="1723"/>
      <c r="K249" s="1728">
        <f t="shared" si="21"/>
        <v>0</v>
      </c>
      <c r="L249" s="1623"/>
    </row>
    <row r="250" spans="1:12" x14ac:dyDescent="0.2">
      <c r="A250" s="1320" t="s">
        <v>1784</v>
      </c>
      <c r="B250" s="494" t="s">
        <v>279</v>
      </c>
      <c r="C250" s="1723"/>
      <c r="D250" s="1629"/>
      <c r="E250" s="1723"/>
      <c r="F250" s="1723"/>
      <c r="G250" s="1723"/>
      <c r="H250" s="1723"/>
      <c r="I250" s="1723"/>
      <c r="J250" s="1723"/>
      <c r="K250" s="1728">
        <f t="shared" si="21"/>
        <v>0</v>
      </c>
      <c r="L250" s="1623"/>
    </row>
    <row r="251" spans="1:12" x14ac:dyDescent="0.2">
      <c r="A251" s="1320" t="s">
        <v>236</v>
      </c>
      <c r="B251" s="494" t="s">
        <v>280</v>
      </c>
      <c r="C251" s="1723"/>
      <c r="D251" s="1629"/>
      <c r="E251" s="1723"/>
      <c r="F251" s="1723"/>
      <c r="G251" s="1723"/>
      <c r="H251" s="1723"/>
      <c r="I251" s="1723"/>
      <c r="J251" s="1723"/>
      <c r="K251" s="1728">
        <f t="shared" si="21"/>
        <v>0</v>
      </c>
      <c r="L251" s="1623"/>
    </row>
    <row r="252" spans="1:12" x14ac:dyDescent="0.2">
      <c r="A252" s="1320" t="s">
        <v>695</v>
      </c>
      <c r="B252" s="494" t="s">
        <v>281</v>
      </c>
      <c r="C252" s="1723"/>
      <c r="D252" s="1629"/>
      <c r="E252" s="1723"/>
      <c r="F252" s="1723"/>
      <c r="G252" s="1723"/>
      <c r="H252" s="1723"/>
      <c r="I252" s="1723"/>
      <c r="J252" s="1723"/>
      <c r="K252" s="1728">
        <f t="shared" si="21"/>
        <v>0</v>
      </c>
      <c r="L252" s="1623"/>
    </row>
    <row r="253" spans="1:12" x14ac:dyDescent="0.2">
      <c r="A253" s="1320" t="s">
        <v>237</v>
      </c>
      <c r="B253" s="494" t="s">
        <v>282</v>
      </c>
      <c r="C253" s="1723"/>
      <c r="D253" s="1629"/>
      <c r="E253" s="1723"/>
      <c r="F253" s="1723"/>
      <c r="G253" s="1723"/>
      <c r="H253" s="1723"/>
      <c r="I253" s="1723"/>
      <c r="J253" s="1723"/>
      <c r="K253" s="1728">
        <f t="shared" si="21"/>
        <v>0</v>
      </c>
      <c r="L253" s="1623"/>
    </row>
    <row r="254" spans="1:12" ht="22.5" x14ac:dyDescent="0.2">
      <c r="A254" s="1320" t="s">
        <v>1020</v>
      </c>
      <c r="B254" s="557" t="s">
        <v>283</v>
      </c>
      <c r="C254" s="1723"/>
      <c r="D254" s="1629"/>
      <c r="E254" s="1723"/>
      <c r="F254" s="1723"/>
      <c r="G254" s="1723"/>
      <c r="H254" s="1723"/>
      <c r="I254" s="1723"/>
      <c r="J254" s="1723"/>
      <c r="K254" s="1728">
        <f t="shared" si="21"/>
        <v>0</v>
      </c>
      <c r="L254" s="1623"/>
    </row>
    <row r="255" spans="1:12" x14ac:dyDescent="0.2">
      <c r="A255" s="1320" t="s">
        <v>1021</v>
      </c>
      <c r="B255" s="494" t="s">
        <v>284</v>
      </c>
      <c r="C255" s="1723"/>
      <c r="D255" s="1629"/>
      <c r="E255" s="1723"/>
      <c r="F255" s="1723"/>
      <c r="G255" s="1723"/>
      <c r="H255" s="1723"/>
      <c r="I255" s="1723"/>
      <c r="J255" s="1723"/>
      <c r="K255" s="1728">
        <f t="shared" si="21"/>
        <v>0</v>
      </c>
      <c r="L255" s="1623"/>
    </row>
    <row r="256" spans="1:12" x14ac:dyDescent="0.2">
      <c r="A256" s="1320" t="s">
        <v>963</v>
      </c>
      <c r="B256" s="503" t="s">
        <v>285</v>
      </c>
      <c r="C256" s="1723"/>
      <c r="D256" s="1629"/>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1420</v>
      </c>
      <c r="E257" s="1723"/>
      <c r="F257" s="1723"/>
      <c r="G257" s="1723"/>
      <c r="H257" s="1723"/>
      <c r="I257" s="1723"/>
      <c r="J257" s="1723"/>
      <c r="K257" s="1724">
        <f>SUM(K245:K256)</f>
        <v>1420</v>
      </c>
      <c r="L257" s="1724">
        <f>SUM(L245:L256)</f>
        <v>1975</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f>927+314</f>
        <v>1241</v>
      </c>
      <c r="E259" s="1723"/>
      <c r="F259" s="1723"/>
      <c r="G259" s="1723"/>
      <c r="H259" s="1723"/>
      <c r="I259" s="1723"/>
      <c r="J259" s="1723"/>
      <c r="K259" s="1728">
        <f>D259</f>
        <v>1241</v>
      </c>
      <c r="L259" s="1636">
        <v>1450</v>
      </c>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1241</v>
      </c>
      <c r="E261" s="1723"/>
      <c r="F261" s="1723"/>
      <c r="G261" s="1723"/>
      <c r="H261" s="1723"/>
      <c r="I261" s="1723"/>
      <c r="J261" s="1723"/>
      <c r="K261" s="1724">
        <f>SUM(K259:K260)</f>
        <v>1241</v>
      </c>
      <c r="L261" s="1724">
        <f>SUM(L259:L260)</f>
        <v>1450</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row>
    <row r="264" spans="1:14" x14ac:dyDescent="0.2">
      <c r="A264" s="1319" t="s">
        <v>458</v>
      </c>
      <c r="B264" s="559">
        <v>2520</v>
      </c>
      <c r="C264" s="1723"/>
      <c r="D264" s="1623">
        <f>5280+2973+695</f>
        <v>8948</v>
      </c>
      <c r="E264" s="1723"/>
      <c r="F264" s="1723"/>
      <c r="G264" s="1723"/>
      <c r="H264" s="1723"/>
      <c r="I264" s="1723"/>
      <c r="J264" s="1723"/>
      <c r="K264" s="1728">
        <f t="shared" ref="K264:K269" si="22">D264</f>
        <v>8948</v>
      </c>
      <c r="L264" s="1623">
        <v>9000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f>8258+4680+4650+3996+1088+935</f>
        <v>23607</v>
      </c>
      <c r="E266" s="1723"/>
      <c r="F266" s="1723"/>
      <c r="G266" s="1723"/>
      <c r="H266" s="1723"/>
      <c r="I266" s="1723"/>
      <c r="J266" s="1723"/>
      <c r="K266" s="1728">
        <f t="shared" si="22"/>
        <v>23607</v>
      </c>
      <c r="L266" s="1623">
        <v>23585</v>
      </c>
    </row>
    <row r="267" spans="1:14" x14ac:dyDescent="0.2">
      <c r="A267" s="1319" t="s">
        <v>945</v>
      </c>
      <c r="B267" s="503">
        <v>2550</v>
      </c>
      <c r="C267" s="1723"/>
      <c r="D267" s="1623">
        <f>74</f>
        <v>74</v>
      </c>
      <c r="E267" s="1723"/>
      <c r="F267" s="1723"/>
      <c r="G267" s="1723"/>
      <c r="H267" s="1723"/>
      <c r="I267" s="1723"/>
      <c r="J267" s="1723"/>
      <c r="K267" s="1728">
        <f t="shared" si="22"/>
        <v>74</v>
      </c>
      <c r="L267" s="1623"/>
    </row>
    <row r="268" spans="1:14" x14ac:dyDescent="0.2">
      <c r="A268" s="1319" t="s">
        <v>100</v>
      </c>
      <c r="B268" s="503">
        <v>2560</v>
      </c>
      <c r="C268" s="1723"/>
      <c r="D268" s="1623">
        <f>8158+2894+4734+1711+1107+400</f>
        <v>19004</v>
      </c>
      <c r="E268" s="1723"/>
      <c r="F268" s="1723"/>
      <c r="G268" s="1723"/>
      <c r="H268" s="1723"/>
      <c r="I268" s="1723"/>
      <c r="J268" s="1723"/>
      <c r="K268" s="1728">
        <f t="shared" si="22"/>
        <v>19004</v>
      </c>
      <c r="L268" s="1623">
        <v>19100</v>
      </c>
    </row>
    <row r="269" spans="1:14" x14ac:dyDescent="0.2">
      <c r="A269" s="1319" t="s">
        <v>101</v>
      </c>
      <c r="B269" s="503">
        <v>2570</v>
      </c>
      <c r="C269" s="1723"/>
      <c r="D269" s="1623">
        <f>1470+2939+1732+1720+405+402</f>
        <v>8668</v>
      </c>
      <c r="E269" s="1723"/>
      <c r="F269" s="1723"/>
      <c r="G269" s="1723"/>
      <c r="H269" s="1723"/>
      <c r="I269" s="1723"/>
      <c r="J269" s="1723"/>
      <c r="K269" s="1728">
        <f t="shared" si="22"/>
        <v>8668</v>
      </c>
      <c r="L269" s="1623">
        <v>8860</v>
      </c>
    </row>
    <row r="270" spans="1:14" ht="12.75" customHeight="1" thickBot="1" x14ac:dyDescent="0.25">
      <c r="A270" s="1429" t="s">
        <v>712</v>
      </c>
      <c r="B270" s="1432" t="s">
        <v>35</v>
      </c>
      <c r="C270" s="1723"/>
      <c r="D270" s="1724">
        <f>SUM(D263:D269)</f>
        <v>60301</v>
      </c>
      <c r="E270" s="1723"/>
      <c r="F270" s="1723"/>
      <c r="G270" s="1723"/>
      <c r="H270" s="1723"/>
      <c r="I270" s="1723"/>
      <c r="J270" s="1723"/>
      <c r="K270" s="1724">
        <f>SUM(K263:K269)</f>
        <v>60301</v>
      </c>
      <c r="L270" s="1724">
        <f>SUM(L263:L269)</f>
        <v>60545</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row>
    <row r="273" spans="1:12" x14ac:dyDescent="0.2">
      <c r="A273" s="1319" t="s">
        <v>601</v>
      </c>
      <c r="B273" s="512">
        <v>2620</v>
      </c>
      <c r="C273" s="1723"/>
      <c r="D273" s="1623"/>
      <c r="E273" s="1723"/>
      <c r="F273" s="1723"/>
      <c r="G273" s="1723"/>
      <c r="H273" s="1723"/>
      <c r="I273" s="1723"/>
      <c r="J273" s="1723"/>
      <c r="K273" s="1728">
        <f>D273</f>
        <v>0</v>
      </c>
      <c r="L273" s="1623"/>
    </row>
    <row r="274" spans="1:12" ht="12" customHeight="1" x14ac:dyDescent="0.2">
      <c r="A274" s="1319" t="s">
        <v>1052</v>
      </c>
      <c r="B274" s="503">
        <v>2630</v>
      </c>
      <c r="C274" s="1723"/>
      <c r="D274" s="1623"/>
      <c r="E274" s="1723"/>
      <c r="F274" s="1723"/>
      <c r="G274" s="1723"/>
      <c r="H274" s="1723"/>
      <c r="I274" s="1723"/>
      <c r="J274" s="1723"/>
      <c r="K274" s="1728">
        <f>D274</f>
        <v>0</v>
      </c>
      <c r="L274" s="1623"/>
    </row>
    <row r="275" spans="1:12" x14ac:dyDescent="0.2">
      <c r="A275" s="1319" t="s">
        <v>398</v>
      </c>
      <c r="B275" s="503">
        <v>2640</v>
      </c>
      <c r="C275" s="1723"/>
      <c r="D275" s="1623"/>
      <c r="E275" s="1723"/>
      <c r="F275" s="1723"/>
      <c r="G275" s="1723"/>
      <c r="H275" s="1723"/>
      <c r="I275" s="1723"/>
      <c r="J275" s="1723"/>
      <c r="K275" s="1728">
        <f>D275</f>
        <v>0</v>
      </c>
      <c r="L275" s="1623"/>
    </row>
    <row r="276" spans="1:12" x14ac:dyDescent="0.2">
      <c r="A276" s="1319" t="s">
        <v>399</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70026</v>
      </c>
      <c r="E279" s="1723"/>
      <c r="F279" s="1723"/>
      <c r="G279" s="1723"/>
      <c r="H279" s="1723"/>
      <c r="I279" s="1723"/>
      <c r="J279" s="1723"/>
      <c r="K279" s="1731">
        <f>SUM(K238,K243,K257,K261,K270,K277,K278)</f>
        <v>70026</v>
      </c>
      <c r="L279" s="1731">
        <f>SUM(L238,L243,L257,L261,L270,L277,L278)</f>
        <v>70970</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c r="E282" s="1723"/>
      <c r="F282" s="1723"/>
      <c r="G282" s="1723"/>
      <c r="H282" s="1723"/>
      <c r="I282" s="1723"/>
      <c r="J282" s="1723"/>
      <c r="K282" s="1722">
        <f>D282</f>
        <v>0</v>
      </c>
      <c r="L282" s="1624"/>
    </row>
    <row r="283" spans="1:12" x14ac:dyDescent="0.2">
      <c r="A283" s="1319" t="s">
        <v>299</v>
      </c>
      <c r="B283" s="503">
        <v>4120</v>
      </c>
      <c r="C283" s="1723"/>
      <c r="D283" s="1623"/>
      <c r="E283" s="1723"/>
      <c r="F283" s="1723"/>
      <c r="G283" s="1723"/>
      <c r="H283" s="1723"/>
      <c r="I283" s="1723"/>
      <c r="J283" s="1723"/>
      <c r="K283" s="1722">
        <f>D283</f>
        <v>0</v>
      </c>
      <c r="L283" s="1623"/>
    </row>
    <row r="284" spans="1:12" x14ac:dyDescent="0.2">
      <c r="A284" s="1319" t="s">
        <v>690</v>
      </c>
      <c r="B284" s="503">
        <v>4140</v>
      </c>
      <c r="C284" s="1723"/>
      <c r="D284" s="1624"/>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1160</v>
      </c>
      <c r="B290" s="512" t="s">
        <v>611</v>
      </c>
      <c r="C290" s="1723"/>
      <c r="D290" s="1723"/>
      <c r="E290" s="1723"/>
      <c r="F290" s="1723"/>
      <c r="G290" s="1723"/>
      <c r="H290" s="1623"/>
      <c r="I290" s="1723"/>
      <c r="J290" s="1723"/>
      <c r="K290" s="1722">
        <f>H290</f>
        <v>0</v>
      </c>
      <c r="L290" s="1623"/>
    </row>
    <row r="291" spans="1:14" x14ac:dyDescent="0.2">
      <c r="A291" s="1319" t="s">
        <v>89</v>
      </c>
      <c r="B291" s="503" t="s">
        <v>583</v>
      </c>
      <c r="C291" s="1723"/>
      <c r="D291" s="1723"/>
      <c r="E291" s="1723"/>
      <c r="F291" s="1723"/>
      <c r="G291" s="1723"/>
      <c r="H291" s="1623"/>
      <c r="I291" s="1723"/>
      <c r="J291" s="1723"/>
      <c r="K291" s="1722">
        <f>H291</f>
        <v>0</v>
      </c>
      <c r="L291" s="1623"/>
    </row>
    <row r="292" spans="1:14" x14ac:dyDescent="0.2">
      <c r="A292" s="1319" t="s">
        <v>755</v>
      </c>
      <c r="B292" s="503" t="s">
        <v>612</v>
      </c>
      <c r="C292" s="1723"/>
      <c r="D292" s="1723"/>
      <c r="E292" s="1723"/>
      <c r="F292" s="1723"/>
      <c r="G292" s="1723"/>
      <c r="H292" s="1623"/>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49" t="s">
        <v>500</v>
      </c>
      <c r="B295" s="2350"/>
      <c r="C295" s="1723"/>
      <c r="D295" s="1724">
        <f>SUM(D229,D279,D280,D285)</f>
        <v>139108</v>
      </c>
      <c r="E295" s="1723"/>
      <c r="F295" s="1723"/>
      <c r="G295" s="1723"/>
      <c r="H295" s="1724">
        <f>H293</f>
        <v>0</v>
      </c>
      <c r="I295" s="1723"/>
      <c r="J295" s="1723"/>
      <c r="K295" s="1724">
        <f>SUM(K229,K279,K280,K285,K293,K294)</f>
        <v>139108</v>
      </c>
      <c r="L295" s="1724">
        <f>SUM(L229,L279,L280,L285,L293,L294)</f>
        <v>135651</v>
      </c>
    </row>
    <row r="296" spans="1:14" ht="13.5" thickTop="1" x14ac:dyDescent="0.2">
      <c r="A296" s="2358" t="s">
        <v>987</v>
      </c>
      <c r="B296" s="2359"/>
      <c r="C296" s="1723"/>
      <c r="D296" s="1725"/>
      <c r="E296" s="1723"/>
      <c r="F296" s="1723"/>
      <c r="G296" s="1723"/>
      <c r="H296" s="1757"/>
      <c r="I296" s="1723"/>
      <c r="J296" s="1723"/>
      <c r="K296" s="1739">
        <f>'Revenues 9-14'!G268-'Expenditures 15-22'!K295</f>
        <v>2607</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c r="H301" s="1623"/>
      <c r="I301" s="1624"/>
      <c r="J301" s="1624"/>
      <c r="K301" s="1722">
        <f>SUM(C301:J301)</f>
        <v>0</v>
      </c>
      <c r="L301" s="1624"/>
    </row>
    <row r="302" spans="1:14" ht="13.5" customHeight="1" x14ac:dyDescent="0.2">
      <c r="A302" s="1332" t="s">
        <v>971</v>
      </c>
      <c r="B302" s="503" t="s">
        <v>568</v>
      </c>
      <c r="C302" s="1623"/>
      <c r="D302" s="1623"/>
      <c r="E302" s="1623"/>
      <c r="F302" s="1623"/>
      <c r="G302" s="1623"/>
      <c r="H302" s="1623"/>
      <c r="I302" s="1624"/>
      <c r="J302" s="1624"/>
      <c r="K302" s="1722">
        <f>SUM(C302:J302)</f>
        <v>0</v>
      </c>
      <c r="L302" s="1623"/>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299</v>
      </c>
      <c r="B307" s="503">
        <v>4120</v>
      </c>
      <c r="C307" s="1723"/>
      <c r="D307" s="1723"/>
      <c r="E307" s="1624"/>
      <c r="F307" s="1723"/>
      <c r="G307" s="1723"/>
      <c r="H307" s="1624"/>
      <c r="I307" s="1632"/>
      <c r="J307" s="1723"/>
      <c r="K307" s="1722">
        <f>SUM(E307,H307)</f>
        <v>0</v>
      </c>
      <c r="L307" s="1623"/>
    </row>
    <row r="308" spans="1:14" x14ac:dyDescent="0.2">
      <c r="A308" s="1319" t="s">
        <v>690</v>
      </c>
      <c r="B308" s="503">
        <v>4140</v>
      </c>
      <c r="C308" s="1723"/>
      <c r="D308" s="1723"/>
      <c r="E308" s="1624"/>
      <c r="F308" s="1723"/>
      <c r="G308" s="1723"/>
      <c r="H308" s="1624"/>
      <c r="I308" s="1632"/>
      <c r="J308" s="1723"/>
      <c r="K308" s="1722">
        <f>SUM(E308,H308)</f>
        <v>0</v>
      </c>
      <c r="L308" s="1623"/>
    </row>
    <row r="309" spans="1:14" ht="12.75" customHeight="1" x14ac:dyDescent="0.2">
      <c r="A309" s="1323" t="s">
        <v>691</v>
      </c>
      <c r="B309" s="512">
        <v>4190</v>
      </c>
      <c r="C309" s="1723"/>
      <c r="D309" s="1723"/>
      <c r="E309" s="1624"/>
      <c r="F309" s="1723"/>
      <c r="G309" s="1723"/>
      <c r="H309" s="1624"/>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46" t="s">
        <v>273</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987</v>
      </c>
      <c r="B313" s="2343"/>
      <c r="C313" s="1727"/>
      <c r="D313" s="1727"/>
      <c r="E313" s="1727"/>
      <c r="F313" s="1727"/>
      <c r="G313" s="1727"/>
      <c r="H313" s="1727"/>
      <c r="I313" s="1727"/>
      <c r="J313" s="1727"/>
      <c r="K313" s="1746">
        <f>'Revenues 9-14'!H268-'Expenditures 15-22'!K312</f>
        <v>50000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890</v>
      </c>
      <c r="B317" s="2356"/>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278</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295</v>
      </c>
      <c r="B321" s="567" t="s">
        <v>279</v>
      </c>
      <c r="C321" s="1624"/>
      <c r="D321" s="1624"/>
      <c r="E321" s="1624">
        <v>163</v>
      </c>
      <c r="F321" s="1624"/>
      <c r="G321" s="1624"/>
      <c r="H321" s="1624"/>
      <c r="I321" s="1624"/>
      <c r="J321" s="1624"/>
      <c r="K321" s="1722">
        <f t="shared" si="24"/>
        <v>163</v>
      </c>
      <c r="L321" s="1624">
        <v>200</v>
      </c>
      <c r="M321" s="539"/>
      <c r="N321" s="539"/>
    </row>
    <row r="322" spans="1:14" s="548" customFormat="1" x14ac:dyDescent="0.2">
      <c r="A322" s="1334" t="s">
        <v>236</v>
      </c>
      <c r="B322" s="567" t="s">
        <v>280</v>
      </c>
      <c r="C322" s="1624"/>
      <c r="D322" s="1624"/>
      <c r="E322" s="1624">
        <v>45982</v>
      </c>
      <c r="F322" s="1624"/>
      <c r="G322" s="1624"/>
      <c r="H322" s="1624"/>
      <c r="I322" s="1624"/>
      <c r="J322" s="1624"/>
      <c r="K322" s="1722">
        <f t="shared" si="24"/>
        <v>45982</v>
      </c>
      <c r="L322" s="1624">
        <v>45982</v>
      </c>
      <c r="M322" s="539"/>
      <c r="N322" s="539"/>
    </row>
    <row r="323" spans="1:14" s="548" customFormat="1" x14ac:dyDescent="0.2">
      <c r="A323" s="1334" t="s">
        <v>695</v>
      </c>
      <c r="B323" s="567" t="s">
        <v>281</v>
      </c>
      <c r="C323" s="1624"/>
      <c r="D323" s="1624"/>
      <c r="E323" s="1624">
        <v>3180</v>
      </c>
      <c r="F323" s="1624"/>
      <c r="G323" s="1624"/>
      <c r="H323" s="1624"/>
      <c r="I323" s="1624"/>
      <c r="J323" s="1624"/>
      <c r="K323" s="1722">
        <f t="shared" si="24"/>
        <v>3180</v>
      </c>
      <c r="L323" s="1624">
        <v>3180</v>
      </c>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c r="M324" s="539"/>
      <c r="N324" s="539"/>
    </row>
    <row r="325" spans="1:14" s="548" customFormat="1" ht="22.5" x14ac:dyDescent="0.2">
      <c r="A325" s="1334" t="s">
        <v>1020</v>
      </c>
      <c r="B325" s="568" t="s">
        <v>283</v>
      </c>
      <c r="C325" s="1624"/>
      <c r="D325" s="1624"/>
      <c r="E325" s="1624"/>
      <c r="F325" s="1624"/>
      <c r="G325" s="1624"/>
      <c r="H325" s="1624"/>
      <c r="I325" s="1624"/>
      <c r="J325" s="1624"/>
      <c r="K325" s="1722">
        <f t="shared" si="24"/>
        <v>0</v>
      </c>
      <c r="L325" s="1624"/>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c r="M326" s="539"/>
      <c r="N326" s="539"/>
    </row>
    <row r="327" spans="1:14" s="548" customFormat="1" x14ac:dyDescent="0.2">
      <c r="A327" s="1334" t="s">
        <v>963</v>
      </c>
      <c r="B327" s="567" t="s">
        <v>285</v>
      </c>
      <c r="C327" s="1624"/>
      <c r="D327" s="1624"/>
      <c r="E327" s="1624">
        <v>1100</v>
      </c>
      <c r="F327" s="1624"/>
      <c r="G327" s="1624"/>
      <c r="H327" s="1624"/>
      <c r="I327" s="1624"/>
      <c r="J327" s="1624"/>
      <c r="K327" s="1722">
        <f t="shared" si="24"/>
        <v>1100</v>
      </c>
      <c r="L327" s="1624">
        <v>1100</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c r="M328" s="539"/>
      <c r="N328" s="539"/>
    </row>
    <row r="329" spans="1:14" s="548" customFormat="1" x14ac:dyDescent="0.2">
      <c r="A329" s="1335" t="s">
        <v>1123</v>
      </c>
      <c r="B329" s="562" t="s">
        <v>1124</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710</v>
      </c>
      <c r="B330" s="1430" t="s">
        <v>563</v>
      </c>
      <c r="C330" s="1724">
        <f>SUM(C319:C329)</f>
        <v>0</v>
      </c>
      <c r="D330" s="1724">
        <f t="shared" ref="D330:J330" si="25">SUM(D319:D329)</f>
        <v>0</v>
      </c>
      <c r="E330" s="1724">
        <f t="shared" si="25"/>
        <v>50425</v>
      </c>
      <c r="F330" s="1724">
        <f t="shared" si="25"/>
        <v>0</v>
      </c>
      <c r="G330" s="1724">
        <f t="shared" si="25"/>
        <v>0</v>
      </c>
      <c r="H330" s="1724">
        <f t="shared" si="25"/>
        <v>0</v>
      </c>
      <c r="I330" s="1724">
        <f t="shared" si="25"/>
        <v>0</v>
      </c>
      <c r="J330" s="1724">
        <f t="shared" si="25"/>
        <v>0</v>
      </c>
      <c r="K330" s="1724">
        <f>SUM(K319:K329)</f>
        <v>50425</v>
      </c>
      <c r="L330" s="1724">
        <f>SUM(L319:L329)</f>
        <v>50462</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row>
    <row r="338" spans="1:14" ht="12.75" customHeight="1" x14ac:dyDescent="0.2">
      <c r="A338" s="1333" t="s">
        <v>1160</v>
      </c>
      <c r="B338" s="562" t="s">
        <v>611</v>
      </c>
      <c r="C338" s="1734"/>
      <c r="D338" s="1734"/>
      <c r="E338" s="1734"/>
      <c r="F338" s="1734"/>
      <c r="G338" s="1734"/>
      <c r="H338" s="1633"/>
      <c r="I338" s="1734"/>
      <c r="J338" s="1734"/>
      <c r="K338" s="1722">
        <f>H338</f>
        <v>0</v>
      </c>
      <c r="L338" s="1633"/>
    </row>
    <row r="339" spans="1:14" x14ac:dyDescent="0.2">
      <c r="A339" s="1319" t="s">
        <v>893</v>
      </c>
      <c r="B339" s="512">
        <v>5150</v>
      </c>
      <c r="C339" s="1734"/>
      <c r="D339" s="1734"/>
      <c r="E339" s="1734"/>
      <c r="F339" s="1734"/>
      <c r="G339" s="1734"/>
      <c r="H339" s="1624"/>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0</v>
      </c>
      <c r="D342" s="1724">
        <f>SUM(D330)</f>
        <v>0</v>
      </c>
      <c r="E342" s="1724">
        <f>SUM(E330)</f>
        <v>50425</v>
      </c>
      <c r="F342" s="1724">
        <f>SUM(F330)</f>
        <v>0</v>
      </c>
      <c r="G342" s="1724">
        <f>SUM(G330)</f>
        <v>0</v>
      </c>
      <c r="H342" s="1724">
        <f>SUM(H330,H334,H340)</f>
        <v>0</v>
      </c>
      <c r="I342" s="1724">
        <f>SUM(I330)</f>
        <v>0</v>
      </c>
      <c r="J342" s="1724">
        <f>SUM(J330)</f>
        <v>0</v>
      </c>
      <c r="K342" s="1724">
        <f>SUM(K330,K334,K340)</f>
        <v>50425</v>
      </c>
      <c r="L342" s="1731">
        <f>SUM(L330,L334,L340,L341)</f>
        <v>50462</v>
      </c>
    </row>
    <row r="343" spans="1:14" ht="12.75" customHeight="1" thickTop="1" x14ac:dyDescent="0.2">
      <c r="A343" s="2344" t="s">
        <v>987</v>
      </c>
      <c r="B343" s="2345"/>
      <c r="C343" s="1723"/>
      <c r="D343" s="1723"/>
      <c r="E343" s="1723"/>
      <c r="F343" s="1723"/>
      <c r="G343" s="1723"/>
      <c r="H343" s="1723"/>
      <c r="I343" s="1723"/>
      <c r="J343" s="1723"/>
      <c r="K343" s="1739">
        <f>'Revenues 9-14'!J268-'Expenditures 15-22'!K342</f>
        <v>15773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958</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f>12563+3872</f>
        <v>16435</v>
      </c>
      <c r="F349" s="1623"/>
      <c r="G349" s="1623">
        <f>68432</f>
        <v>68432</v>
      </c>
      <c r="H349" s="1623"/>
      <c r="I349" s="1624"/>
      <c r="J349" s="1624"/>
      <c r="K349" s="1722">
        <f>SUM(C349:J349)</f>
        <v>84867</v>
      </c>
      <c r="L349" s="1623">
        <v>82635</v>
      </c>
    </row>
    <row r="350" spans="1:14" ht="12.75" customHeight="1" thickBot="1" x14ac:dyDescent="0.25">
      <c r="A350" s="1429" t="s">
        <v>712</v>
      </c>
      <c r="B350" s="1430" t="s">
        <v>35</v>
      </c>
      <c r="C350" s="1724">
        <f>SUM(C348:C349)</f>
        <v>0</v>
      </c>
      <c r="D350" s="1724">
        <f t="shared" ref="D350:L350" si="26">SUM(D348:D349)</f>
        <v>0</v>
      </c>
      <c r="E350" s="1724">
        <f t="shared" si="26"/>
        <v>16435</v>
      </c>
      <c r="F350" s="1724">
        <f t="shared" si="26"/>
        <v>0</v>
      </c>
      <c r="G350" s="1724">
        <f t="shared" si="26"/>
        <v>68432</v>
      </c>
      <c r="H350" s="1724">
        <f t="shared" si="26"/>
        <v>0</v>
      </c>
      <c r="I350" s="1724">
        <f t="shared" si="26"/>
        <v>0</v>
      </c>
      <c r="J350" s="1724">
        <f t="shared" si="26"/>
        <v>0</v>
      </c>
      <c r="K350" s="1724">
        <f t="shared" si="26"/>
        <v>84867</v>
      </c>
      <c r="L350" s="1724">
        <f t="shared" si="26"/>
        <v>82635</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16435</v>
      </c>
      <c r="F352" s="1724">
        <f t="shared" si="27"/>
        <v>0</v>
      </c>
      <c r="G352" s="1724">
        <f t="shared" si="27"/>
        <v>68432</v>
      </c>
      <c r="H352" s="1724">
        <f t="shared" si="27"/>
        <v>0</v>
      </c>
      <c r="I352" s="1724">
        <f t="shared" si="27"/>
        <v>0</v>
      </c>
      <c r="J352" s="1724">
        <f t="shared" si="27"/>
        <v>0</v>
      </c>
      <c r="K352" s="1724">
        <f t="shared" si="27"/>
        <v>84867</v>
      </c>
      <c r="L352" s="1724">
        <f t="shared" si="27"/>
        <v>82635</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691</v>
      </c>
      <c r="B356" s="557" t="s">
        <v>552</v>
      </c>
      <c r="C356" s="1723"/>
      <c r="D356" s="1723"/>
      <c r="E356" s="1723"/>
      <c r="F356" s="1723"/>
      <c r="G356" s="1723"/>
      <c r="H356" s="1634"/>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613</v>
      </c>
      <c r="B361" s="494" t="s">
        <v>612</v>
      </c>
      <c r="C361" s="1723"/>
      <c r="D361" s="1723"/>
      <c r="E361" s="1723"/>
      <c r="F361" s="1723"/>
      <c r="G361" s="1723"/>
      <c r="H361" s="1624"/>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16435</v>
      </c>
      <c r="F367" s="1724">
        <f t="shared" si="28"/>
        <v>0</v>
      </c>
      <c r="G367" s="1724">
        <f t="shared" si="28"/>
        <v>68432</v>
      </c>
      <c r="H367" s="1724">
        <f t="shared" si="28"/>
        <v>0</v>
      </c>
      <c r="I367" s="1724">
        <f t="shared" si="28"/>
        <v>0</v>
      </c>
      <c r="J367" s="1724">
        <f t="shared" si="28"/>
        <v>0</v>
      </c>
      <c r="K367" s="1724">
        <f t="shared" si="28"/>
        <v>84867</v>
      </c>
      <c r="L367" s="1724">
        <f t="shared" si="28"/>
        <v>82635</v>
      </c>
    </row>
    <row r="368" spans="1:14" ht="13.5" thickTop="1" x14ac:dyDescent="0.2">
      <c r="A368" s="2358" t="s">
        <v>987</v>
      </c>
      <c r="B368" s="2359"/>
      <c r="C368" s="1744"/>
      <c r="D368" s="1744"/>
      <c r="E368" s="1727"/>
      <c r="F368" s="1727"/>
      <c r="G368" s="1727"/>
      <c r="H368" s="1727"/>
      <c r="I368" s="1727"/>
      <c r="J368" s="1726"/>
      <c r="K368" s="1722">
        <f>'Revenues 9-14'!K268-'Expenditures 15-22'!K367</f>
        <v>-50344</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office/2006/documentManagement/types"/>
    <ds:schemaRef ds:uri="6ce3111e-7420-4802-b50a-75d4e9a0b980"/>
    <ds:schemaRef ds:uri="http://schemas.microsoft.com/office/infopath/2007/PartnerControls"/>
    <ds:schemaRef ds:uri="http://www.w3.org/XML/1998/namespace"/>
    <ds:schemaRef ds:uri="4d435f69-8686-490b-bd6d-b153bf22ab50"/>
    <ds:schemaRef ds:uri="http://purl.org/dc/terms/"/>
    <ds:schemaRef ds:uri="http://purl.org/dc/elements/1.1/"/>
    <ds:schemaRef ds:uri="http://schemas.openxmlformats.org/package/2006/metadata/core-propertie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2020-12-03T21:22:00Z</cp:lastPrinted>
  <dcterms:created xsi:type="dcterms:W3CDTF">2003-10-29T19:06:34Z</dcterms:created>
  <dcterms:modified xsi:type="dcterms:W3CDTF">2020-12-16T00:13:01Z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