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DF4A42-5CE7-40F4-8C3F-9216A9A05A3F}" xr6:coauthVersionLast="36" xr6:coauthVersionMax="36" xr10:uidLastSave="{00000000-0000-0000-0000-000000000000}"/>
  <bookViews>
    <workbookView xWindow="13425" yWindow="3195" windowWidth="13935" windowHeight="11325" tabRatio="959" xr2:uid="{00000000-000D-0000-FFFF-FFFF00000000}"/>
  </bookViews>
  <sheets>
    <sheet name="COVER" sheetId="24" r:id="rId1"/>
    <sheet name="TOC" sheetId="168" r:id="rId2"/>
    <sheet name="Aud Quest 2" sheetId="28" r:id="rId3"/>
    <sheet name="AFR20" sheetId="106" state="hidden"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Single Audit Cover" sheetId="169" r:id="rId25"/>
    <sheet name="Single Audit Checklist" sheetId="170" r:id="rId26"/>
    <sheet name="SEFA Reconcile" sheetId="171" r:id="rId27"/>
    <sheet name=" SEFA" sheetId="179" r:id="rId28"/>
    <sheet name=" SEFA (2)" sheetId="186" r:id="rId29"/>
    <sheet name=" SEFA (3)" sheetId="187" r:id="rId30"/>
    <sheet name=" SEFA (5)" sheetId="189" r:id="rId31"/>
    <sheet name=" SEFA (4)"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1">' SEFA (4)'!$B$1:$M$46</definedName>
    <definedName name="_xlnm.Print_Area" localSheetId="30">'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1">#REF!</definedName>
    <definedName name="SCHADDRS" localSheetId="30">#REF!</definedName>
    <definedName name="SCHADDRS" localSheetId="15">#REF!</definedName>
    <definedName name="SCHADDRS" localSheetId="22">#REF!</definedName>
    <definedName name="SCHADDRS" localSheetId="5">#REF!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1">#REF!</definedName>
    <definedName name="SCHCTY" localSheetId="30">#REF!</definedName>
    <definedName name="SCHCTY" localSheetId="15">#REF!</definedName>
    <definedName name="SCHCTY" localSheetId="22">#REF!</definedName>
    <definedName name="SCHCTY" localSheetId="5">#REF!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1">#REF!</definedName>
    <definedName name="SCHNMBR" localSheetId="30">#REF!</definedName>
    <definedName name="SCHNMBR" localSheetId="15">#REF!</definedName>
    <definedName name="SCHNMBR" localSheetId="22">#REF!</definedName>
    <definedName name="SCHNMBR" localSheetId="5">#REF!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1">#REF!</definedName>
    <definedName name="SCHNME" localSheetId="30">#REF!</definedName>
    <definedName name="SCHNME" localSheetId="15">#REF!</definedName>
    <definedName name="SCHNME" localSheetId="22">#REF!</definedName>
    <definedName name="SCHNME" localSheetId="5">#REF!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1">#REF!</definedName>
    <definedName name="SUPT" localSheetId="30">#REF!</definedName>
    <definedName name="SUPT" localSheetId="15">#REF!</definedName>
    <definedName name="SUPT" localSheetId="22">#REF!</definedName>
    <definedName name="SUPT" localSheetId="5">#REF!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5" i="5" l="1"/>
  <c r="I5" i="3"/>
  <c r="F20" i="186"/>
  <c r="K27" i="189"/>
  <c r="I27" i="189"/>
  <c r="G27" i="189"/>
  <c r="K16" i="189"/>
  <c r="J16" i="189"/>
  <c r="J27" i="189" s="1"/>
  <c r="I16" i="189"/>
  <c r="H16" i="189"/>
  <c r="H27" i="189" s="1"/>
  <c r="G16" i="189"/>
  <c r="F16" i="189"/>
  <c r="F27" i="189" s="1"/>
  <c r="E16" i="189"/>
  <c r="K17" i="188"/>
  <c r="J17" i="188"/>
  <c r="I17" i="188"/>
  <c r="H17" i="188"/>
  <c r="G17" i="188"/>
  <c r="F17" i="188"/>
  <c r="E17" i="188"/>
  <c r="F20" i="187"/>
  <c r="F21" i="187" s="1"/>
  <c r="K21" i="187"/>
  <c r="K27" i="187" s="1"/>
  <c r="J21" i="187"/>
  <c r="I21" i="187"/>
  <c r="H21" i="187"/>
  <c r="G21" i="187"/>
  <c r="E21" i="187"/>
  <c r="E27" i="189" s="1"/>
  <c r="K16" i="187"/>
  <c r="J16" i="187"/>
  <c r="I16" i="187"/>
  <c r="H16" i="187"/>
  <c r="G16" i="187"/>
  <c r="F16" i="187"/>
  <c r="E16" i="187"/>
  <c r="K20" i="186" l="1"/>
  <c r="J20" i="186"/>
  <c r="I20" i="186"/>
  <c r="H20" i="186"/>
  <c r="G20" i="186"/>
  <c r="E20" i="186"/>
  <c r="K21" i="179" l="1"/>
  <c r="J21" i="179"/>
  <c r="I21" i="179"/>
  <c r="H21" i="179"/>
  <c r="G21" i="179"/>
  <c r="F21" i="179"/>
  <c r="E21" i="179"/>
  <c r="K16" i="179" l="1"/>
  <c r="K27" i="179" s="1"/>
  <c r="K27" i="186" s="1"/>
  <c r="K27" i="188" s="1"/>
  <c r="J16" i="179"/>
  <c r="J27" i="179" s="1"/>
  <c r="J27" i="186" s="1"/>
  <c r="J27" i="188" s="1"/>
  <c r="I16" i="179"/>
  <c r="I27" i="179" s="1"/>
  <c r="I27" i="186" s="1"/>
  <c r="I27" i="188" s="1"/>
  <c r="H16" i="179"/>
  <c r="H27" i="179" s="1"/>
  <c r="H27" i="186" s="1"/>
  <c r="H27" i="188" s="1"/>
  <c r="G16" i="179"/>
  <c r="G27" i="179" s="1"/>
  <c r="G27" i="186" s="1"/>
  <c r="G27" i="188" s="1"/>
  <c r="F16" i="179"/>
  <c r="F27" i="179" s="1"/>
  <c r="F27" i="186" s="1"/>
  <c r="F27" i="188" s="1"/>
  <c r="E16" i="179"/>
  <c r="E27" i="179" s="1"/>
  <c r="E27" i="186" s="1"/>
  <c r="E27" i="188" s="1"/>
  <c r="E16" i="7" l="1"/>
  <c r="M19" i="3" l="1"/>
  <c r="E182" i="29" l="1"/>
  <c r="C5" i="29"/>
  <c r="D5" i="29"/>
  <c r="D215" i="29"/>
  <c r="L27" i="189" l="1"/>
  <c r="L26" i="189"/>
  <c r="L25" i="189"/>
  <c r="L24" i="189"/>
  <c r="L23" i="189"/>
  <c r="L22" i="189"/>
  <c r="L21" i="189"/>
  <c r="L20" i="189"/>
  <c r="L19" i="189"/>
  <c r="L18" i="189"/>
  <c r="L17" i="189"/>
  <c r="L16" i="189"/>
  <c r="L15" i="189"/>
  <c r="L14" i="189"/>
  <c r="I9" i="189"/>
  <c r="G9" i="189"/>
  <c r="F9" i="189"/>
  <c r="E9" i="189"/>
  <c r="J8" i="189"/>
  <c r="H8" i="189"/>
  <c r="L27" i="188"/>
  <c r="L26" i="188"/>
  <c r="L25" i="188"/>
  <c r="L24" i="188"/>
  <c r="L23" i="188"/>
  <c r="L22" i="188"/>
  <c r="L21" i="188"/>
  <c r="L20" i="188"/>
  <c r="L19" i="188"/>
  <c r="L18" i="188"/>
  <c r="L17" i="188"/>
  <c r="L16" i="188"/>
  <c r="L15" i="188"/>
  <c r="L14" i="188"/>
  <c r="L13" i="188"/>
  <c r="L12" i="188"/>
  <c r="L11" i="188"/>
  <c r="I9" i="188"/>
  <c r="G9" i="188"/>
  <c r="F9" i="188"/>
  <c r="E9" i="188"/>
  <c r="J8" i="188"/>
  <c r="H8" i="188"/>
  <c r="L27" i="187"/>
  <c r="L26" i="187"/>
  <c r="L25" i="187"/>
  <c r="L23" i="187"/>
  <c r="L21" i="187"/>
  <c r="L20" i="187"/>
  <c r="L19" i="187"/>
  <c r="L16" i="187"/>
  <c r="L15" i="187"/>
  <c r="L14" i="187"/>
  <c r="I9" i="187"/>
  <c r="G9" i="187"/>
  <c r="F9" i="187"/>
  <c r="E9" i="187"/>
  <c r="J8" i="187"/>
  <c r="H8" i="187"/>
  <c r="L26" i="186"/>
  <c r="L25" i="186"/>
  <c r="L24" i="186"/>
  <c r="L20" i="186"/>
  <c r="L19" i="186"/>
  <c r="L18" i="186"/>
  <c r="L17" i="186"/>
  <c r="L16" i="186"/>
  <c r="L15" i="186"/>
  <c r="L14" i="186"/>
  <c r="I9" i="186"/>
  <c r="G9" i="186"/>
  <c r="F9" i="186"/>
  <c r="E9" i="186"/>
  <c r="J8" i="186"/>
  <c r="H8" i="186"/>
  <c r="H169" i="29" l="1"/>
  <c r="I4" i="3" l="1"/>
  <c r="D44" i="29" l="1"/>
  <c r="G8"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0" i="183"/>
  <c r="F29" i="183"/>
  <c r="F28" i="183"/>
  <c r="F26" i="183"/>
  <c r="F25" i="183"/>
  <c r="F24" i="183"/>
  <c r="F23" i="183"/>
  <c r="F22" i="183"/>
  <c r="F19" i="183"/>
  <c r="E37" i="183"/>
  <c r="E36" i="183"/>
  <c r="E35" i="183"/>
  <c r="E34" i="183"/>
  <c r="E33" i="183"/>
  <c r="E32" i="183"/>
  <c r="E30" i="183"/>
  <c r="E29" i="183"/>
  <c r="E28" i="183"/>
  <c r="E27" i="183"/>
  <c r="F27" i="183" s="1"/>
  <c r="E26" i="183"/>
  <c r="E25" i="183"/>
  <c r="E24" i="183"/>
  <c r="E23" i="183"/>
  <c r="E22" i="183"/>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6"/>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7" i="186" s="1"/>
  <c r="L26" i="179"/>
  <c r="L25" i="179"/>
  <c r="L24" i="179"/>
  <c r="L23" i="179"/>
  <c r="L22" i="179"/>
  <c r="L21" i="179"/>
  <c r="L20" i="179"/>
  <c r="L19"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8"/>
  <c r="B1" i="186"/>
  <c r="B1" i="187"/>
  <c r="B2" i="179"/>
  <c r="B2" i="187"/>
  <c r="B2" i="189"/>
  <c r="B2" i="188"/>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F70" i="34" l="1"/>
  <c r="F37" i="34"/>
  <c r="B7829" i="106" s="1"/>
  <c r="D7829" i="106" s="1"/>
  <c r="F34" i="34"/>
  <c r="B7826" i="106" s="1"/>
  <c r="D7826" i="106" s="1"/>
  <c r="G35" i="108"/>
  <c r="G26" i="108"/>
  <c r="H342" i="29"/>
  <c r="B7221" i="106" s="1"/>
  <c r="D7221" i="106" s="1"/>
  <c r="B6289" i="106"/>
  <c r="D6289" i="106" s="1"/>
  <c r="C342" i="29"/>
  <c r="B7216" i="106" s="1"/>
  <c r="D7216"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C151" i="29" s="1"/>
  <c r="B1226" i="106" s="1"/>
  <c r="D1226"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6" i="4" l="1"/>
  <c r="B6226" i="106" s="1"/>
  <c r="D6226" i="106" s="1"/>
  <c r="L114" i="29"/>
  <c r="N23" i="3"/>
  <c r="B284" i="106" s="1"/>
  <c r="D284" i="106" s="1"/>
  <c r="B6216" i="106"/>
  <c r="D6216" i="106" s="1"/>
  <c r="B1381" i="106"/>
  <c r="D1381" i="106" s="1"/>
  <c r="F41" i="108"/>
  <c r="G43" i="108" s="1"/>
  <c r="B5527" i="106"/>
  <c r="D5527" i="106" s="1"/>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J78" i="4" s="1"/>
  <c r="B6227" i="106"/>
  <c r="D6227" i="106" s="1"/>
  <c r="F8" i="4"/>
  <c r="B2595" i="106" s="1"/>
  <c r="D2595" i="106" s="1"/>
  <c r="K17" i="4"/>
  <c r="B3575" i="106" s="1"/>
  <c r="D357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78" i="4"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F8" i="146"/>
  <c r="D10"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<sst xmlns="http://schemas.openxmlformats.org/spreadsheetml/2006/main" count="5489" uniqueCount="2180">
  <si>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</si>
  <si>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</si>
  <si>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</si>
  <si>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</si>
  <si>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</si>
  <si>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</si>
  <si>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</si>
  <si>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</si>
  <si>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</si>
  <si>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</si>
  <si>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</si>
  <si>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</si>
  <si>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</si>
  <si>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</si>
  <si>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</si>
  <si>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</si>
  <si>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</si>
  <si>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</si>
  <si>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</si>
  <si>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</si>
  <si>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</si>
  <si>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</si>
  <si>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</si>
  <si>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</si>
  <si>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</si>
  <si>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</si>
  <si>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</si>
  <si>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</si>
  <si>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</si>
  <si>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</si>
  <si>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</si>
  <si>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</si>
  <si>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</si>
  <si>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</si>
  <si>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</si>
  <si>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</si>
  <si>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</si>
  <si>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</si>
  <si>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</si>
  <si>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</si>
  <si>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</si>
  <si>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</si>
  <si>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</si>
  <si>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</si>
  <si>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</si>
  <si>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</si>
  <si>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</si>
  <si>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</si>
  <si>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</si>
  <si>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</si>
  <si>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</si>
  <si>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</si>
  <si>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</si>
  <si>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</si>
  <si>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</si>
  <si>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</si>
  <si>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</si>
  <si>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</si>
  <si>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</si>
  <si>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</si>
  <si>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</si>
  <si>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</si>
  <si>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</si>
  <si>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</si>
  <si>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</si>
  <si>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</si>
  <si>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</si>
  <si>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</si>
  <si>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</si>
  <si>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</si>
  <si>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</si>
  <si>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</si>
  <si>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</si>
  <si>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</si>
  <si>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</si>
  <si>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</si>
  <si>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</si>
  <si>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</si>
  <si>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</si>
  <si>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</si>
  <si>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</si>
  <si>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</si>
  <si>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</si>
  <si>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</si>
  <si>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</si>
  <si>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</si>
  <si>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</si>
  <si>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</si>
  <si>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</si>
  <si>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</si>
  <si>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</si>
  <si>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</si>
  <si>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</si>
  <si>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</si>
  <si>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</si>
  <si>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</si>
  <si>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</si>
  <si>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</si>
  <si>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</si>
  <si>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</si>
  <si>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</si>
  <si>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</si>
  <si>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</si>
  <si>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</si>
  <si>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</si>
  <si>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</si>
  <si>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</si>
  <si>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</si>
  <si>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</si>
  <si>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</si>
  <si>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</si>
  <si>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</si>
  <si>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</si>
  <si>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</si>
  <si>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</si>
  <si>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</si>
  <si>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</si>
  <si>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</si>
  <si>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</si>
  <si>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</si>
  <si>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</si>
  <si>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</si>
  <si>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</si>
  <si>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</si>
  <si>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</si>
  <si>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</si>
  <si>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</si>
  <si>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</si>
  <si>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</si>
  <si>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</si>
  <si>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</si>
  <si>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</si>
  <si>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</si>
  <si>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</si>
  <si>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</si>
  <si>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</si>
  <si>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</si>
  <si>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</si>
  <si>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</si>
  <si>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</si>
  <si>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</si>
  <si>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</si>
  <si>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</si>
  <si>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</si>
  <si>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</si>
  <si>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</si>
  <si>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</si>
  <si>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</si>
  <si>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</si>
  <si>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</si>
  <si>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</si>
  <si>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</si>
  <si>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</si>
  <si>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</si>
  <si>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</si>
  <si>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</si>
  <si>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</si>
  <si>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</si>
  <si>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</si>
  <si>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</si>
  <si>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</si>
  <si>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</si>
  <si>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</si>
  <si>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</si>
  <si>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</si>
  <si>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</si>
  <si>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</si>
  <si>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</si>
  <si>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</si>
  <si>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</si>
  <si>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</si>
  <si>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</si>
  <si>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</si>
  <si>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</si>
  <si>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</si>
  <si>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</si>
  <si>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</si>
  <si>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</si>
  <si>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</si>
  <si>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</si>
  <si>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</si>
  <si>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</si>
  <si>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</si>
  <si>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</si>
  <si>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</si>
  <si>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</si>
  <si>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</si>
  <si>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</si>
  <si>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</si>
  <si>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</si>
  <si>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</si>
  <si>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</si>
  <si>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</si>
  <si>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</si>
  <si>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</si>
  <si>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</si>
  <si>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</si>
  <si>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</si>
  <si>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</si>
  <si>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</si>
  <si>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</si>
  <si>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</si>
  <si>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</si>
  <si>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</si>
  <si>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</si>
  <si>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</si>
  <si>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</si>
  <si>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</si>
  <si>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</si>
  <si>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</si>
  <si>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</si>
  <si>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</si>
  <si>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</si>
  <si>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</si>
  <si>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</si>
  <si>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</si>
  <si>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</si>
  <si>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</si>
  <si>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</si>
  <si>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</si>
  <si>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</si>
  <si>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</si>
  <si>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</si>
  <si>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</si>
  <si>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</si>
  <si>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</si>
  <si>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</si>
  <si>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</si>
  <si>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</si>
  <si>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</si>
  <si>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</si>
  <si>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</si>
  <si>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</si>
  <si>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</si>
  <si>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</si>
  <si>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</si>
  <si>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</si>
  <si>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</si>
  <si>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</si>
  <si>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</si>
  <si>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</si>
  <si>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</si>
  <si>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</si>
  <si>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</si>
  <si>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</si>
  <si>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</si>
  <si>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</si>
  <si>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</si>
  <si>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</si>
  <si>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</si>
  <si>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</si>
  <si>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</si>
  <si>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</si>
  <si>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</si>
  <si>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</si>
  <si>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</si>
  <si>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</si>
  <si>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</si>
  <si>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</si>
  <si>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</si>
  <si>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</si>
  <si>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</si>
  <si>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</si>
  <si>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</si>
  <si>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</si>
  <si>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</si>
  <si>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</si>
  <si>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</si>
  <si>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</si>
  <si>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</si>
  <si>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</si>
  <si>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</si>
  <si>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</si>
  <si>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</si>
  <si>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</si>
  <si>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</si>
  <si>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</si>
  <si>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</si>
  <si>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</si>
  <si>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</si>
  <si>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</si>
  <si>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</si>
  <si>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</si>
  <si>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</si>
  <si>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</si>
  <si>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</si>
  <si>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</si>
  <si>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</si>
  <si>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</si>
  <si>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</si>
  <si>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</si>
  <si>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</si>
  <si>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</si>
  <si>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</si>
  <si>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</si>
  <si>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</si>
  <si>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</si>
  <si>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</si>
  <si>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</si>
  <si>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</si>
  <si>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</si>
  <si>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</si>
  <si>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</si>
  <si>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</si>
  <si>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</si>
  <si>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</si>
  <si>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</si>
  <si>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</si>
  <si>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</si>
  <si>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</si>
  <si>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</si>
  <si>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</si>
  <si>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</si>
  <si>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</si>
  <si>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</si>
  <si>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</si>
  <si>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</si>
  <si>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</si>
  <si>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</si>
  <si>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</si>
  <si>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</si>
  <si>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</si>
  <si>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</si>
  <si>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</si>
  <si>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</si>
  <si>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</si>
  <si>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</si>
  <si>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</si>
  <si>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</si>
  <si>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</si>
  <si>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</si>
  <si>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</si>
  <si>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</si>
  <si>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</si>
  <si>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</si>
  <si>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</si>
  <si>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</si>
  <si>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</si>
  <si>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</si>
  <si>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</si>
  <si>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</si>
  <si>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</si>
  <si>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</si>
  <si>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</si>
  <si>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</si>
  <si>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</si>
  <si>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</si>
  <si>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</si>
  <si>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</si>
  <si>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</si>
  <si>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</si>
  <si>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</si>
  <si>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</si>
  <si>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</si>
  <si>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</si>
  <si>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</si>
  <si>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</si>
  <si>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</si>
  <si>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</si>
  <si>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</si>
  <si>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</si>
  <si>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</si>
  <si>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</si>
  <si>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</si>
  <si>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</si>
  <si>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</si>
  <si>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</si>
  <si>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</si>
  <si>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</si>
  <si>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</si>
  <si>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</si>
  <si>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</si>
  <si>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</si>
  <si>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</si>
  <si>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</si>
  <si>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</si>
  <si>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</si>
  <si>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</si>
  <si>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</si>
  <si>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</si>
  <si>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</si>
  <si>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</si>
  <si>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</si>
  <si>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</si>
  <si>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</si>
  <si>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</si>
  <si>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</si>
  <si>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</si>
  <si>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</si>
  <si>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</si>
  <si>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</si>
  <si>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</si>
  <si>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</si>
  <si>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</si>
  <si>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</si>
  <si>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</si>
  <si>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</si>
  <si>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</si>
  <si>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</si>
  <si>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</si>
  <si>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</si>
  <si>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</si>
  <si>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</si>
  <si>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</si>
  <si>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</si>
  <si>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</si>
  <si>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</si>
  <si>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</si>
  <si>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</si>
  <si>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</si>
  <si>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</si>
  <si>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</si>
  <si>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</si>
  <si>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</si>
  <si>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</si>
  <si>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</si>
  <si>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</si>
  <si>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</si>
  <si>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</si>
  <si>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</si>
  <si>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</si>
  <si>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</si>
  <si>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</si>
  <si>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</si>
  <si>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</si>
  <si>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</si>
  <si>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</si>
  <si>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</si>
  <si>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</si>
  <si>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</si>
  <si>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</si>
  <si>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</si>
  <si>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</si>
  <si>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</si>
  <si>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</si>
  <si>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</si>
  <si>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</si>
  <si>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</si>
  <si>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</si>
  <si>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</si>
  <si>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</si>
  <si>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</si>
  <si>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</si>
  <si>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</si>
  <si>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</si>
  <si>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</si>
  <si>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</si>
  <si>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</si>
  <si>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</si>
  <si>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</si>
  <si>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</si>
  <si>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</si>
  <si>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</si>
  <si>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</si>
  <si>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</si>
  <si>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</si>
  <si>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</si>
  <si>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</si>
  <si>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</si>
  <si>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</si>
  <si>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</si>
  <si>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</si>
  <si>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</si>
  <si>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</si>
  <si>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</si>
  <si>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</si>
  <si>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</si>
  <si>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</si>
  <si>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</si>
  <si>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</si>
  <si>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</si>
  <si>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</si>
  <si>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</si>
  <si>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</si>
  <si>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</si>
  <si>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</si>
  <si>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</si>
  <si>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</si>
  <si>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</si>
  <si>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</si>
  <si>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</si>
  <si>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</si>
  <si>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</si>
  <si>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</si>
  <si>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</si>
  <si>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</si>
  <si>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</si>
  <si>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</si>
  <si>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</si>
  <si>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</si>
  <si>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</si>
  <si>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</si>
  <si>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</si>
  <si>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</si>
  <si>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</si>
  <si>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</si>
  <si>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</si>
  <si>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</si>
  <si>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</si>
  <si>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</si>
  <si>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</si>
  <si>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</si>
  <si>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</si>
  <si>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</si>
  <si>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</si>
  <si>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</si>
  <si>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</si>
  <si>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</si>
  <si>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</si>
  <si>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</si>
  <si>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</si>
  <si>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</si>
  <si>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</si>
  <si>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</si>
  <si>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</si>
  <si>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</si>
  <si>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</si>
  <si>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</si>
  <si>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</si>
  <si>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</si>
  <si>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</si>
  <si>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</si>
  <si>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</si>
  <si>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</si>
  <si>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</si>
  <si>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</si>
  <si>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</si>
  <si>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</si>
  <si>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</si>
  <si>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</si>
  <si>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</si>
  <si>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</si>
  <si>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</si>
  <si>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</si>
  <si>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</si>
  <si>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</si>
  <si>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</si>
  <si>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</si>
  <si>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</si>
  <si>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</si>
  <si>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</si>
  <si>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</si>
  <si>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</si>
  <si>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</si>
  <si>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</si>
  <si>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</si>
  <si>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</si>
  <si>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</si>
  <si>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</si>
  <si>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</si>
  <si>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</si>
  <si>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</si>
  <si>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</si>
  <si>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</si>
  <si>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</si>
  <si>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</si>
  <si>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</si>
  <si>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</si>
  <si>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</si>
  <si>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</si>
  <si>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</si>
  <si>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</si>
  <si>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</si>
  <si>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</si>
  <si>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</si>
  <si>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</si>
  <si>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</si>
  <si>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</si>
  <si>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</si>
  <si>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</si>
  <si>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</si>
  <si>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</si>
  <si>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</si>
  <si>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</si>
  <si>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</si>
  <si>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</si>
  <si>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</si>
  <si>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</si>
  <si>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</si>
  <si>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</si>
  <si>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</si>
  <si>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</si>
  <si>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</si>
  <si>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</si>
  <si>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</si>
  <si>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</si>
  <si>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</si>
  <si>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</si>
  <si>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</si>
  <si>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</si>
  <si>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</si>
  <si>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</si>
  <si>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</si>
  <si>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</si>
  <si>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</si>
  <si>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</si>
  <si>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</si>
  <si>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</si>
  <si>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</si>
  <si>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</si>
  <si>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</si>
  <si>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</si>
  <si>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</si>
  <si>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</si>
  <si>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</si>
  <si>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</si>
  <si>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</si>
  <si>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</si>
  <si>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</si>
  <si>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</si>
  <si>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</si>
  <si>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</si>
  <si>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</si>
  <si>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</si>
  <si>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</si>
  <si>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</si>
  <si>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</si>
  <si>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</si>
  <si>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</si>
  <si>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</si>
  <si>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</si>
  <si>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</si>
  <si>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</si>
  <si>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</si>
  <si>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</si>
  <si>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</si>
  <si>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</si>
  <si>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</si>
  <si>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</si>
  <si>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</si>
  <si>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</si>
  <si>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</si>
  <si>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</si>
  <si>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</si>
  <si>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</si>
  <si>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</si>
  <si>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</si>
  <si>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</si>
  <si>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</si>
  <si>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</si>
  <si>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</si>
  <si>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</si>
  <si>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</si>
  <si>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</si>
  <si>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</si>
  <si>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</si>
  <si>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</si>
  <si>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</si>
  <si>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</si>
  <si>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</si>
  <si>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</si>
  <si>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</si>
  <si>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</si>
  <si>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</si>
  <si>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</si>
  <si>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</si>
  <si>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</si>
  <si>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</si>
  <si>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</si>
  <si>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</si>
  <si>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</si>
  <si>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</si>
  <si>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</si>
  <si>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</si>
  <si>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</si>
  <si>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</si>
  <si>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</si>
  <si>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</si>
  <si>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</si>
  <si>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</si>
  <si>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</si>
  <si>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</si>
  <si>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</si>
  <si>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</si>
  <si>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</si>
  <si>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</si>
  <si>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</si>
  <si>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</si>
  <si>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</si>
  <si>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</si>
  <si>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</si>
  <si>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</si>
  <si>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</si>
  <si>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</si>
  <si>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</si>
  <si>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</si>
  <si>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</si>
  <si>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</si>
  <si>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</si>
  <si>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</si>
  <si>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</si>
  <si>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</si>
  <si>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</si>
  <si>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</si>
  <si>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</si>
  <si>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</si>
  <si>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</si>
  <si>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</si>
  <si>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</si>
  <si>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</si>
  <si>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</si>
  <si>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</si>
  <si>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</si>
  <si>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</si>
  <si>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</si>
  <si>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</si>
  <si>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</si>
  <si>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</si>
  <si>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</si>
  <si>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</si>
  <si>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</si>
  <si>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</si>
  <si>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</si>
  <si>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</si>
  <si>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</si>
  <si>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</si>
  <si>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</si>
  <si>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</si>
  <si>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</si>
  <si>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</si>
  <si>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</si>
  <si>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</si>
  <si>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</si>
  <si>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</si>
  <si>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</si>
  <si>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</si>
  <si>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</si>
  <si>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</si>
  <si>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</si>
  <si>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</si>
  <si>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</si>
  <si>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</si>
  <si>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</si>
  <si>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</si>
  <si>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</si>
  <si>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</si>
  <si>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</si>
  <si>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</si>
  <si>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</si>
  <si>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</si>
  <si>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</si>
  <si>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</si>
  <si>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</si>
  <si>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</si>
  <si>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</si>
  <si>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</si>
  <si>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</si>
  <si>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</si>
  <si>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</si>
  <si>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</si>
  <si>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</si>
  <si>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</si>
  <si>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</si>
  <si>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</si>
  <si>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</si>
  <si>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</si>
  <si>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</si>
  <si>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</si>
  <si>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</si>
  <si>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</si>
  <si>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</si>
  <si>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</si>
  <si>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</si>
  <si>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</si>
  <si>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</si>
  <si>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</si>
  <si>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</si>
  <si>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</si>
  <si>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</si>
  <si>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</si>
  <si>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</si>
  <si>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</si>
  <si>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</si>
  <si>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</si>
  <si>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</si>
  <si>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</si>
  <si>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</si>
  <si>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</si>
  <si>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</si>
  <si>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</si>
  <si>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</si>
  <si>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</si>
  <si>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</si>
  <si>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</si>
  <si>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</si>
  <si>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</si>
  <si>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</si>
  <si>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</si>
  <si>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</si>
  <si>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</si>
  <si>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</si>
  <si>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</si>
  <si>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</si>
  <si>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</si>
  <si>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</si>
  <si>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</si>
  <si>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</si>
  <si>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</si>
  <si>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</si>
  <si>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</si>
  <si>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</si>
  <si>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</si>
  <si>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</si>
  <si>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</si>
  <si>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</si>
  <si>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</si>
  <si>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</si>
  <si>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</si>
  <si>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</si>
  <si>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</si>
  <si>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</si>
  <si>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</si>
  <si>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</si>
  <si>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</si>
  <si>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</si>
  <si>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</si>
  <si>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</si>
  <si>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</si>
  <si>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</si>
  <si>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</si>
  <si>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</si>
  <si>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</si>
  <si>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</si>
  <si>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</si>
  <si>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</si>
  <si>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</si>
  <si>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</si>
  <si>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</si>
  <si>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</si>
  <si>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</si>
  <si>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</si>
  <si>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</si>
  <si>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</si>
  <si>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</si>
  <si>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</si>
  <si>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</si>
  <si>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</si>
  <si>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</si>
  <si>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</si>
  <si>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</si>
  <si>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</si>
  <si>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</si>
  <si>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</si>
  <si>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</si>
  <si>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</si>
  <si>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</si>
  <si>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</si>
  <si>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</si>
  <si>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</si>
  <si>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</si>
  <si>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</si>
  <si>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</si>
  <si>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</si>
  <si>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</si>
  <si>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</si>
  <si>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</si>
  <si>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</si>
  <si>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</si>
  <si>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</si>
  <si>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</si>
  <si>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</si>
  <si>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</si>
  <si>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</si>
  <si>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</si>
  <si>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</si>
  <si>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</si>
  <si>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</si>
  <si>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</si>
  <si>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</si>
  <si>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</si>
  <si>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</si>
  <si>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</si>
  <si>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</si>
  <si>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</si>
  <si>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</si>
  <si>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</si>
  <si>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</si>
  <si>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</si>
  <si>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</si>
  <si>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</si>
  <si>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</si>
  <si>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</si>
  <si>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</si>
  <si>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</si>
  <si>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</si>
  <si>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</si>
  <si>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</si>
  <si>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</si>
  <si>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</si>
  <si>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</si>
  <si>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</si>
  <si>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</si>
  <si>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</si>
  <si>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</si>
  <si>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</si>
  <si>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</si>
  <si>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</si>
  <si>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</si>
  <si>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</si>
  <si>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</si>
  <si>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</si>
  <si>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</si>
  <si>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</si>
  <si>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</si>
  <si>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</si>
  <si>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</si>
  <si>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</si>
  <si>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</si>
  <si>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</si>
  <si>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</si>
  <si>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</si>
  <si>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</si>
  <si>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</si>
  <si>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</si>
  <si>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</si>
  <si>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</si>
  <si>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</si>
  <si>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</si>
  <si>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</si>
  <si>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</si>
  <si>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</si>
  <si>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</si>
  <si>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</si>
  <si>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</si>
  <si>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</si>
  <si>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</si>
  <si>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</si>
  <si>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</si>
  <si>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</si>
  <si>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</si>
  <si>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</si>
  <si>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</si>
  <si>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</si>
  <si>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</si>
  <si>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</si>
  <si>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</si>
  <si>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</si>
  <si>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</si>
  <si>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</si>
  <si>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</si>
  <si>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</si>
  <si>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</si>
  <si>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</si>
  <si>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</si>
  <si>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</si>
  <si>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</si>
  <si>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</si>
  <si>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</si>
  <si>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</si>
  <si>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</si>
  <si>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</si>
  <si>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</si>
  <si>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</si>
  <si>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</si>
  <si>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</si>
  <si>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</si>
  <si>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</si>
  <si>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</si>
  <si>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</si>
  <si>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</si>
  <si>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</si>
  <si>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</si>
  <si>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</si>
  <si>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</si>
  <si>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</si>
  <si>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</si>
  <si>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</si>
  <si>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</si>
  <si>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</si>
  <si>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</si>
  <si>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</si>
  <si>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</si>
  <si>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</si>
  <si>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</si>
  <si>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</si>
  <si>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</si>
  <si>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</si>
  <si>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</si>
  <si>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</si>
  <si>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</si>
  <si>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</si>
  <si>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</si>
  <si>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</si>
  <si>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</si>
  <si>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</si>
  <si>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</si>
  <si>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</si>
  <si>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</si>
  <si>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</si>
  <si>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</si>
  <si>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</si>
  <si>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</si>
  <si>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</si>
  <si>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</si>
  <si>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</si>
  <si>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</si>
  <si>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</si>
  <si>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</si>
  <si>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</si>
  <si>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</si>
  <si>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</si>
  <si>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</si>
  <si>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</si>
  <si>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</si>
  <si>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</si>
  <si>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</si>
  <si>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</si>
  <si>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</si>
  <si>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</si>
  <si>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</si>
  <si>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</si>
  <si>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</si>
  <si>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</si>
  <si>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</si>
  <si>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</si>
  <si>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</si>
  <si>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</si>
  <si>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</si>
  <si>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</si>
  <si>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</si>
  <si>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</si>
  <si>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</si>
  <si>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</si>
  <si>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</si>
  <si>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</si>
  <si>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</si>
  <si>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</si>
  <si>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</si>
  <si>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</si>
  <si>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</si>
  <si>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</si>
  <si>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</si>
  <si>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</si>
  <si>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</si>
  <si>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</si>
  <si>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</si>
  <si>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</si>
  <si>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</si>
  <si>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</si>
  <si>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</si>
  <si>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</si>
  <si>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</si>
  <si>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</si>
  <si>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</si>
  <si>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</si>
  <si>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</si>
  <si>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</si>
  <si>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</si>
  <si>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</si>
  <si>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</si>
  <si>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</si>
  <si>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</si>
  <si>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</si>
  <si>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</si>
  <si>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</si>
  <si>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</si>
  <si>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</si>
  <si>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</si>
  <si>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</si>
  <si>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</si>
  <si>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</si>
  <si>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</si>
  <si>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</si>
  <si>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</si>
  <si>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</si>
  <si>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</si>
  <si>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</si>
  <si>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</si>
  <si>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</si>
  <si>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</si>
  <si>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</si>
  <si>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</si>
  <si>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</si>
  <si>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</si>
  <si>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</si>
  <si>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</si>
  <si>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</si>
  <si>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</si>
  <si>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</si>
  <si>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</si>
  <si>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</si>
  <si>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</si>
  <si>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</si>
  <si>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</si>
  <si>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</si>
  <si>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</si>
  <si>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</si>
  <si>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</si>
  <si>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</si>
  <si>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</si>
  <si>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</si>
  <si>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</si>
  <si>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</si>
  <si>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</si>
  <si>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</si>
  <si>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</si>
  <si>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</si>
  <si>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</si>
  <si>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</si>
  <si>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</si>
  <si>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</si>
  <si>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</si>
  <si>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</si>
  <si>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</si>
  <si>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</si>
  <si>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</si>
  <si>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</si>
  <si>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</si>
  <si>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</si>
  <si>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</si>
  <si>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</si>
  <si>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</si>
  <si>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</si>
  <si>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</si>
  <si>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</si>
  <si>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</si>
  <si>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</si>
  <si>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</si>
  <si>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</si>
  <si>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</si>
  <si>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</si>
  <si>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</si>
  <si>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</si>
  <si>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</si>
  <si>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</si>
  <si>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</si>
  <si>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</si>
  <si>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</si>
  <si>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</si>
  <si>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</si>
  <si>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</si>
  <si>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</si>
  <si>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</si>
  <si>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</si>
  <si>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</si>
  <si>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</si>
  <si>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</si>
  <si>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</si>
  <si>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</si>
  <si>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</si>
  <si>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</si>
  <si>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</si>
  <si>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</si>
  <si>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</si>
  <si>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</si>
  <si>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</si>
  <si>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</si>
  <si>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</si>
  <si>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</si>
  <si>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</si>
  <si>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</si>
  <si>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</si>
  <si>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</si>
  <si>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</si>
  <si>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</si>
  <si>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</si>
  <si>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</si>
  <si>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</si>
  <si>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</si>
  <si>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</si>
  <si>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</si>
  <si>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</si>
  <si>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</si>
  <si>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</si>
  <si>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</si>
  <si>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</si>
  <si>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</si>
  <si>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</si>
  <si>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</si>
  <si>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</si>
  <si>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</si>
  <si>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</si>
  <si>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</si>
  <si>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</si>
  <si>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</si>
  <si>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</si>
  <si>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</si>
  <si>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</si>
  <si>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</si>
  <si>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</si>
  <si>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</si>
  <si>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</si>
  <si>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</si>
  <si>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</si>
  <si>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</si>
  <si>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</si>
  <si>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</si>
  <si>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</si>
  <si>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</si>
  <si>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</si>
  <si>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</si>
  <si>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</si>
  <si>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</si>
  <si>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</si>
  <si>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</si>
  <si>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</si>
  <si>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</si>
  <si>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</si>
  <si>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</si>
  <si>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</si>
  <si>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</si>
  <si>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</si>
  <si>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</si>
  <si>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</si>
  <si>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</si>
  <si>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</si>
  <si>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</si>
  <si>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</si>
  <si>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</si>
  <si>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</si>
  <si>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</si>
  <si>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</si>
  <si>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</si>
  <si>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</si>
  <si>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</si>
  <si>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</si>
  <si>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</si>
  <si>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</si>
  <si>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</si>
  <si>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</si>
  <si>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</si>
  <si>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</si>
  <si>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</si>
  <si>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</si>
  <si>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</si>
  <si>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</si>
  <si>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</si>
  <si>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</si>
  <si>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</si>
  <si>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</si>
  <si>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</si>
  <si>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</si>
  <si>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</si>
  <si>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</si>
  <si>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</si>
  <si>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</si>
  <si>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</si>
  <si>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</si>
  <si>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</si>
  <si>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</si>
  <si>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</si>
  <si>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</si>
  <si>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</si>
  <si>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</si>
  <si>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</si>
  <si>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</si>
  <si>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</si>
  <si>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</si>
  <si>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</si>
  <si>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</si>
  <si>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</si>
  <si>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</si>
  <si>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</si>
  <si>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</si>
  <si>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</si>
  <si>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</si>
  <si>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</si>
  <si>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</si>
  <si>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</si>
  <si>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</si>
  <si>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</si>
  <si>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</si>
  <si>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</si>
  <si>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</si>
  <si>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</si>
  <si>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</si>
  <si>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</si>
  <si>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</si>
  <si>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</si>
  <si>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</si>
  <si>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</si>
  <si>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</si>
  <si>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</si>
  <si>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</si>
  <si>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</si>
  <si>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</si>
  <si>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</si>
  <si>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</si>
  <si>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</si>
  <si>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</si>
  <si>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</si>
  <si>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</si>
  <si>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</si>
  <si>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</si>
  <si>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</si>
  <si>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</si>
  <si>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</si>
  <si>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</si>
  <si>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</si>
  <si>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</si>
  <si>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</si>
  <si>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</si>
  <si>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</si>
  <si>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</si>
  <si>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</si>
  <si>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</si>
  <si>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</si>
  <si>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</si>
  <si>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</si>
  <si>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</si>
  <si>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</si>
  <si>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</si>
  <si>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</si>
  <si>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</si>
  <si>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</si>
  <si>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</si>
  <si>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</si>
  <si>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</si>
  <si>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</si>
  <si>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</si>
  <si>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</si>
  <si>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</si>
  <si>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</si>
  <si>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</si>
  <si>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</si>
  <si>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</si>
  <si>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</si>
  <si>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</si>
  <si>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</si>
  <si>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</si>
  <si>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</si>
  <si>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</si>
  <si>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</si>
  <si>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</si>
  <si>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</si>
  <si>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</si>
  <si>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</si>
  <si>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</si>
  <si>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</si>
  <si>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</si>
  <si>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</si>
  <si>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</si>
  <si>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</si>
  <si>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</si>
  <si>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</si>
  <si>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</si>
  <si>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</si>
  <si>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</si>
  <si>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</si>
  <si>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</si>
  <si>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</si>
  <si>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</si>
  <si>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</si>
  <si>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</si>
  <si>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</si>
  <si>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</si>
  <si>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</si>
  <si>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</si>
  <si>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</si>
  <si>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</si>
  <si>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</si>
  <si>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</si>
  <si>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</si>
  <si>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</si>
  <si>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</si>
  <si>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</si>
  <si>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</si>
  <si>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</si>
  <si>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</si>
  <si>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</si>
  <si>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</si>
  <si>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</si>
  <si>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</si>
  <si>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</si>
  <si>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</si>
  <si>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</si>
  <si>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</si>
  <si>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</si>
  <si>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</si>
  <si>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</si>
  <si>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</si>
  <si>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</si>
  <si>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</si>
  <si>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</si>
  <si>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</si>
  <si>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</si>
  <si>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</si>
  <si>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</si>
  <si>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</si>
  <si>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</si>
  <si>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</si>
  <si>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</si>
  <si>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</si>
  <si>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</si>
  <si>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</si>
  <si>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</si>
  <si>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</si>
  <si>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</si>
  <si>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</si>
  <si>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</si>
  <si>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</si>
  <si>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</si>
  <si>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</si>
  <si>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</si>
  <si>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</si>
  <si>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</si>
  <si>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</si>
  <si>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</si>
  <si>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</si>
  <si>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</si>
  <si>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</si>
  <si>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</si>
  <si>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</si>
  <si>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</si>
  <si>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</si>
  <si>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</si>
  <si>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</si>
  <si>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</si>
  <si>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</si>
  <si>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</si>
  <si>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</si>
  <si>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</si>
  <si>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</si>
  <si>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</si>
  <si>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</si>
  <si>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</si>
  <si>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</si>
  <si>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</si>
  <si>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</si>
  <si>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</si>
  <si>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</si>
  <si>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</si>
  <si>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</si>
  <si>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</si>
  <si>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</si>
  <si>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</si>
  <si>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</si>
  <si>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</si>
  <si>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</si>
  <si>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</si>
  <si>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</si>
  <si>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</si>
  <si>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</si>
  <si>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</si>
  <si>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</si>
  <si>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</si>
  <si>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</si>
  <si>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</si>
  <si>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</si>
  <si>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</si>
  <si>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</si>
  <si>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</si>
  <si>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</si>
  <si>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</si>
  <si>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</si>
  <si>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</si>
  <si>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</si>
  <si>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</si>
  <si>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</si>
  <si>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</si>
  <si>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</si>
  <si>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</si>
  <si>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</si>
  <si>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</si>
  <si>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</si>
  <si>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</si>
  <si>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</si>
  <si>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</si>
  <si>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</si>
  <si>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</si>
  <si>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</si>
  <si>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</si>
  <si>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</si>
  <si>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</si>
  <si>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</si>
  <si>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</si>
  <si>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</si>
  <si>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</si>
  <si>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</si>
  <si>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</si>
  <si>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</si>
  <si>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</si>
  <si>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</si>
  <si>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</si>
  <si>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</si>
  <si>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</si>
  <si>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</si>
  <si>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</si>
  <si>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</si>
  <si>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</si>
  <si>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</si>
  <si>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</si>
  <si>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</si>
  <si>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</si>
  <si>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</si>
  <si>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</si>
  <si>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</si>
  <si>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</si>
  <si>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</si>
  <si>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</si>
  <si>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</si>
  <si>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</si>
  <si>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</si>
  <si>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</si>
  <si>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</si>
  <si>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</si>
  <si>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</si>
  <si>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</si>
  <si>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</si>
  <si>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</si>
  <si>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</si>
  <si>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</si>
  <si>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</si>
  <si>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</si>
  <si>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</si>
  <si>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</si>
  <si>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</si>
  <si>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</si>
  <si>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</si>
  <si>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</si>
  <si>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</si>
  <si>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</si>
  <si>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</si>
  <si>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</si>
  <si>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</si>
  <si>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</si>
  <si>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</si>
  <si>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</si>
  <si>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</si>
  <si>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</si>
  <si>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</si>
  <si>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</si>
  <si>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</si>
  <si>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</si>
  <si>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</si>
  <si>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</si>
  <si>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</si>
  <si>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</si>
  <si>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</si>
  <si>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</si>
  <si>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</si>
  <si>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</si>
  <si>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</si>
  <si>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</si>
  <si>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</si>
  <si>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</si>
  <si>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</si>
  <si>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</si>
  <si>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</si>
  <si>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</si>
  <si>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</si>
  <si>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</si>
  <si>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</si>
  <si>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</si>
  <si>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</si>
  <si>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</si>
  <si>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</si>
  <si>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</si>
  <si>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</si>
  <si>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</si>
  <si>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</si>
  <si>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</si>
  <si>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</si>
  <si>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</si>
  <si>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</si>
  <si>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</si>
  <si>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</si>
  <si>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</si>
  <si>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</si>
  <si>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</si>
  <si>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</si>
  <si>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</si>
  <si>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</si>
  <si>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</si>
  <si>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</si>
  <si>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</si>
  <si>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</si>
  <si>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</si>
  <si>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</si>
  <si>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</si>
  <si>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</si>
  <si>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</si>
  <si>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</si>
  <si>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</si>
  <si>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</si>
  <si>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</si>
  <si>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</si>
  <si>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</si>
  <si>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</si>
  <si>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</si>
  <si>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</si>
  <si>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</si>
  <si>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</si>
  <si>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</si>
  <si>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</si>
  <si>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</si>
  <si>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</si>
  <si>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</si>
  <si>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</si>
  <si>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</si>
  <si>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</si>
  <si>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</si>
  <si>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</si>
  <si>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</si>
  <si>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</si>
  <si>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</si>
  <si>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</si>
  <si>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</si>
  <si>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</si>
  <si>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</si>
  <si>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</si>
  <si>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</si>
  <si>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</si>
  <si>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</si>
  <si>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</si>
  <si>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</si>
  <si>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</si>
  <si>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</si>
  <si>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</si>
  <si>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</si>
  <si>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</si>
  <si>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</si>
  <si>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</si>
  <si>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</si>
  <si>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</si>
  <si>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</si>
  <si>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</si>
  <si>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</si>
  <si>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</si>
  <si>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</si>
  <si>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</si>
  <si>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</si>
  <si>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</si>
  <si>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</si>
  <si>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</si>
  <si>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</si>
  <si>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</si>
  <si>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</si>
  <si>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</si>
  <si>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</si>
  <si>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</si>
  <si>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</si>
  <si>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</si>
  <si>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</si>
  <si>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</si>
  <si>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</si>
  <si>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</si>
  <si>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</si>
  <si>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</si>
  <si>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</si>
  <si>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</si>
  <si>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</si>
  <si>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</si>
  <si>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</si>
  <si>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</si>
  <si>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</si>
  <si>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</si>
  <si>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</si>
  <si>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</si>
  <si>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</si>
  <si>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</si>
  <si>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</si>
  <si>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</si>
  <si>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</si>
  <si>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</si>
  <si>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</si>
  <si>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</si>
  <si>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</si>
  <si>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</si>
  <si>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</si>
  <si>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</si>
  <si>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</si>
  <si>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</si>
  <si>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</si>
  <si>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</si>
  <si>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</si>
  <si>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</si>
  <si>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</si>
  <si>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</si>
  <si>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</si>
  <si>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</si>
  <si>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</si>
  <si>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</si>
  <si>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</si>
  <si>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</si>
  <si>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</si>
  <si>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</si>
  <si>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</si>
  <si>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</si>
  <si>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</si>
  <si>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</si>
  <si>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</si>
  <si>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</si>
  <si>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</si>
  <si>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</si>
  <si>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</si>
  <si>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</si>
  <si>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</si>
  <si>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</si>
  <si>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</si>
  <si>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</si>
  <si>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</si>
  <si>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</si>
  <si>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</si>
  <si>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</si>
  <si>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</si>
  <si>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</si>
  <si>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</si>
  <si>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</si>
  <si>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</si>
  <si>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</si>
  <si>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</si>
  <si>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</si>
  <si>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</si>
  <si>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</si>
  <si>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</si>
  <si>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</si>
  <si>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</si>
  <si>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</si>
  <si>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</si>
  <si>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</si>
  <si>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</si>
  <si>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</si>
  <si>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</si>
  <si>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</si>
  <si>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</si>
  <si>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</si>
  <si>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</si>
  <si>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</si>
  <si>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</si>
  <si>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</si>
  <si>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</si>
  <si>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</si>
  <si>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</si>
  <si>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</si>
  <si>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</si>
  <si>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</si>
  <si>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</si>
  <si>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</si>
  <si>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</si>
  <si>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</si>
  <si>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</si>
  <si>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</si>
  <si>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</si>
  <si>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</si>
  <si>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</si>
  <si>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</si>
  <si>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</si>
  <si>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</si>
  <si>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</si>
  <si>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</si>
  <si>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</si>
  <si>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</si>
  <si>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</si>
  <si>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</si>
  <si>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</si>
  <si>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</si>
  <si>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</si>
  <si>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</si>
  <si>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</si>
  <si>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</si>
  <si>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</si>
  <si>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</si>
  <si>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</si>
  <si>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</si>
  <si>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</si>
  <si>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</si>
  <si>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</si>
  <si>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</si>
  <si>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</si>
  <si>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</si>
  <si>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</si>
  <si>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</si>
  <si>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</si>
  <si>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</si>
  <si>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</si>
  <si>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</si>
  <si>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</si>
  <si>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</si>
  <si>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</si>
  <si>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</si>
  <si>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</si>
  <si>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</si>
  <si>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</si>
  <si>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</si>
  <si>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</si>
  <si>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</si>
  <si>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</si>
  <si>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</si>
  <si>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</si>
  <si>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</si>
  <si>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</si>
  <si>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</si>
  <si>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</si>
  <si>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</si>
  <si>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</si>
  <si>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</si>
  <si>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</si>
  <si>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</si>
  <si>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</si>
  <si>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</si>
  <si>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</si>
  <si>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</si>
  <si>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</si>
  <si>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</si>
  <si>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</si>
  <si>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</si>
  <si>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</si>
  <si>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</si>
  <si>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</si>
  <si>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</si>
  <si>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</si>
  <si>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</si>
  <si>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</si>
  <si>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</si>
  <si>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</si>
  <si>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</si>
  <si>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</si>
  <si>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</si>
  <si>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</si>
  <si>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</si>
  <si>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</si>
  <si>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</si>
  <si>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</si>
  <si>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</si>
  <si>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</si>
  <si>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</si>
  <si>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</si>
  <si>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</si>
  <si>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</si>
  <si>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</si>
  <si>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</si>
  <si>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</si>
  <si>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</si>
  <si>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</si>
  <si>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</si>
  <si>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</si>
  <si>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</si>
  <si>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</si>
  <si>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</si>
  <si>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</si>
  <si>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</si>
  <si>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</si>
  <si>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</si>
  <si>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</si>
  <si>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</si>
  <si>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</si>
  <si>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</si>
  <si>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</si>
  <si>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</si>
  <si>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</si>
  <si>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</si>
  <si>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</si>
  <si>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</si>
  <si>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</si>
  <si>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</si>
  <si>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</si>
  <si>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</si>
  <si>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</si>
  <si>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</si>
  <si>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</si>
  <si>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</si>
  <si>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</si>
  <si>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</si>
  <si>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</si>
  <si>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</si>
  <si>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</si>
  <si>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</si>
  <si>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</si>
  <si>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</si>
  <si>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</si>
  <si>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</si>
  <si>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</si>
  <si>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</si>
  <si>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</si>
  <si>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</si>
  <si>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</si>
  <si>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</si>
  <si>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</si>
  <si>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</si>
  <si>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</si>
  <si>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</si>
  <si>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</si>
  <si>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</si>
  <si>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</si>
  <si>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</si>
  <si>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</si>
  <si>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</si>
  <si>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</si>
  <si>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</si>
  <si>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</si>
  <si>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</si>
  <si>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</si>
  <si>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</si>
  <si>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</si>
  <si>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</si>
  <si>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</si>
  <si>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</si>
  <si>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</si>
  <si>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</si>
  <si>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</si>
  <si>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</si>
  <si>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</si>
  <si>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</si>
  <si>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</si>
  <si>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</si>
  <si>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</si>
  <si>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</si>
  <si>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</si>
  <si>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</si>
  <si>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</si>
  <si>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</si>
  <si>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</si>
  <si>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</si>
  <si>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</si>
  <si>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</si>
  <si>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</si>
  <si>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</si>
  <si>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</si>
  <si>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</si>
  <si>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</si>
  <si>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</si>
  <si>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</si>
  <si>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</si>
  <si>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</si>
  <si>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</si>
  <si>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</si>
  <si>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</si>
  <si>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</si>
  <si>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</si>
  <si>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</si>
  <si>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</si>
  <si>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</si>
  <si>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</si>
  <si>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</si>
  <si>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</si>
  <si>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</si>
  <si>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</si>
  <si>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</si>
  <si>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</si>
  <si>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</si>
  <si>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</si>
  <si>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</si>
  <si>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</si>
  <si>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</si>
  <si>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</si>
  <si>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</si>
  <si>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</si>
  <si>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</si>
  <si>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</si>
  <si>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</si>
  <si>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</si>
  <si>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</si>
  <si>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</si>
  <si>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</si>
  <si>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</si>
  <si>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</si>
  <si>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</si>
  <si>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</si>
  <si>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</si>
  <si>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</si>
  <si>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</si>
  <si>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</si>
  <si>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</si>
  <si>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</si>
  <si>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</si>
  <si>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</si>
  <si>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</si>
  <si>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</si>
  <si>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</si>
  <si>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</si>
  <si>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</si>
  <si>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</si>
  <si>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</si>
  <si>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</si>
  <si>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</si>
  <si>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</si>
  <si>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</si>
  <si>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</si>
  <si>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</si>
  <si>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</si>
  <si>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</si>
  <si>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</si>
  <si>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</si>
  <si>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</si>
  <si>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</si>
  <si>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</si>
  <si>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</si>
  <si>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</si>
  <si>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</si>
  <si>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</si>
  <si>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</si>
  <si>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</si>
  <si>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</si>
  <si>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</si>
  <si>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</si>
  <si>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</si>
  <si>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</si>
  <si>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</si>
  <si>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</si>
  <si>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</si>
  <si>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</si>
  <si>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</si>
  <si>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</si>
  <si>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</si>
  <si>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</si>
  <si>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</si>
  <si>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</si>
  <si>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</si>
  <si>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</si>
  <si>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</si>
  <si>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</si>
  <si>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</si>
  <si>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</si>
  <si>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</si>
  <si>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</si>
  <si>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</si>
  <si>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</si>
  <si>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</si>
  <si>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</si>
  <si>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</si>
  <si>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</si>
  <si>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</si>
  <si>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</si>
  <si>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</si>
  <si>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</si>
  <si>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</si>
  <si>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</si>
  <si>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</si>
  <si>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</si>
  <si>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</si>
  <si>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</si>
  <si>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</si>
  <si>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</si>
  <si>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</si>
  <si>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</si>
  <si>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</si>
  <si>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</si>
  <si>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</si>
  <si>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</si>
  <si>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</si>
  <si>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</si>
  <si>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</si>
  <si>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</si>
  <si>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</si>
  <si>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</si>
  <si>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</si>
  <si>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</si>
  <si>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</si>
  <si>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</si>
  <si>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</si>
  <si>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</si>
  <si>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</si>
  <si>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</si>
  <si>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</si>
  <si>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</si>
  <si>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</si>
  <si>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Jefferson</t>
  </si>
  <si>
    <t>11101 N Wells Bypass Rd</t>
  </si>
  <si>
    <t>Mt. Vernon</t>
  </si>
  <si>
    <t>Melanie Andrews</t>
  </si>
  <si>
    <t>mandrews@mvths.org</t>
  </si>
  <si>
    <t>618-244-3700</t>
  </si>
  <si>
    <t>618-246-1761</t>
  </si>
  <si>
    <t>Donald L Hoffman</t>
  </si>
  <si>
    <t>Emling &amp; Hoffman, PC</t>
  </si>
  <si>
    <t>1191 West Saint Louis Street</t>
  </si>
  <si>
    <t>Nashville</t>
  </si>
  <si>
    <t>IL</t>
  </si>
  <si>
    <t>618-327-4375</t>
  </si>
  <si>
    <t>618-327-4376</t>
  </si>
  <si>
    <t>060-004252</t>
  </si>
  <si>
    <t>donhoffman@emlingcpa.com</t>
  </si>
  <si>
    <t>Ron Daniels</t>
  </si>
  <si>
    <t>rdaniels@roe13.org</t>
  </si>
  <si>
    <t>618-244-8040</t>
  </si>
  <si>
    <t>618-241-7868</t>
  </si>
  <si>
    <t>Detailed property tax records are not presently maintained; consequently, we are unable to express an opinion on the General Fixed Assets Account Group.</t>
  </si>
  <si>
    <t>See Finding #2020-001</t>
  </si>
  <si>
    <t>2010 Gen Oblig Ltd Tax School Refunding Bonds 2010A</t>
  </si>
  <si>
    <t>Zone Economic Development Bonds Direct Payment</t>
  </si>
  <si>
    <t>Series 2012A General Obligation Building Bonds</t>
  </si>
  <si>
    <t>Series 2013 General Obligation Building Bonds</t>
  </si>
  <si>
    <t>Series 2014A General Obligation Building Bonds</t>
  </si>
  <si>
    <t>Series 2016 DC Debt Certificate</t>
  </si>
  <si>
    <t>Series 2014B General Obligation Building Bonds</t>
  </si>
  <si>
    <t>Southern Thirty ROE 15</t>
  </si>
  <si>
    <t>Mt. Vernon City Schools District #80</t>
  </si>
  <si>
    <t>Franklin-Jefferson Special Ed District #801</t>
  </si>
  <si>
    <t>ROE 13 (Paper Purchase)</t>
  </si>
  <si>
    <t>ED-Data Processing Services-Purchased Service</t>
  </si>
  <si>
    <t>CallOne</t>
  </si>
  <si>
    <t>O&amp;M-Care and Upkeep-Puchased Service</t>
  </si>
  <si>
    <t>Campbell Fire &amp; Safety</t>
  </si>
  <si>
    <t>Clearwave Communications</t>
  </si>
  <si>
    <t>TR-Pupil Transportation-Purchased Service</t>
  </si>
  <si>
    <t>Durham School Services</t>
  </si>
  <si>
    <t>ED-Board of Ed Services-Purchased Service</t>
  </si>
  <si>
    <t>Enviro-Tech Termite Control</t>
  </si>
  <si>
    <t>Frontline Technologies Group LLC</t>
  </si>
  <si>
    <t>ED-Educationally Deprived-Purchased Service</t>
  </si>
  <si>
    <t>GFI Digital</t>
  </si>
  <si>
    <t>ED-Food Service-Purchased service</t>
  </si>
  <si>
    <t>Pepsi Mid America</t>
  </si>
  <si>
    <t>QNS</t>
  </si>
  <si>
    <t>Security Alarm Corp</t>
  </si>
  <si>
    <t>Skyward</t>
  </si>
  <si>
    <t>Specialized Data Systems</t>
  </si>
  <si>
    <t>Page 10:  Line 81:  Education Fund:  Other School District/Activity Revenue:  Miscellaenous Pupil Revenue</t>
  </si>
  <si>
    <t>Page 11:  Line 108:  Education Fund:  Other Local Revenue:  E-Rate Money,  Other Local Revenue</t>
  </si>
  <si>
    <t>Page 11:  Line 108:  Transportation Fund:  Other Local Revenue:  Miscellaneous</t>
  </si>
  <si>
    <t>Page 11:  Line 108:  Operation &amp; Maint Fund:  Other Local Revenue: Sale of Property (old High School),  Miscellaneous</t>
  </si>
  <si>
    <t>Page 12:  Line 168:  Education Fund:  Other Restricted State Revenue:  Orphanage Tuition</t>
  </si>
  <si>
    <t>Page 14:  Line 265:  Education Fund:  Other Restricted Federal Revenue: STEP money</t>
  </si>
  <si>
    <t>Page 15:  Line 41:  Education Fund:  Other Support Services - Pupil - Salaries and benefits of Supervisory staff before school, after school</t>
  </si>
  <si>
    <t xml:space="preserve">                                    and during lunch</t>
  </si>
  <si>
    <t>Page 18:  Line 171: Debt Service Fund:  Bond Fees</t>
  </si>
  <si>
    <t>Page 19:  Line 237: IMRF:  Other Support Services - Pupil - Salaries and benefits of Supervisory staff before school, after school</t>
  </si>
  <si>
    <t>US Department of Education</t>
  </si>
  <si>
    <t xml:space="preserve">    Flow Through Illinois State Board of Edcuation</t>
  </si>
  <si>
    <t xml:space="preserve">          TITLE I</t>
  </si>
  <si>
    <t xml:space="preserve">              PY 2019 (M)</t>
  </si>
  <si>
    <t xml:space="preserve">              PY 2020 (M)</t>
  </si>
  <si>
    <t>84.010A</t>
  </si>
  <si>
    <t>19-4300</t>
  </si>
  <si>
    <t>20-4300</t>
  </si>
  <si>
    <t xml:space="preserve">              PY 2019</t>
  </si>
  <si>
    <t xml:space="preserve">              PY 2020 </t>
  </si>
  <si>
    <t>84.358B</t>
  </si>
  <si>
    <t>19-4107</t>
  </si>
  <si>
    <t>20-4107</t>
  </si>
  <si>
    <t xml:space="preserve">    Flow Through Rend Lake Regional Delivery Service</t>
  </si>
  <si>
    <t xml:space="preserve">          CARL D PERKINS V&amp;E</t>
  </si>
  <si>
    <t xml:space="preserve">          TITLE V - RURAL EDUCATION INITIATIVE</t>
  </si>
  <si>
    <t>Total Flow Through Illnois State Board of Education</t>
  </si>
  <si>
    <t xml:space="preserve">               PY 2020</t>
  </si>
  <si>
    <t>20-4770</t>
  </si>
  <si>
    <t xml:space="preserve">               PY 2019</t>
  </si>
  <si>
    <t xml:space="preserve">          VR Grants</t>
  </si>
  <si>
    <t>19-4998</t>
  </si>
  <si>
    <t>20-4998</t>
  </si>
  <si>
    <t xml:space="preserve">    Flow Through IL Department of Human Servcies</t>
  </si>
  <si>
    <t xml:space="preserve">    Flow Through Franklin/Jefferson Special Ed</t>
  </si>
  <si>
    <t xml:space="preserve">          IDEA</t>
  </si>
  <si>
    <t>84.027A</t>
  </si>
  <si>
    <t>20-4620</t>
  </si>
  <si>
    <t>Total US DEPT of EDUCATION</t>
  </si>
  <si>
    <t>US Department of Agriculture</t>
  </si>
  <si>
    <t xml:space="preserve">          National School Lunch</t>
  </si>
  <si>
    <t>19-4210</t>
  </si>
  <si>
    <t>20-4210</t>
  </si>
  <si>
    <t>N/A</t>
  </si>
  <si>
    <t xml:space="preserve">          National School Breakfast</t>
  </si>
  <si>
    <t>19-4220</t>
  </si>
  <si>
    <t>20-4220</t>
  </si>
  <si>
    <t xml:space="preserve">          Commodities</t>
  </si>
  <si>
    <t xml:space="preserve">          Dept of Defense Fruits and Veggies</t>
  </si>
  <si>
    <t>Total US DEPT of AGRICULTURE</t>
  </si>
  <si>
    <t>US Department of Health and Human Services</t>
  </si>
  <si>
    <t xml:space="preserve">    Flow Through IL Dept of Healthcare and Family Services</t>
  </si>
  <si>
    <t xml:space="preserve">          Administrative Outreach</t>
  </si>
  <si>
    <t>20-4991</t>
  </si>
  <si>
    <t>Total US DEPT of HEALTH AND HUMAN SERVICES</t>
  </si>
  <si>
    <t>TOTAL FEDERAL AWARDS</t>
  </si>
  <si>
    <t xml:space="preserve">          Summer Food Service</t>
  </si>
  <si>
    <t>19-4225</t>
  </si>
  <si>
    <t>20-4225</t>
  </si>
  <si>
    <t>Rounding</t>
  </si>
  <si>
    <t>The accompanying Schedule of Expenditures of Federal Awards includes the federal grant activity of Mt. Vernon Township High School #201 and is presented on the regulatory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</si>
  <si>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Mt. Vernon Township High School #201 provided federal awards to subrecipients as follows:</t>
  </si>
  <si>
    <t>None</t>
  </si>
  <si>
    <r>
      <t xml:space="preserve">The following amounts were expended in the form of non-cash assistance by Mt. Vernon Township High School #201 and </t>
    </r>
    <r>
      <rPr>
        <b/>
        <sz val="9"/>
        <rFont val="Calibri"/>
        <family val="2"/>
        <scheme val="minor"/>
      </rPr>
      <t>should be</t>
    </r>
    <r>
      <rPr>
        <sz val="9"/>
        <rFont val="Calibri"/>
        <family val="2"/>
        <scheme val="minor"/>
      </rPr>
      <t xml:space="preserve"> included in the Schedule of Expenditures of Federal Awards:</t>
    </r>
  </si>
  <si>
    <t>Unmodified</t>
  </si>
  <si>
    <t>US Department of Education/Title I</t>
  </si>
  <si>
    <t>Segregation of Duties</t>
  </si>
  <si>
    <t>There is limited segregation of duties ove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</si>
  <si>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</si>
  <si>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</si>
  <si>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</si>
  <si>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t>
  </si>
  <si>
    <t>The School District is aware of this condition.  They will review their staffing arrangement, assignment of duties, and employee bonding.</t>
  </si>
  <si>
    <t>NA</t>
  </si>
  <si>
    <t>2019-001</t>
  </si>
  <si>
    <t>Not implemented due to limited resources.</t>
  </si>
  <si>
    <t>2019-002</t>
  </si>
  <si>
    <t>Lack of Certified Staff on Hand</t>
  </si>
  <si>
    <t>Corrected</t>
  </si>
  <si>
    <t>2019-003</t>
  </si>
  <si>
    <t>Undercollateralization of Deposits</t>
  </si>
  <si>
    <t xml:space="preserve">  Mt Vernon Twp HSD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</si>
</sst>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left" vertical="center" wrapText="1"/>
      <protection locked="0"/>
    </xf>
    <xf numFmtId="3" fontId="62" fillId="0" borderId="197" xfId="3" applyNumberFormat="1" applyFont="1" applyBorder="1" applyAlignment="1" applyProtection="1">
      <alignment horizontal="left" vertical="center" wrapText="1"/>
      <protection locked="0"/>
    </xf>
    <xf numFmtId="169" fontId="62" fillId="0" borderId="197" xfId="3" applyNumberFormat="1" applyFont="1" applyBorder="1" applyAlignment="1" applyProtection="1">
      <alignment horizontal="center" shrinkToFit="1"/>
      <protection locked="0"/>
    </xf>
    <xf numFmtId="1" fontId="62" fillId="0" borderId="197" xfId="3" applyNumberFormat="1" applyFont="1" applyBorder="1" applyAlignment="1" applyProtection="1">
      <alignment horizontal="center" shrinkToFit="1"/>
      <protection locked="0"/>
    </xf>
    <xf numFmtId="3" fontId="62" fillId="0" borderId="198" xfId="3" applyNumberFormat="1" applyFont="1" applyBorder="1" applyAlignment="1" applyProtection="1">
      <alignment horizontal="center" shrinkToFit="1"/>
      <protection locked="0"/>
    </xf>
    <xf numFmtId="3" fontId="62" fillId="0" borderId="77" xfId="3" applyNumberFormat="1" applyFont="1" applyBorder="1" applyAlignment="1" applyProtection="1">
      <alignment horizontal="center" shrinkToFit="1"/>
      <protection locked="0"/>
    </xf>
    <xf numFmtId="3" fontId="64" fillId="0" borderId="199" xfId="3" applyNumberFormat="1" applyFont="1" applyBorder="1" applyAlignment="1" applyProtection="1">
      <alignment horizontal="center" shrinkToFit="1"/>
      <protection locked="0"/>
    </xf>
    <xf numFmtId="3" fontId="64" fillId="0" borderId="200" xfId="3" applyNumberFormat="1" applyFont="1" applyBorder="1" applyAlignment="1" applyProtection="1">
      <alignment horizontal="center" shrinkToFit="1"/>
      <protection locked="0"/>
    </xf>
    <xf numFmtId="1" fontId="62" fillId="0" borderId="144" xfId="3" applyNumberFormat="1" applyFont="1" applyBorder="1" applyAlignment="1" applyProtection="1">
      <alignment horizontal="center" shrinkToFit="1"/>
      <protection locked="0"/>
    </xf>
    <xf numFmtId="3" fontId="64" fillId="0" borderId="77" xfId="3" applyNumberFormat="1" applyFont="1" applyBorder="1" applyAlignment="1" applyProtection="1">
      <alignment horizontal="center" shrinkToFi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438150</xdr:rowOff>
        </xdr:from>
        <xdr:to>
          <xdr:col>5</xdr:col>
          <xdr:colOff>1485900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1</xdr:row>
          <xdr:rowOff>0</xdr:rowOff>
        </xdr:from>
        <xdr:to>
          <xdr:col>1</xdr:col>
          <xdr:colOff>2105025</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5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7</xdr:row>
          <xdr:rowOff>123825</xdr:rowOff>
        </xdr:from>
        <xdr:to>
          <xdr:col>1</xdr:col>
          <xdr:colOff>2057400</xdr:colOff>
          <xdr:row>12</xdr:row>
          <xdr:rowOff>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5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1</xdr:row>
          <xdr:rowOff>57150</xdr:rowOff>
        </xdr:from>
        <xdr:to>
          <xdr:col>1</xdr:col>
          <xdr:colOff>3209925</xdr:colOff>
          <xdr:row>5</xdr:row>
          <xdr:rowOff>95250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5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xdr:row>
          <xdr:rowOff>104775</xdr:rowOff>
        </xdr:from>
        <xdr:to>
          <xdr:col>1</xdr:col>
          <xdr:colOff>3267075</xdr:colOff>
          <xdr:row>11</xdr:row>
          <xdr:rowOff>142875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5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0</xdr:row>
          <xdr:rowOff>114300</xdr:rowOff>
        </xdr:from>
        <xdr:to>
          <xdr:col>1</xdr:col>
          <xdr:colOff>952500</xdr:colOff>
          <xdr:row>4</xdr:row>
          <xdr:rowOff>152400</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5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831" t="str">
        <f>"Due to ISBE on "</f>
        <v xml:space="preserve">Due to ISBE on </v>
      </c>
      <c r="B2" s="2051">
        <f>+'AFR20'!F4</f>
        <v>44151</v>
      </c>
      <c r="C2" s="2051"/>
      <c r="D2" s="2052"/>
      <c r="I2" s="2130" t="s">
        <v>1998</v>
      </c>
      <c r="J2" s="2129"/>
      <c r="K2" s="2129"/>
      <c r="L2" s="2129"/>
      <c r="M2" s="2129"/>
      <c r="N2" s="2129"/>
      <c r="O2" s="2129"/>
      <c r="P2" s="2129"/>
      <c r="Q2" s="2129"/>
      <c r="R2" s="2129"/>
      <c r="S2" s="2129"/>
    </row>
    <row r="3" spans="1:32" ht="12" customHeight="1" x14ac:dyDescent="0.2">
      <c r="A3" s="1834"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2046</v>
      </c>
      <c r="C5" s="26" t="s">
        <v>904</v>
      </c>
      <c r="D5" s="81"/>
      <c r="E5" s="81"/>
      <c r="H5" s="38"/>
      <c r="I5" s="2137" t="s">
        <v>675</v>
      </c>
      <c r="J5" s="2082"/>
      <c r="K5" s="2082"/>
      <c r="L5" s="2082"/>
      <c r="M5" s="2082"/>
      <c r="N5" s="2082"/>
      <c r="O5" s="2082"/>
      <c r="P5" s="2082"/>
      <c r="Q5" s="2082"/>
      <c r="R5" s="2082"/>
      <c r="S5" s="2082"/>
      <c r="AF5" s="1827"/>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2046</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13041201017</v>
      </c>
      <c r="B13" s="2099"/>
      <c r="C13" s="2099"/>
      <c r="D13" s="2099"/>
      <c r="E13" s="2099"/>
      <c r="F13" s="2099"/>
      <c r="G13" s="2099"/>
      <c r="H13" s="2100"/>
      <c r="I13" s="31"/>
      <c r="J13" s="30"/>
      <c r="K13" s="28"/>
      <c r="L13" s="30"/>
      <c r="M13" s="30"/>
      <c r="N13" s="30"/>
      <c r="O13" s="30"/>
      <c r="P13" s="30"/>
      <c r="Q13" s="30"/>
      <c r="R13" s="30"/>
      <c r="S13" s="30"/>
      <c r="T13" s="2103" t="s">
        <v>2055</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2047</v>
      </c>
      <c r="B15" s="2101"/>
      <c r="C15" s="2101"/>
      <c r="D15" s="2101"/>
      <c r="E15" s="2101"/>
      <c r="F15" s="2101"/>
      <c r="G15" s="2101"/>
      <c r="H15" s="2102"/>
      <c r="T15" s="2064" t="s">
        <v>2054</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2179</v>
      </c>
      <c r="B17" s="2126"/>
      <c r="C17" s="2126"/>
      <c r="D17" s="2126"/>
      <c r="E17" s="2126"/>
      <c r="F17" s="2126"/>
      <c r="G17" s="2126"/>
      <c r="H17" s="2127"/>
      <c r="T17" s="2113" t="s">
        <v>2056</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2048</v>
      </c>
      <c r="B19" s="2097"/>
      <c r="C19" s="2097"/>
      <c r="D19" s="2097"/>
      <c r="E19" s="2097"/>
      <c r="F19" s="2097"/>
      <c r="G19" s="2097"/>
      <c r="H19" s="2095"/>
      <c r="I19" s="30"/>
      <c r="J19" s="96"/>
      <c r="K19" s="40"/>
      <c r="L19" s="38"/>
      <c r="M19" s="109" t="s">
        <v>312</v>
      </c>
      <c r="P19" s="27"/>
      <c r="Q19" s="27"/>
      <c r="R19" s="27"/>
      <c r="S19" s="31"/>
      <c r="T19" s="2096" t="s">
        <v>2057</v>
      </c>
      <c r="U19" s="2094"/>
      <c r="V19" s="2094"/>
      <c r="W19" s="2095"/>
      <c r="X19" s="2111" t="s">
        <v>2058</v>
      </c>
      <c r="Y19" s="2112"/>
      <c r="Z19" s="2109">
        <v>62263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2049</v>
      </c>
      <c r="B21" s="2094"/>
      <c r="C21" s="2094"/>
      <c r="D21" s="2094"/>
      <c r="E21" s="2094"/>
      <c r="F21" s="2094"/>
      <c r="G21" s="2094"/>
      <c r="H21" s="2095"/>
      <c r="I21" s="2119" t="s">
        <v>673</v>
      </c>
      <c r="J21" s="2082"/>
      <c r="K21" s="2082"/>
      <c r="L21" s="2082"/>
      <c r="M21" s="2082"/>
      <c r="N21" s="2082"/>
      <c r="O21" s="2082"/>
      <c r="P21" s="2082"/>
      <c r="Q21" s="2082"/>
      <c r="R21" s="2082"/>
      <c r="S21" s="2083"/>
      <c r="T21" s="2061" t="s">
        <v>2059</v>
      </c>
      <c r="U21" s="2062"/>
      <c r="V21" s="2062"/>
      <c r="W21" s="2062"/>
      <c r="X21" s="2075" t="s">
        <v>2060</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1498</v>
      </c>
      <c r="U22" s="48"/>
      <c r="V22" s="69"/>
      <c r="W22" s="48"/>
      <c r="X22" s="155" t="s">
        <v>1307</v>
      </c>
      <c r="Z22" s="43"/>
      <c r="AA22" s="44"/>
    </row>
    <row r="23" spans="1:27" ht="13.5" customHeight="1" x14ac:dyDescent="0.2">
      <c r="A23" s="2116" t="s">
        <v>2051</v>
      </c>
      <c r="B23" s="2117"/>
      <c r="C23" s="2117"/>
      <c r="D23" s="2117"/>
      <c r="E23" s="2117"/>
      <c r="F23" s="2117"/>
      <c r="G23" s="2117"/>
      <c r="H23" s="2118"/>
      <c r="T23" s="2056" t="s">
        <v>2061</v>
      </c>
      <c r="U23" s="2057"/>
      <c r="V23" s="2057"/>
      <c r="W23" s="2057"/>
      <c r="X23" s="2072">
        <v>44197</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62864</v>
      </c>
      <c r="B25" s="2094"/>
      <c r="C25" s="2094"/>
      <c r="D25" s="2094"/>
      <c r="E25" s="2094"/>
      <c r="F25" s="2094"/>
      <c r="G25" s="2094"/>
      <c r="H25" s="2095"/>
      <c r="I25" s="110"/>
      <c r="J25" s="2160"/>
      <c r="K25" s="2160"/>
      <c r="L25" s="2160"/>
      <c r="M25" s="2160"/>
      <c r="N25" s="2160"/>
      <c r="O25" s="2160"/>
      <c r="P25" s="2160"/>
      <c r="Q25" s="2160"/>
      <c r="R25" s="2160"/>
      <c r="S25" s="2161"/>
      <c r="T25" s="2053" t="s">
        <v>2062</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1493</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2046</v>
      </c>
      <c r="K29" s="28" t="s">
        <v>572</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2046</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2046</v>
      </c>
      <c r="C34" s="32" t="s">
        <v>539</v>
      </c>
      <c r="D34" s="31"/>
      <c r="E34" s="31"/>
      <c r="F34" s="31"/>
      <c r="G34" s="31"/>
      <c r="H34" s="31"/>
      <c r="I34" s="51"/>
      <c r="J34" s="80"/>
      <c r="L34" s="98"/>
      <c r="M34" s="90" t="s">
        <v>702</v>
      </c>
      <c r="N34" s="30"/>
      <c r="O34" s="30"/>
      <c r="P34" s="30"/>
      <c r="Q34" s="30"/>
      <c r="R34" s="30"/>
      <c r="S34" s="52"/>
      <c r="T34" s="30"/>
      <c r="U34" s="144" t="s">
        <v>2046</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2050</v>
      </c>
      <c r="B38" s="2126"/>
      <c r="C38" s="2126"/>
      <c r="D38" s="2126"/>
      <c r="E38" s="2126"/>
      <c r="F38" s="2094"/>
      <c r="G38" s="2094"/>
      <c r="H38" s="2095"/>
      <c r="I38" s="2145"/>
      <c r="J38" s="2065"/>
      <c r="K38" s="2065"/>
      <c r="L38" s="2065"/>
      <c r="M38" s="2065"/>
      <c r="N38" s="2065"/>
      <c r="O38" s="2065"/>
      <c r="P38" s="2066"/>
      <c r="Q38" s="2066"/>
      <c r="R38" s="2066"/>
      <c r="S38" s="2067"/>
      <c r="T38" s="2064" t="s">
        <v>2063</v>
      </c>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2051</v>
      </c>
      <c r="B40" s="2153"/>
      <c r="C40" s="2154"/>
      <c r="D40" s="2154"/>
      <c r="E40" s="2154"/>
      <c r="F40" s="2155"/>
      <c r="G40" s="2155"/>
      <c r="H40" s="2156"/>
      <c r="I40" s="2068"/>
      <c r="J40" s="2070"/>
      <c r="K40" s="2070"/>
      <c r="L40" s="2070"/>
      <c r="M40" s="2070"/>
      <c r="N40" s="2070"/>
      <c r="O40" s="2070"/>
      <c r="P40" s="2070"/>
      <c r="Q40" s="2070"/>
      <c r="R40" s="2070"/>
      <c r="S40" s="2071"/>
      <c r="T40" s="2068" t="s">
        <v>2064</v>
      </c>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2052</v>
      </c>
      <c r="B42" s="2143"/>
      <c r="C42" s="2144"/>
      <c r="D42" s="2157" t="s">
        <v>2053</v>
      </c>
      <c r="E42" s="2143"/>
      <c r="F42" s="2143"/>
      <c r="G42" s="2143"/>
      <c r="H42" s="2144"/>
      <c r="I42" s="2063"/>
      <c r="J42" s="2059"/>
      <c r="K42" s="2059"/>
      <c r="L42" s="2059"/>
      <c r="M42" s="2059"/>
      <c r="N42" s="2059"/>
      <c r="O42" s="2060"/>
      <c r="P42" s="2058"/>
      <c r="Q42" s="2059"/>
      <c r="R42" s="2059"/>
      <c r="S42" s="2060"/>
      <c r="T42" s="2063" t="s">
        <v>2065</v>
      </c>
      <c r="U42" s="2059"/>
      <c r="V42" s="2059"/>
      <c r="W42" s="2060"/>
      <c r="X42" s="2058" t="s">
        <v>2066</v>
      </c>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8" activePane="bottomLeft" state="frozen"/>
      <selection activeCell="A40" sqref="A40:H40"/>
      <selection pane="bottomLeft" activeCell="A40" sqref="A40:H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2665148+5697</f>
        <v>2670845</v>
      </c>
      <c r="D5" s="1573">
        <f>429181-378</f>
        <v>428803</v>
      </c>
      <c r="E5" s="1573">
        <v>7461</v>
      </c>
      <c r="F5" s="1573">
        <v>12001</v>
      </c>
      <c r="G5" s="1573"/>
      <c r="H5" s="1573">
        <v>4792</v>
      </c>
      <c r="I5" s="1574"/>
      <c r="J5" s="1574"/>
      <c r="K5" s="1672">
        <f>SUM(C5:J5)</f>
        <v>3123902</v>
      </c>
      <c r="L5" s="1573">
        <v>3233000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2107219</v>
      </c>
      <c r="D8" s="1573">
        <v>439749</v>
      </c>
      <c r="E8" s="1573">
        <v>11680</v>
      </c>
      <c r="F8" s="1573">
        <v>4743</v>
      </c>
      <c r="G8" s="1573"/>
      <c r="H8" s="1573"/>
      <c r="I8" s="1574"/>
      <c r="J8" s="1574"/>
      <c r="K8" s="1672">
        <f t="shared" si="0"/>
        <v>2563391</v>
      </c>
      <c r="L8" s="1573">
        <v>2674050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34065</v>
      </c>
      <c r="D10" s="1573">
        <v>18183</v>
      </c>
      <c r="E10" s="1573">
        <v>70455</v>
      </c>
      <c r="F10" s="1573">
        <v>109644</v>
      </c>
      <c r="G10" s="1573"/>
      <c r="H10" s="1573"/>
      <c r="I10" s="1574"/>
      <c r="J10" s="1574"/>
      <c r="K10" s="1672">
        <f t="shared" si="0"/>
        <v>232347</v>
      </c>
      <c r="L10" s="1573">
        <v>301000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576251</v>
      </c>
      <c r="D13" s="1573">
        <v>121800</v>
      </c>
      <c r="E13" s="1573">
        <v>858</v>
      </c>
      <c r="F13" s="1573">
        <v>36780</v>
      </c>
      <c r="G13" s="1573"/>
      <c r="H13" s="1573"/>
      <c r="I13" s="1574"/>
      <c r="J13" s="1574"/>
      <c r="K13" s="1672">
        <f t="shared" si="0"/>
        <v>735689</v>
      </c>
      <c r="L13" s="1573">
        <v>683500</v>
      </c>
    </row>
    <row r="14" spans="1:14" x14ac:dyDescent="0.2">
      <c r="A14" s="1274" t="s">
        <v>957</v>
      </c>
      <c r="B14" s="503">
        <v>1500</v>
      </c>
      <c r="C14" s="1573">
        <v>293593</v>
      </c>
      <c r="D14" s="1573">
        <v>11610</v>
      </c>
      <c r="E14" s="1573">
        <v>47906</v>
      </c>
      <c r="F14" s="1573">
        <v>70215</v>
      </c>
      <c r="G14" s="1573">
        <v>52745</v>
      </c>
      <c r="H14" s="1573">
        <v>17227</v>
      </c>
      <c r="I14" s="1574"/>
      <c r="J14" s="1574"/>
      <c r="K14" s="1672">
        <f t="shared" si="0"/>
        <v>493296</v>
      </c>
      <c r="L14" s="1573">
        <v>487000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277699</v>
      </c>
      <c r="D17" s="1574">
        <v>36224</v>
      </c>
      <c r="E17" s="1574"/>
      <c r="F17" s="1574">
        <v>2082</v>
      </c>
      <c r="G17" s="1574">
        <v>19191</v>
      </c>
      <c r="H17" s="1574">
        <v>30</v>
      </c>
      <c r="I17" s="1574"/>
      <c r="J17" s="1574"/>
      <c r="K17" s="1672">
        <f t="shared" si="0"/>
        <v>335226</v>
      </c>
      <c r="L17" s="1573">
        <v>341950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1648</v>
      </c>
      <c r="B33" s="1381" t="s">
        <v>566</v>
      </c>
      <c r="C33" s="1674">
        <f>SUM(C5:C32)</f>
        <v>5959672</v>
      </c>
      <c r="D33" s="1674">
        <f t="shared" ref="D33:L33" si="1">SUM(D5:D32)</f>
        <v>1056369</v>
      </c>
      <c r="E33" s="1674">
        <f t="shared" si="1"/>
        <v>138360</v>
      </c>
      <c r="F33" s="1674">
        <f t="shared" si="1"/>
        <v>235465</v>
      </c>
      <c r="G33" s="1674">
        <f t="shared" si="1"/>
        <v>71936</v>
      </c>
      <c r="H33" s="1674">
        <f t="shared" si="1"/>
        <v>22049</v>
      </c>
      <c r="I33" s="1674">
        <f t="shared" si="1"/>
        <v>0</v>
      </c>
      <c r="J33" s="1674">
        <f t="shared" si="1"/>
        <v>0</v>
      </c>
      <c r="K33" s="1674">
        <f t="shared" si="1"/>
        <v>7483851</v>
      </c>
      <c r="L33" s="1674">
        <f t="shared" si="1"/>
        <v>7720500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323926</v>
      </c>
      <c r="D36" s="1586">
        <v>76140</v>
      </c>
      <c r="E36" s="1586">
        <v>1310</v>
      </c>
      <c r="F36" s="1586">
        <v>1611</v>
      </c>
      <c r="G36" s="1586"/>
      <c r="H36" s="1586"/>
      <c r="I36" s="1574"/>
      <c r="J36" s="1574"/>
      <c r="K36" s="1672">
        <f t="shared" ref="K36:K41" si="2">SUM(C36:J36)</f>
        <v>402987</v>
      </c>
      <c r="L36" s="1573">
        <v>395606</v>
      </c>
    </row>
    <row r="37" spans="1:14" x14ac:dyDescent="0.2">
      <c r="A37" s="1274" t="s">
        <v>1081</v>
      </c>
      <c r="B37" s="503">
        <v>2120</v>
      </c>
      <c r="C37" s="1573">
        <v>313950</v>
      </c>
      <c r="D37" s="1573">
        <v>42466</v>
      </c>
      <c r="E37" s="1573">
        <v>8122</v>
      </c>
      <c r="F37" s="1573">
        <v>547</v>
      </c>
      <c r="G37" s="1573"/>
      <c r="H37" s="1573"/>
      <c r="I37" s="1574"/>
      <c r="J37" s="1574"/>
      <c r="K37" s="1672">
        <f t="shared" si="2"/>
        <v>365085</v>
      </c>
      <c r="L37" s="1573">
        <v>424900</v>
      </c>
    </row>
    <row r="38" spans="1:14" x14ac:dyDescent="0.2">
      <c r="A38" s="1274" t="s">
        <v>196</v>
      </c>
      <c r="B38" s="503">
        <v>2130</v>
      </c>
      <c r="C38" s="1573">
        <v>99817</v>
      </c>
      <c r="D38" s="1573">
        <v>26507</v>
      </c>
      <c r="E38" s="1573">
        <v>209</v>
      </c>
      <c r="F38" s="1573">
        <v>1739</v>
      </c>
      <c r="G38" s="1573"/>
      <c r="H38" s="1573"/>
      <c r="I38" s="1574"/>
      <c r="J38" s="1574"/>
      <c r="K38" s="1672">
        <f t="shared" si="2"/>
        <v>128272</v>
      </c>
      <c r="L38" s="1573">
        <v>138200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v>9678</v>
      </c>
      <c r="G40" s="1573"/>
      <c r="H40" s="1573"/>
      <c r="I40" s="1574"/>
      <c r="J40" s="1574"/>
      <c r="K40" s="1672">
        <f t="shared" si="2"/>
        <v>9678</v>
      </c>
      <c r="L40" s="1573">
        <v>24000</v>
      </c>
    </row>
    <row r="41" spans="1:14" x14ac:dyDescent="0.2">
      <c r="A41" s="1274" t="s">
        <v>1649</v>
      </c>
      <c r="B41" s="503">
        <v>2190</v>
      </c>
      <c r="C41" s="1573">
        <v>30791</v>
      </c>
      <c r="D41" s="1573">
        <v>14075</v>
      </c>
      <c r="E41" s="1573"/>
      <c r="F41" s="1573"/>
      <c r="G41" s="1573"/>
      <c r="H41" s="1573"/>
      <c r="I41" s="1574"/>
      <c r="J41" s="1574"/>
      <c r="K41" s="1672">
        <f t="shared" si="2"/>
        <v>44866</v>
      </c>
      <c r="L41" s="1573">
        <v>51500</v>
      </c>
    </row>
    <row r="42" spans="1:14" ht="12.75" customHeight="1" thickBot="1" x14ac:dyDescent="0.25">
      <c r="A42" s="1380" t="s">
        <v>556</v>
      </c>
      <c r="B42" s="1381" t="s">
        <v>711</v>
      </c>
      <c r="C42" s="1674">
        <f>SUM(C36:C41)</f>
        <v>768484</v>
      </c>
      <c r="D42" s="1674">
        <f t="shared" ref="D42:L42" si="3">SUM(D36:D41)</f>
        <v>159188</v>
      </c>
      <c r="E42" s="1674">
        <f t="shared" si="3"/>
        <v>9641</v>
      </c>
      <c r="F42" s="1674">
        <f t="shared" si="3"/>
        <v>13575</v>
      </c>
      <c r="G42" s="1674">
        <f t="shared" si="3"/>
        <v>0</v>
      </c>
      <c r="H42" s="1674">
        <f t="shared" si="3"/>
        <v>0</v>
      </c>
      <c r="I42" s="1674">
        <f t="shared" si="3"/>
        <v>0</v>
      </c>
      <c r="J42" s="1674">
        <f t="shared" si="3"/>
        <v>0</v>
      </c>
      <c r="K42" s="1674">
        <f t="shared" si="3"/>
        <v>950888</v>
      </c>
      <c r="L42" s="1674">
        <f t="shared" si="3"/>
        <v>1034206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57315</v>
      </c>
      <c r="D44" s="1586">
        <f>12195+17439</f>
        <v>29634</v>
      </c>
      <c r="E44" s="1586">
        <v>24506</v>
      </c>
      <c r="F44" s="1586"/>
      <c r="G44" s="1586"/>
      <c r="H44" s="1586"/>
      <c r="I44" s="1574"/>
      <c r="J44" s="1574"/>
      <c r="K44" s="1678">
        <f>SUM(C44:J44)</f>
        <v>111455</v>
      </c>
      <c r="L44" s="1586">
        <v>124000</v>
      </c>
    </row>
    <row r="45" spans="1:14" x14ac:dyDescent="0.2">
      <c r="A45" s="1274" t="s">
        <v>810</v>
      </c>
      <c r="B45" s="503">
        <v>2220</v>
      </c>
      <c r="C45" s="1573">
        <v>67694</v>
      </c>
      <c r="D45" s="1573">
        <v>17158</v>
      </c>
      <c r="E45" s="1573">
        <v>40411</v>
      </c>
      <c r="F45" s="1573">
        <v>3446</v>
      </c>
      <c r="G45" s="1573"/>
      <c r="H45" s="1573"/>
      <c r="I45" s="1574"/>
      <c r="J45" s="1574"/>
      <c r="K45" s="1678">
        <f>SUM(C45:J45)</f>
        <v>128709</v>
      </c>
      <c r="L45" s="1573">
        <v>130600</v>
      </c>
    </row>
    <row r="46" spans="1:14" x14ac:dyDescent="0.2">
      <c r="A46" s="1274" t="s">
        <v>811</v>
      </c>
      <c r="B46" s="503">
        <v>2230</v>
      </c>
      <c r="C46" s="1573"/>
      <c r="D46" s="1573"/>
      <c r="E46" s="1573">
        <v>15896</v>
      </c>
      <c r="F46" s="1573"/>
      <c r="G46" s="1573"/>
      <c r="H46" s="1573"/>
      <c r="I46" s="1574"/>
      <c r="J46" s="1574"/>
      <c r="K46" s="1678">
        <f>SUM(C46:J46)</f>
        <v>15896</v>
      </c>
      <c r="L46" s="1573">
        <v>20000</v>
      </c>
    </row>
    <row r="47" spans="1:14" ht="12.75" customHeight="1" thickBot="1" x14ac:dyDescent="0.25">
      <c r="A47" s="1380" t="s">
        <v>557</v>
      </c>
      <c r="B47" s="1381" t="s">
        <v>32</v>
      </c>
      <c r="C47" s="1674">
        <f>SUM(C44:C46)</f>
        <v>125009</v>
      </c>
      <c r="D47" s="1674">
        <f t="shared" ref="D47:K47" si="4">SUM(D44:D46)</f>
        <v>46792</v>
      </c>
      <c r="E47" s="1674">
        <f t="shared" si="4"/>
        <v>80813</v>
      </c>
      <c r="F47" s="1674">
        <f t="shared" si="4"/>
        <v>3446</v>
      </c>
      <c r="G47" s="1674">
        <f t="shared" si="4"/>
        <v>0</v>
      </c>
      <c r="H47" s="1674">
        <f t="shared" si="4"/>
        <v>0</v>
      </c>
      <c r="I47" s="1674">
        <f t="shared" si="4"/>
        <v>0</v>
      </c>
      <c r="J47" s="1674">
        <f t="shared" si="4"/>
        <v>0</v>
      </c>
      <c r="K47" s="1674">
        <f t="shared" si="4"/>
        <v>256060</v>
      </c>
      <c r="L47" s="1674">
        <f>SUM(L44:L46)</f>
        <v>274600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77552</v>
      </c>
      <c r="F49" s="1586">
        <v>10608</v>
      </c>
      <c r="G49" s="1586">
        <v>2790</v>
      </c>
      <c r="H49" s="1586">
        <v>3325</v>
      </c>
      <c r="I49" s="1574"/>
      <c r="J49" s="1574"/>
      <c r="K49" s="1678">
        <f>SUM(C49:J49)</f>
        <v>94275</v>
      </c>
      <c r="L49" s="1586">
        <v>142000</v>
      </c>
    </row>
    <row r="50" spans="1:14" x14ac:dyDescent="0.2">
      <c r="A50" s="1274" t="s">
        <v>813</v>
      </c>
      <c r="B50" s="503">
        <v>2320</v>
      </c>
      <c r="C50" s="1573">
        <v>228555</v>
      </c>
      <c r="D50" s="1573">
        <v>30771</v>
      </c>
      <c r="E50" s="1573">
        <v>2754</v>
      </c>
      <c r="F50" s="1573">
        <v>3739</v>
      </c>
      <c r="G50" s="1573"/>
      <c r="H50" s="1573">
        <v>2007</v>
      </c>
      <c r="I50" s="1574"/>
      <c r="J50" s="1574"/>
      <c r="K50" s="1678">
        <f>SUM(C50:J50)</f>
        <v>267826</v>
      </c>
      <c r="L50" s="1573">
        <v>270000</v>
      </c>
    </row>
    <row r="51" spans="1:14" x14ac:dyDescent="0.2">
      <c r="A51" s="1274" t="s">
        <v>42</v>
      </c>
      <c r="B51" s="503">
        <v>2330</v>
      </c>
      <c r="C51" s="1573">
        <v>1014</v>
      </c>
      <c r="D51" s="1573">
        <v>156</v>
      </c>
      <c r="E51" s="1573"/>
      <c r="F51" s="1573"/>
      <c r="G51" s="1573"/>
      <c r="H51" s="1573">
        <v>248</v>
      </c>
      <c r="I51" s="1574"/>
      <c r="J51" s="1574"/>
      <c r="K51" s="1678">
        <f>SUM(C51:J51)</f>
        <v>1418</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229569</v>
      </c>
      <c r="D53" s="1674">
        <f t="shared" ref="D53:L53" si="5">SUM(D49:D52)</f>
        <v>30927</v>
      </c>
      <c r="E53" s="1674">
        <f t="shared" si="5"/>
        <v>80306</v>
      </c>
      <c r="F53" s="1674">
        <f t="shared" si="5"/>
        <v>14347</v>
      </c>
      <c r="G53" s="1674">
        <f t="shared" si="5"/>
        <v>2790</v>
      </c>
      <c r="H53" s="1674">
        <f t="shared" si="5"/>
        <v>5580</v>
      </c>
      <c r="I53" s="1674">
        <f t="shared" si="5"/>
        <v>0</v>
      </c>
      <c r="J53" s="1674">
        <f t="shared" si="5"/>
        <v>0</v>
      </c>
      <c r="K53" s="1674">
        <f t="shared" si="5"/>
        <v>363519</v>
      </c>
      <c r="L53" s="1674">
        <f t="shared" si="5"/>
        <v>412000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584563</v>
      </c>
      <c r="D55" s="1586">
        <v>65806</v>
      </c>
      <c r="E55" s="1586">
        <v>16950</v>
      </c>
      <c r="F55" s="1586">
        <v>16245</v>
      </c>
      <c r="G55" s="1586"/>
      <c r="H55" s="1586">
        <v>2765</v>
      </c>
      <c r="I55" s="1574"/>
      <c r="J55" s="1574"/>
      <c r="K55" s="1678">
        <f>SUM(C55:J55)</f>
        <v>686329</v>
      </c>
      <c r="L55" s="1586">
        <v>716800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584563</v>
      </c>
      <c r="D57" s="1679">
        <f t="shared" ref="D57:K57" si="6">SUM(D55:D56)</f>
        <v>65806</v>
      </c>
      <c r="E57" s="1679">
        <f t="shared" si="6"/>
        <v>16950</v>
      </c>
      <c r="F57" s="1679">
        <f t="shared" si="6"/>
        <v>16245</v>
      </c>
      <c r="G57" s="1679">
        <f t="shared" si="6"/>
        <v>0</v>
      </c>
      <c r="H57" s="1679">
        <f t="shared" si="6"/>
        <v>2765</v>
      </c>
      <c r="I57" s="1679">
        <f t="shared" si="6"/>
        <v>0</v>
      </c>
      <c r="J57" s="1679">
        <f t="shared" si="6"/>
        <v>0</v>
      </c>
      <c r="K57" s="1679">
        <f t="shared" si="6"/>
        <v>686329</v>
      </c>
      <c r="L57" s="1674">
        <f>SUM(L55:L56)</f>
        <v>716800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129939</v>
      </c>
      <c r="D60" s="1573">
        <v>20929</v>
      </c>
      <c r="E60" s="1573">
        <v>12329</v>
      </c>
      <c r="F60" s="1573">
        <v>2836</v>
      </c>
      <c r="G60" s="1573"/>
      <c r="H60" s="1573">
        <v>83</v>
      </c>
      <c r="I60" s="1574"/>
      <c r="J60" s="1574"/>
      <c r="K60" s="1678">
        <f t="shared" si="7"/>
        <v>166116</v>
      </c>
      <c r="L60" s="1573">
        <v>189000</v>
      </c>
      <c r="M60" s="501"/>
      <c r="N60" s="501"/>
    </row>
    <row r="61" spans="1:14" s="321" customFormat="1" x14ac:dyDescent="0.2">
      <c r="A61" s="1274" t="s">
        <v>195</v>
      </c>
      <c r="B61" s="503">
        <v>2540</v>
      </c>
      <c r="C61" s="1573">
        <v>738473</v>
      </c>
      <c r="D61" s="1573">
        <v>132718</v>
      </c>
      <c r="E61" s="1573"/>
      <c r="F61" s="1573">
        <v>266</v>
      </c>
      <c r="G61" s="1573"/>
      <c r="H61" s="1573"/>
      <c r="I61" s="1574"/>
      <c r="J61" s="1574"/>
      <c r="K61" s="1678">
        <f t="shared" si="7"/>
        <v>871457</v>
      </c>
      <c r="L61" s="1573">
        <v>810000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257953</v>
      </c>
      <c r="D63" s="1573">
        <v>81235</v>
      </c>
      <c r="E63" s="1573">
        <v>2154</v>
      </c>
      <c r="F63" s="1573">
        <v>392492</v>
      </c>
      <c r="G63" s="1573">
        <v>11795</v>
      </c>
      <c r="H63" s="1573">
        <v>333</v>
      </c>
      <c r="I63" s="1574"/>
      <c r="J63" s="1574"/>
      <c r="K63" s="1678">
        <f t="shared" si="7"/>
        <v>745962</v>
      </c>
      <c r="L63" s="1573">
        <v>663500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1126365</v>
      </c>
      <c r="D65" s="1674">
        <f t="shared" ref="D65:L65" si="8">SUM(D59:D64)</f>
        <v>234882</v>
      </c>
      <c r="E65" s="1674">
        <f t="shared" si="8"/>
        <v>14483</v>
      </c>
      <c r="F65" s="1674">
        <f t="shared" si="8"/>
        <v>395594</v>
      </c>
      <c r="G65" s="1674">
        <f t="shared" si="8"/>
        <v>11795</v>
      </c>
      <c r="H65" s="1674">
        <f t="shared" si="8"/>
        <v>416</v>
      </c>
      <c r="I65" s="1674">
        <f t="shared" si="8"/>
        <v>0</v>
      </c>
      <c r="J65" s="1674">
        <f t="shared" si="8"/>
        <v>0</v>
      </c>
      <c r="K65" s="1674">
        <f t="shared" si="8"/>
        <v>1783535</v>
      </c>
      <c r="L65" s="1674">
        <f t="shared" si="8"/>
        <v>1662500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v>138122</v>
      </c>
      <c r="D71" s="1573">
        <v>28438</v>
      </c>
      <c r="E71" s="1573">
        <v>380180</v>
      </c>
      <c r="F71" s="1573">
        <v>8858</v>
      </c>
      <c r="G71" s="1573">
        <v>6339</v>
      </c>
      <c r="H71" s="1573"/>
      <c r="I71" s="1574"/>
      <c r="J71" s="1574"/>
      <c r="K71" s="1678">
        <f>SUM(C71:J71)</f>
        <v>561937</v>
      </c>
      <c r="L71" s="1573">
        <v>574500</v>
      </c>
      <c r="M71" s="501"/>
      <c r="N71" s="501"/>
    </row>
    <row r="72" spans="1:14" s="321" customFormat="1" ht="12.75" customHeight="1" thickBot="1" x14ac:dyDescent="0.25">
      <c r="A72" s="1380" t="s">
        <v>37</v>
      </c>
      <c r="B72" s="1383" t="s">
        <v>36</v>
      </c>
      <c r="C72" s="1674">
        <f>SUM(C67:C71)</f>
        <v>138122</v>
      </c>
      <c r="D72" s="1674">
        <f t="shared" ref="D72:K72" si="9">SUM(D67:D71)</f>
        <v>28438</v>
      </c>
      <c r="E72" s="1674">
        <f t="shared" si="9"/>
        <v>380180</v>
      </c>
      <c r="F72" s="1674">
        <f t="shared" si="9"/>
        <v>8858</v>
      </c>
      <c r="G72" s="1674">
        <f t="shared" si="9"/>
        <v>6339</v>
      </c>
      <c r="H72" s="1674">
        <f t="shared" si="9"/>
        <v>0</v>
      </c>
      <c r="I72" s="1674">
        <f t="shared" si="9"/>
        <v>0</v>
      </c>
      <c r="J72" s="1674">
        <f t="shared" si="9"/>
        <v>0</v>
      </c>
      <c r="K72" s="1674">
        <f t="shared" si="9"/>
        <v>561937</v>
      </c>
      <c r="L72" s="1674">
        <f>SUM(L67:L71)</f>
        <v>574500</v>
      </c>
      <c r="M72" s="501"/>
      <c r="N72" s="501"/>
    </row>
    <row r="73" spans="1:14" s="321" customFormat="1" ht="14.25" thickTop="1" thickBot="1" x14ac:dyDescent="0.25">
      <c r="A73" s="1280" t="s">
        <v>973</v>
      </c>
      <c r="B73" s="515" t="s">
        <v>570</v>
      </c>
      <c r="C73" s="1649"/>
      <c r="D73" s="1649"/>
      <c r="E73" s="1649"/>
      <c r="F73" s="1649">
        <v>626</v>
      </c>
      <c r="G73" s="1649"/>
      <c r="H73" s="1649"/>
      <c r="I73" s="1627"/>
      <c r="J73" s="1627"/>
      <c r="K73" s="1674">
        <f>SUM(C73:J73)</f>
        <v>626</v>
      </c>
      <c r="L73" s="1651">
        <v>0</v>
      </c>
      <c r="M73" s="501"/>
      <c r="N73" s="501"/>
    </row>
    <row r="74" spans="1:14" ht="12.75" customHeight="1" thickTop="1" thickBot="1" x14ac:dyDescent="0.25">
      <c r="A74" s="1380" t="s">
        <v>806</v>
      </c>
      <c r="B74" s="1384">
        <v>2000</v>
      </c>
      <c r="C74" s="1681">
        <f>SUM(C42,C47,C53,C57,C65,C72,C73)</f>
        <v>2972112</v>
      </c>
      <c r="D74" s="1681">
        <f t="shared" ref="D74:K74" si="10">SUM(D42,D47,D53,D57,D65,D72,D73)</f>
        <v>566033</v>
      </c>
      <c r="E74" s="1681">
        <f t="shared" si="10"/>
        <v>582373</v>
      </c>
      <c r="F74" s="1681">
        <f t="shared" si="10"/>
        <v>452691</v>
      </c>
      <c r="G74" s="1681">
        <f t="shared" si="10"/>
        <v>20924</v>
      </c>
      <c r="H74" s="1681">
        <f t="shared" si="10"/>
        <v>8761</v>
      </c>
      <c r="I74" s="1681">
        <f t="shared" si="10"/>
        <v>0</v>
      </c>
      <c r="J74" s="1681">
        <f t="shared" si="10"/>
        <v>0</v>
      </c>
      <c r="K74" s="1681">
        <f t="shared" si="10"/>
        <v>4602894</v>
      </c>
      <c r="L74" s="1681">
        <f>SUM(L42,L47,L53,L57,L65,L72,L73)</f>
        <v>4674606</v>
      </c>
    </row>
    <row r="75" spans="1:14" s="254" customFormat="1" ht="15.75" customHeight="1" thickTop="1" thickBot="1" x14ac:dyDescent="0.25">
      <c r="A75" s="1348" t="s">
        <v>47</v>
      </c>
      <c r="B75" s="1349" t="s">
        <v>571</v>
      </c>
      <c r="C75" s="1649">
        <v>56347</v>
      </c>
      <c r="D75" s="1649"/>
      <c r="E75" s="1649"/>
      <c r="F75" s="1649">
        <v>943</v>
      </c>
      <c r="G75" s="1649"/>
      <c r="H75" s="1649"/>
      <c r="I75" s="1627"/>
      <c r="J75" s="1627"/>
      <c r="K75" s="1674">
        <f>SUM(C75:J75)</f>
        <v>57290</v>
      </c>
      <c r="L75" s="1651">
        <v>77600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57595</v>
      </c>
      <c r="F78" s="1673"/>
      <c r="G78" s="1673"/>
      <c r="H78" s="1682"/>
      <c r="I78" s="1582"/>
      <c r="J78" s="1582"/>
      <c r="K78" s="1672">
        <f t="shared" ref="K78:K83" si="11">SUM(C78:J78)</f>
        <v>57595</v>
      </c>
      <c r="L78" s="1586">
        <v>90000</v>
      </c>
    </row>
    <row r="79" spans="1:14" x14ac:dyDescent="0.2">
      <c r="A79" s="1274" t="s">
        <v>301</v>
      </c>
      <c r="B79" s="503">
        <v>4120</v>
      </c>
      <c r="C79" s="1673"/>
      <c r="D79" s="1673"/>
      <c r="E79" s="1573">
        <v>142551</v>
      </c>
      <c r="F79" s="1673"/>
      <c r="G79" s="1673"/>
      <c r="H79" s="1573"/>
      <c r="I79" s="1582"/>
      <c r="J79" s="1582"/>
      <c r="K79" s="1672">
        <f t="shared" si="11"/>
        <v>142551</v>
      </c>
      <c r="L79" s="1573">
        <v>150000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1467</v>
      </c>
      <c r="B84" s="1385">
        <v>4100</v>
      </c>
      <c r="C84" s="1673"/>
      <c r="D84" s="1673"/>
      <c r="E84" s="1674">
        <f>SUM(E78:E83)</f>
        <v>200146</v>
      </c>
      <c r="F84" s="1673"/>
      <c r="G84" s="1673"/>
      <c r="H84" s="1674">
        <f>SUM(H78:H83)</f>
        <v>0</v>
      </c>
      <c r="I84" s="1582"/>
      <c r="J84" s="1582"/>
      <c r="K84" s="1674">
        <f>SUM(K78:K83)</f>
        <v>200146</v>
      </c>
      <c r="L84" s="1674">
        <f>SUM(L78:L83)</f>
        <v>240000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7506</v>
      </c>
      <c r="I86" s="1582"/>
      <c r="J86" s="1582"/>
      <c r="K86" s="1681">
        <f t="shared" ref="K86:K98" si="12">H86</f>
        <v>7506</v>
      </c>
      <c r="L86" s="1626">
        <v>125000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187350</v>
      </c>
      <c r="I88" s="1582"/>
      <c r="J88" s="1582"/>
      <c r="K88" s="1681">
        <f t="shared" si="12"/>
        <v>187350</v>
      </c>
      <c r="L88" s="1626">
        <v>400000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85891</v>
      </c>
      <c r="I91" s="1582"/>
      <c r="J91" s="1582"/>
      <c r="K91" s="1681">
        <f t="shared" si="12"/>
        <v>85891</v>
      </c>
      <c r="L91" s="1626">
        <v>90000</v>
      </c>
    </row>
    <row r="92" spans="1:12" ht="14.25" thickTop="1" thickBot="1" x14ac:dyDescent="0.25">
      <c r="A92" s="1386" t="s">
        <v>1542</v>
      </c>
      <c r="B92" s="1385">
        <v>4200</v>
      </c>
      <c r="C92" s="1673"/>
      <c r="D92" s="1673"/>
      <c r="E92" s="1684"/>
      <c r="F92" s="1673"/>
      <c r="G92" s="1673"/>
      <c r="H92" s="1674">
        <f>SUM(H85:H91)</f>
        <v>280747</v>
      </c>
      <c r="I92" s="1582"/>
      <c r="J92" s="1582"/>
      <c r="K92" s="1681">
        <f t="shared" si="12"/>
        <v>280747</v>
      </c>
      <c r="L92" s="1674">
        <f>SUM(L85:L91)</f>
        <v>615000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1469</v>
      </c>
      <c r="B102" s="1385">
        <v>4000</v>
      </c>
      <c r="C102" s="1673"/>
      <c r="D102" s="1673"/>
      <c r="E102" s="1681">
        <f>SUM(E84,E92,E100,E101)</f>
        <v>200146</v>
      </c>
      <c r="F102" s="1673"/>
      <c r="G102" s="1673"/>
      <c r="H102" s="1681">
        <f>SUM(H84,H92,H100,H101)</f>
        <v>280747</v>
      </c>
      <c r="I102" s="1582"/>
      <c r="J102" s="1582"/>
      <c r="K102" s="1681">
        <f>SUM(K84,K92,K100,K101)</f>
        <v>480893</v>
      </c>
      <c r="L102" s="1681">
        <f>SUM(L84,L92,L100,L101)</f>
        <v>855000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8988131</v>
      </c>
      <c r="D114" s="1674">
        <f t="shared" ref="D114:K114" si="13">SUM(D33,D74,D75,D102,D112,D113)</f>
        <v>1622402</v>
      </c>
      <c r="E114" s="1674">
        <f t="shared" si="13"/>
        <v>920879</v>
      </c>
      <c r="F114" s="1674">
        <f t="shared" si="13"/>
        <v>689099</v>
      </c>
      <c r="G114" s="1674">
        <f t="shared" si="13"/>
        <v>92860</v>
      </c>
      <c r="H114" s="1674">
        <f>SUM(H33,H74,H75,H102,H112,H113)</f>
        <v>311557</v>
      </c>
      <c r="I114" s="1674">
        <f t="shared" si="13"/>
        <v>0</v>
      </c>
      <c r="J114" s="1674">
        <f t="shared" si="13"/>
        <v>0</v>
      </c>
      <c r="K114" s="1674">
        <f t="shared" si="13"/>
        <v>12624928</v>
      </c>
      <c r="L114" s="1674">
        <f>SUM(L33,L74,L75,L102,L112,L113)</f>
        <v>13327706</v>
      </c>
    </row>
    <row r="115" spans="1:14" ht="13.5" thickTop="1" x14ac:dyDescent="0.2">
      <c r="A115" s="2298" t="s">
        <v>989</v>
      </c>
      <c r="B115" s="2299"/>
      <c r="C115" s="1675"/>
      <c r="D115" s="1675"/>
      <c r="E115" s="1675"/>
      <c r="F115" s="1675"/>
      <c r="G115" s="1675"/>
      <c r="H115" s="1675"/>
      <c r="I115" s="1675"/>
      <c r="J115" s="1675"/>
      <c r="K115" s="1689">
        <f>'Revenues 9-14'!C268-'Expenditures 15-22'!K114</f>
        <v>481564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293</v>
      </c>
      <c r="B117" s="227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1958</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273157</v>
      </c>
      <c r="D124" s="1573">
        <v>51365</v>
      </c>
      <c r="E124" s="1573">
        <v>225100</v>
      </c>
      <c r="F124" s="1573">
        <v>546010</v>
      </c>
      <c r="G124" s="1573">
        <v>337493</v>
      </c>
      <c r="H124" s="1573"/>
      <c r="I124" s="1574"/>
      <c r="J124" s="1574"/>
      <c r="K124" s="1674">
        <f>SUM(C124:J124)</f>
        <v>1433125</v>
      </c>
      <c r="L124" s="1573">
        <v>1582000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273157</v>
      </c>
      <c r="D127" s="1674">
        <f t="shared" ref="D127:L127" si="14">SUM(D122:D126)</f>
        <v>51365</v>
      </c>
      <c r="E127" s="1674">
        <f t="shared" si="14"/>
        <v>225100</v>
      </c>
      <c r="F127" s="1674">
        <f t="shared" si="14"/>
        <v>546010</v>
      </c>
      <c r="G127" s="1674">
        <f t="shared" si="14"/>
        <v>337493</v>
      </c>
      <c r="H127" s="1674">
        <f t="shared" si="14"/>
        <v>0</v>
      </c>
      <c r="I127" s="1674">
        <f t="shared" si="14"/>
        <v>0</v>
      </c>
      <c r="J127" s="1674">
        <f t="shared" si="14"/>
        <v>0</v>
      </c>
      <c r="K127" s="1674">
        <f t="shared" si="14"/>
        <v>1433125</v>
      </c>
      <c r="L127" s="1674">
        <f t="shared" si="14"/>
        <v>1582000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273157</v>
      </c>
      <c r="D129" s="1681">
        <f t="shared" ref="D129:L129" si="15">SUM(D120,D127,D128)</f>
        <v>51365</v>
      </c>
      <c r="E129" s="1681">
        <f t="shared" si="15"/>
        <v>225100</v>
      </c>
      <c r="F129" s="1681">
        <f t="shared" si="15"/>
        <v>546010</v>
      </c>
      <c r="G129" s="1681">
        <f t="shared" si="15"/>
        <v>337493</v>
      </c>
      <c r="H129" s="1681">
        <f t="shared" si="15"/>
        <v>0</v>
      </c>
      <c r="I129" s="1681">
        <f t="shared" si="15"/>
        <v>0</v>
      </c>
      <c r="J129" s="1681">
        <f t="shared" si="15"/>
        <v>0</v>
      </c>
      <c r="K129" s="1681">
        <f t="shared" si="15"/>
        <v>1433125</v>
      </c>
      <c r="L129" s="1681">
        <f t="shared" si="15"/>
        <v>1582000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1811</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800000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800000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8" t="s">
        <v>616</v>
      </c>
      <c r="B151" s="2270"/>
      <c r="C151" s="1674">
        <f>SUM(C129,C130,C139,C149,C150)</f>
        <v>273157</v>
      </c>
      <c r="D151" s="1674">
        <f t="shared" ref="D151:K151" si="16">SUM(D129,D130,D139,D149,D150)</f>
        <v>51365</v>
      </c>
      <c r="E151" s="1674">
        <f t="shared" si="16"/>
        <v>225100</v>
      </c>
      <c r="F151" s="1674">
        <f t="shared" si="16"/>
        <v>546010</v>
      </c>
      <c r="G151" s="1674">
        <f t="shared" si="16"/>
        <v>337493</v>
      </c>
      <c r="H151" s="1674">
        <f t="shared" si="16"/>
        <v>0</v>
      </c>
      <c r="I151" s="1674">
        <f t="shared" si="16"/>
        <v>0</v>
      </c>
      <c r="J151" s="1674">
        <f t="shared" si="16"/>
        <v>0</v>
      </c>
      <c r="K151" s="1674">
        <f t="shared" si="16"/>
        <v>1433125</v>
      </c>
      <c r="L151" s="1674">
        <f>SUM(L129,L130,L139,L149,L150)</f>
        <v>2382000</v>
      </c>
    </row>
    <row r="152" spans="1:14" ht="12.75" customHeight="1" thickTop="1" x14ac:dyDescent="0.2">
      <c r="A152" s="2291" t="s">
        <v>1168</v>
      </c>
      <c r="B152" s="2292"/>
      <c r="C152" s="1675"/>
      <c r="D152" s="1675"/>
      <c r="E152" s="1675"/>
      <c r="F152" s="1675"/>
      <c r="G152" s="1675"/>
      <c r="H152" s="1675"/>
      <c r="I152" s="1675"/>
      <c r="J152" s="1673"/>
      <c r="K152" s="1689">
        <f>'Revenues 9-14'!D268-'Expenditures 15-22'!K151</f>
        <v>551170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617</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1812</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1811</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1813</v>
      </c>
      <c r="C158" s="1673"/>
      <c r="D158" s="1673"/>
      <c r="E158" s="1673"/>
      <c r="F158" s="1673"/>
      <c r="G158" s="1673"/>
      <c r="H158" s="1574"/>
      <c r="I158" s="1673"/>
      <c r="J158" s="1673"/>
      <c r="K158" s="1672">
        <f>H158</f>
        <v>0</v>
      </c>
      <c r="L158" s="1574">
        <v>0</v>
      </c>
      <c r="M158" s="505"/>
      <c r="N158" s="505"/>
    </row>
    <row r="159" spans="1:14" s="506" customFormat="1" ht="12" x14ac:dyDescent="0.2">
      <c r="A159" s="1462" t="s">
        <v>1814</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1815</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1032622+31272</f>
        <v>1063894</v>
      </c>
      <c r="I169" s="1673"/>
      <c r="J169" s="1673"/>
      <c r="K169" s="1672">
        <f>SUM(C169:H169)</f>
        <v>1063894</v>
      </c>
      <c r="L169" s="1695">
        <v>488000</v>
      </c>
    </row>
    <row r="170" spans="1:14" ht="33.75" customHeight="1" x14ac:dyDescent="0.2">
      <c r="A170" s="543" t="s">
        <v>1650</v>
      </c>
      <c r="B170" s="545" t="s">
        <v>31</v>
      </c>
      <c r="C170" s="1673"/>
      <c r="D170" s="1673"/>
      <c r="E170" s="1673"/>
      <c r="F170" s="1673"/>
      <c r="G170" s="1673"/>
      <c r="H170" s="1646">
        <v>1683078</v>
      </c>
      <c r="I170" s="1673"/>
      <c r="J170" s="1673"/>
      <c r="K170" s="1672">
        <f>SUM(C170:J170)</f>
        <v>1683078</v>
      </c>
      <c r="L170" s="1646">
        <v>1420000</v>
      </c>
    </row>
    <row r="171" spans="1:14" ht="15.75" customHeight="1" x14ac:dyDescent="0.2">
      <c r="A171" s="507" t="s">
        <v>761</v>
      </c>
      <c r="B171" s="546" t="s">
        <v>84</v>
      </c>
      <c r="C171" s="1673"/>
      <c r="D171" s="1673"/>
      <c r="E171" s="1573"/>
      <c r="F171" s="1673"/>
      <c r="G171" s="1673"/>
      <c r="H171" s="1646">
        <v>3184</v>
      </c>
      <c r="I171" s="1582"/>
      <c r="J171" s="1673"/>
      <c r="K171" s="1672">
        <f>SUM(C171:J171)</f>
        <v>3184</v>
      </c>
      <c r="L171" s="1646">
        <v>4000</v>
      </c>
    </row>
    <row r="172" spans="1:14" ht="12.75" customHeight="1" thickBot="1" x14ac:dyDescent="0.25">
      <c r="A172" s="1380" t="s">
        <v>633</v>
      </c>
      <c r="B172" s="1381" t="s">
        <v>489</v>
      </c>
      <c r="C172" s="1673"/>
      <c r="D172" s="1673"/>
      <c r="E172" s="1681">
        <f>SUM(E168,E169,E170,E171)</f>
        <v>0</v>
      </c>
      <c r="F172" s="1673"/>
      <c r="G172" s="1673"/>
      <c r="H172" s="1681">
        <f>SUM(H168,H169,H170,H171)</f>
        <v>2750156</v>
      </c>
      <c r="I172" s="1684"/>
      <c r="J172" s="1673"/>
      <c r="K172" s="1681">
        <f>SUM(K168,K169,K170,K171)</f>
        <v>2750156</v>
      </c>
      <c r="L172" s="1681">
        <f>SUM(L168,L169,L170,L171)</f>
        <v>1912000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2750156</v>
      </c>
      <c r="I174" s="1684"/>
      <c r="J174" s="1673"/>
      <c r="K174" s="1681">
        <f>SUM(K160,K172,K173)</f>
        <v>2750156</v>
      </c>
      <c r="L174" s="1681">
        <f>SUM(L160,L172,L173)</f>
        <v>1912000</v>
      </c>
    </row>
    <row r="175" spans="1:14" ht="13.5" thickTop="1" x14ac:dyDescent="0.2">
      <c r="A175" s="2298" t="s">
        <v>989</v>
      </c>
      <c r="B175" s="2299"/>
      <c r="C175" s="1673"/>
      <c r="D175" s="1673"/>
      <c r="E175" s="1673"/>
      <c r="F175" s="1673"/>
      <c r="G175" s="1673"/>
      <c r="H175" s="1675"/>
      <c r="I175" s="1673"/>
      <c r="J175" s="1673"/>
      <c r="K175" s="1689">
        <f>'Revenues 9-14'!E268-'Expenditures 15-22'!K174</f>
        <v>-821899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1958</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15027</v>
      </c>
      <c r="D182" s="1573">
        <v>1404</v>
      </c>
      <c r="E182" s="1573">
        <f>787146</f>
        <v>787146</v>
      </c>
      <c r="F182" s="1573"/>
      <c r="G182" s="1573"/>
      <c r="H182" s="1573"/>
      <c r="I182" s="1574"/>
      <c r="J182" s="1574"/>
      <c r="K182" s="1672">
        <f>SUM(C182:J182)</f>
        <v>803577</v>
      </c>
      <c r="L182" s="1573">
        <v>880950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15027</v>
      </c>
      <c r="D184" s="1681">
        <f t="shared" ref="D184:J184" si="17">SUM(D180,D182,D183)</f>
        <v>1404</v>
      </c>
      <c r="E184" s="1681">
        <f t="shared" si="17"/>
        <v>787146</v>
      </c>
      <c r="F184" s="1681">
        <f t="shared" si="17"/>
        <v>0</v>
      </c>
      <c r="G184" s="1681">
        <f t="shared" si="17"/>
        <v>0</v>
      </c>
      <c r="H184" s="1681">
        <f t="shared" si="17"/>
        <v>0</v>
      </c>
      <c r="I184" s="1681">
        <f t="shared" si="17"/>
        <v>0</v>
      </c>
      <c r="J184" s="1681">
        <f t="shared" si="17"/>
        <v>0</v>
      </c>
      <c r="K184" s="1681">
        <f>SUM(K180,K182,K183)</f>
        <v>803577</v>
      </c>
      <c r="L184" s="1681">
        <f>SUM(L180, L182:L183)</f>
        <v>880950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1469</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270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270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1651</v>
      </c>
      <c r="B206" s="546" t="s">
        <v>31</v>
      </c>
      <c r="C206" s="1673"/>
      <c r="D206" s="1673"/>
      <c r="E206" s="1673"/>
      <c r="F206" s="1673"/>
      <c r="G206" s="1673"/>
      <c r="H206" s="1573"/>
      <c r="I206" s="1673"/>
      <c r="J206" s="1673"/>
      <c r="K206" s="1672">
        <f>SUM(H206)</f>
        <v>0</v>
      </c>
      <c r="L206" s="1573">
        <v>9800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10070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15027</v>
      </c>
      <c r="D210" s="1674">
        <f>SUM(D184,D185)</f>
        <v>1404</v>
      </c>
      <c r="E210" s="1674">
        <f>SUM(E184,E185,E196)</f>
        <v>787146</v>
      </c>
      <c r="F210" s="1674">
        <f>SUM(F184,F185)</f>
        <v>0</v>
      </c>
      <c r="G210" s="1674">
        <f>SUM(G184,G185)</f>
        <v>0</v>
      </c>
      <c r="H210" s="1674">
        <f>SUM(H184,H185,H196,H208,H209)</f>
        <v>0</v>
      </c>
      <c r="I210" s="1674">
        <f>SUM(I184,I185)</f>
        <v>0</v>
      </c>
      <c r="J210" s="1674">
        <f>SUM(J184,J185)</f>
        <v>0</v>
      </c>
      <c r="K210" s="1672">
        <f>SUM(K184,K185,K196,K208,K209)</f>
        <v>803577</v>
      </c>
      <c r="L210" s="1674">
        <f>SUM(L184,L185,L196,L208,L209)</f>
        <v>891020</v>
      </c>
    </row>
    <row r="211" spans="1:14" ht="13.5" thickTop="1" x14ac:dyDescent="0.2">
      <c r="A211" s="2298" t="s">
        <v>989</v>
      </c>
      <c r="B211" s="2299"/>
      <c r="C211" s="1675"/>
      <c r="D211" s="1675"/>
      <c r="E211" s="1675"/>
      <c r="F211" s="1675"/>
      <c r="G211" s="1675"/>
      <c r="H211" s="1675"/>
      <c r="I211" s="1673"/>
      <c r="J211" s="1673"/>
      <c r="K211" s="1689">
        <f>'Revenues 9-14'!F268-'Expenditures 15-22'!K210</f>
        <v>387455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959</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378+37880</f>
        <v>38258</v>
      </c>
      <c r="E215" s="1673"/>
      <c r="F215" s="1673"/>
      <c r="G215" s="1673"/>
      <c r="H215" s="1673"/>
      <c r="I215" s="1673"/>
      <c r="J215" s="1673"/>
      <c r="K215" s="1672">
        <f>D215</f>
        <v>38258</v>
      </c>
      <c r="L215" s="1573">
        <v>40000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104365</v>
      </c>
      <c r="E217" s="1673"/>
      <c r="F217" s="1673"/>
      <c r="G217" s="1673"/>
      <c r="H217" s="1673"/>
      <c r="I217" s="1673"/>
      <c r="J217" s="1673"/>
      <c r="K217" s="1672">
        <f t="shared" si="19"/>
        <v>104365</v>
      </c>
      <c r="L217" s="1573">
        <v>105000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5961</v>
      </c>
      <c r="E219" s="1673"/>
      <c r="F219" s="1673"/>
      <c r="G219" s="1673"/>
      <c r="H219" s="1673"/>
      <c r="I219" s="1673"/>
      <c r="J219" s="1673"/>
      <c r="K219" s="1672">
        <f t="shared" si="19"/>
        <v>5961</v>
      </c>
      <c r="L219" s="1573">
        <v>6000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16471</v>
      </c>
      <c r="E222" s="1673"/>
      <c r="F222" s="1673"/>
      <c r="G222" s="1673"/>
      <c r="H222" s="1673"/>
      <c r="I222" s="1673"/>
      <c r="J222" s="1673"/>
      <c r="K222" s="1672">
        <f t="shared" si="19"/>
        <v>16471</v>
      </c>
      <c r="L222" s="1573">
        <v>14000</v>
      </c>
    </row>
    <row r="223" spans="1:14" x14ac:dyDescent="0.2">
      <c r="A223" s="1274" t="s">
        <v>957</v>
      </c>
      <c r="B223" s="503">
        <v>1500</v>
      </c>
      <c r="C223" s="1673"/>
      <c r="D223" s="1573">
        <v>15875</v>
      </c>
      <c r="E223" s="1673"/>
      <c r="F223" s="1673"/>
      <c r="G223" s="1673"/>
      <c r="H223" s="1673"/>
      <c r="I223" s="1673"/>
      <c r="J223" s="1673"/>
      <c r="K223" s="1672">
        <f t="shared" si="19"/>
        <v>15875</v>
      </c>
      <c r="L223" s="1573">
        <v>17500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3873</v>
      </c>
      <c r="E226" s="1673"/>
      <c r="F226" s="1673"/>
      <c r="G226" s="1673"/>
      <c r="H226" s="1673"/>
      <c r="I226" s="1673"/>
      <c r="J226" s="1673"/>
      <c r="K226" s="1672">
        <f t="shared" si="19"/>
        <v>3873</v>
      </c>
      <c r="L226" s="1573">
        <v>4000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184803</v>
      </c>
      <c r="E229" s="1673"/>
      <c r="F229" s="1673"/>
      <c r="G229" s="1673"/>
      <c r="H229" s="1673"/>
      <c r="I229" s="1673"/>
      <c r="J229" s="1673"/>
      <c r="K229" s="1674">
        <f>SUM(K215:K228)</f>
        <v>184803</v>
      </c>
      <c r="L229" s="1674">
        <f>SUM(L215:L228)</f>
        <v>186500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20196</v>
      </c>
      <c r="E232" s="1673"/>
      <c r="F232" s="1673"/>
      <c r="G232" s="1673"/>
      <c r="H232" s="1673"/>
      <c r="I232" s="1673"/>
      <c r="J232" s="1673"/>
      <c r="K232" s="1672">
        <f t="shared" ref="K232:K237" si="20">D232</f>
        <v>20196</v>
      </c>
      <c r="L232" s="1573">
        <v>20000</v>
      </c>
    </row>
    <row r="233" spans="1:12" x14ac:dyDescent="0.2">
      <c r="A233" s="1274" t="s">
        <v>1081</v>
      </c>
      <c r="B233" s="503">
        <v>2120</v>
      </c>
      <c r="C233" s="1673"/>
      <c r="D233" s="1573">
        <v>9394</v>
      </c>
      <c r="E233" s="1673"/>
      <c r="F233" s="1673"/>
      <c r="G233" s="1673"/>
      <c r="H233" s="1673"/>
      <c r="I233" s="1673"/>
      <c r="J233" s="1673"/>
      <c r="K233" s="1672">
        <f t="shared" si="20"/>
        <v>9394</v>
      </c>
      <c r="L233" s="1573">
        <v>9000</v>
      </c>
    </row>
    <row r="234" spans="1:12" x14ac:dyDescent="0.2">
      <c r="A234" s="1274" t="s">
        <v>196</v>
      </c>
      <c r="B234" s="503">
        <v>2130</v>
      </c>
      <c r="C234" s="1673"/>
      <c r="D234" s="1573">
        <v>17253</v>
      </c>
      <c r="E234" s="1673"/>
      <c r="F234" s="1673"/>
      <c r="G234" s="1673"/>
      <c r="H234" s="1673"/>
      <c r="I234" s="1673"/>
      <c r="J234" s="1673"/>
      <c r="K234" s="1672">
        <f t="shared" si="20"/>
        <v>17253</v>
      </c>
      <c r="L234" s="1573">
        <v>17000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v>5364</v>
      </c>
      <c r="E237" s="1673"/>
      <c r="F237" s="1673"/>
      <c r="G237" s="1673"/>
      <c r="H237" s="1673"/>
      <c r="I237" s="1673"/>
      <c r="J237" s="1673"/>
      <c r="K237" s="1672">
        <f t="shared" si="20"/>
        <v>5364</v>
      </c>
      <c r="L237" s="1573">
        <v>5600</v>
      </c>
    </row>
    <row r="238" spans="1:12" ht="12.75" customHeight="1" thickBot="1" x14ac:dyDescent="0.25">
      <c r="A238" s="1380" t="s">
        <v>556</v>
      </c>
      <c r="B238" s="1383" t="s">
        <v>711</v>
      </c>
      <c r="C238" s="1673"/>
      <c r="D238" s="1674">
        <f>SUM(D232:D237)</f>
        <v>52207</v>
      </c>
      <c r="E238" s="1673"/>
      <c r="F238" s="1673"/>
      <c r="G238" s="1673"/>
      <c r="H238" s="1673"/>
      <c r="I238" s="1673"/>
      <c r="J238" s="1673"/>
      <c r="K238" s="1674">
        <f>SUM(K232:K237)</f>
        <v>52207</v>
      </c>
      <c r="L238" s="1674">
        <f>SUM(L232:L237)</f>
        <v>51600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925</v>
      </c>
      <c r="E240" s="1673"/>
      <c r="F240" s="1673"/>
      <c r="G240" s="1673"/>
      <c r="H240" s="1673"/>
      <c r="I240" s="1673"/>
      <c r="J240" s="1673"/>
      <c r="K240" s="1678">
        <f>D240</f>
        <v>925</v>
      </c>
      <c r="L240" s="1586">
        <v>1100</v>
      </c>
    </row>
    <row r="241" spans="1:12" x14ac:dyDescent="0.2">
      <c r="A241" s="1274" t="s">
        <v>810</v>
      </c>
      <c r="B241" s="503">
        <v>2220</v>
      </c>
      <c r="C241" s="1673"/>
      <c r="D241" s="1573">
        <v>8509</v>
      </c>
      <c r="E241" s="1673"/>
      <c r="F241" s="1673"/>
      <c r="G241" s="1673"/>
      <c r="H241" s="1673"/>
      <c r="I241" s="1673"/>
      <c r="J241" s="1673"/>
      <c r="K241" s="1678">
        <f>D241</f>
        <v>8509</v>
      </c>
      <c r="L241" s="1573">
        <v>9500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9434</v>
      </c>
      <c r="E243" s="1673"/>
      <c r="F243" s="1673"/>
      <c r="G243" s="1673"/>
      <c r="H243" s="1673"/>
      <c r="I243" s="1673"/>
      <c r="J243" s="1673"/>
      <c r="K243" s="1674">
        <f>SUM(K240:K242)</f>
        <v>9434</v>
      </c>
      <c r="L243" s="1674">
        <f>SUM(L240:L242)</f>
        <v>10600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14922</v>
      </c>
      <c r="E246" s="1673"/>
      <c r="F246" s="1673"/>
      <c r="G246" s="1673"/>
      <c r="H246" s="1673"/>
      <c r="I246" s="1673"/>
      <c r="J246" s="1673"/>
      <c r="K246" s="1678">
        <f t="shared" ref="K246:K256" si="21">D246</f>
        <v>14922</v>
      </c>
      <c r="L246" s="1573">
        <v>15000</v>
      </c>
    </row>
    <row r="247" spans="1:12" x14ac:dyDescent="0.2">
      <c r="A247" s="1274" t="s">
        <v>814</v>
      </c>
      <c r="B247" s="503">
        <v>2330</v>
      </c>
      <c r="C247" s="1673"/>
      <c r="D247" s="1573">
        <v>15</v>
      </c>
      <c r="E247" s="1673"/>
      <c r="F247" s="1673"/>
      <c r="G247" s="1673"/>
      <c r="H247" s="1673"/>
      <c r="I247" s="1673"/>
      <c r="J247" s="1673"/>
      <c r="K247" s="1678">
        <f t="shared" si="21"/>
        <v>15</v>
      </c>
      <c r="L247" s="1573">
        <v>100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1777</v>
      </c>
      <c r="B249" s="557" t="s">
        <v>280</v>
      </c>
      <c r="C249" s="1673"/>
      <c r="D249" s="1579"/>
      <c r="E249" s="1673"/>
      <c r="F249" s="1673"/>
      <c r="G249" s="1673"/>
      <c r="H249" s="1673"/>
      <c r="I249" s="1673"/>
      <c r="J249" s="1673"/>
      <c r="K249" s="1678">
        <f t="shared" si="21"/>
        <v>0</v>
      </c>
      <c r="L249" s="1573">
        <v>0</v>
      </c>
    </row>
    <row r="250" spans="1:12" x14ac:dyDescent="0.2">
      <c r="A250" s="1275" t="s">
        <v>1778</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14937</v>
      </c>
      <c r="E257" s="1673"/>
      <c r="F257" s="1673"/>
      <c r="G257" s="1673"/>
      <c r="H257" s="1673"/>
      <c r="I257" s="1673"/>
      <c r="J257" s="1673"/>
      <c r="K257" s="1674">
        <f>SUM(K245:K256)</f>
        <v>14937</v>
      </c>
      <c r="L257" s="1674">
        <f>SUM(L245:L256)</f>
        <v>15100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18287</v>
      </c>
      <c r="E259" s="1673"/>
      <c r="F259" s="1673"/>
      <c r="G259" s="1673"/>
      <c r="H259" s="1673"/>
      <c r="I259" s="1673"/>
      <c r="J259" s="1673"/>
      <c r="K259" s="1678">
        <f>D259</f>
        <v>18287</v>
      </c>
      <c r="L259" s="1586">
        <v>20000</v>
      </c>
    </row>
    <row r="260" spans="1:14" s="493" customFormat="1" x14ac:dyDescent="0.2">
      <c r="A260" s="1292" t="s">
        <v>1776</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18287</v>
      </c>
      <c r="E261" s="1673"/>
      <c r="F261" s="1673"/>
      <c r="G261" s="1673"/>
      <c r="H261" s="1673"/>
      <c r="I261" s="1673"/>
      <c r="J261" s="1673"/>
      <c r="K261" s="1674">
        <f>SUM(K259:K260)</f>
        <v>18287</v>
      </c>
      <c r="L261" s="1674">
        <f>SUM(L259:L260)</f>
        <v>20000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22428</v>
      </c>
      <c r="E264" s="1673"/>
      <c r="F264" s="1673"/>
      <c r="G264" s="1673"/>
      <c r="H264" s="1673"/>
      <c r="I264" s="1673"/>
      <c r="J264" s="1673"/>
      <c r="K264" s="1678">
        <f t="shared" ref="K264:K269" si="22">D264</f>
        <v>22428</v>
      </c>
      <c r="L264" s="1573">
        <v>25000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174968</v>
      </c>
      <c r="E266" s="1673"/>
      <c r="F266" s="1673"/>
      <c r="G266" s="1673"/>
      <c r="H266" s="1673"/>
      <c r="I266" s="1673"/>
      <c r="J266" s="1673"/>
      <c r="K266" s="1678">
        <f t="shared" si="22"/>
        <v>174968</v>
      </c>
      <c r="L266" s="1573">
        <v>162800</v>
      </c>
    </row>
    <row r="267" spans="1:14" x14ac:dyDescent="0.2">
      <c r="A267" s="1274" t="s">
        <v>947</v>
      </c>
      <c r="B267" s="503">
        <v>2550</v>
      </c>
      <c r="C267" s="1673"/>
      <c r="D267" s="1573">
        <v>214</v>
      </c>
      <c r="E267" s="1673"/>
      <c r="F267" s="1673"/>
      <c r="G267" s="1673"/>
      <c r="H267" s="1673"/>
      <c r="I267" s="1673"/>
      <c r="J267" s="1673"/>
      <c r="K267" s="1678">
        <f t="shared" si="22"/>
        <v>214</v>
      </c>
      <c r="L267" s="1573">
        <v>250</v>
      </c>
    </row>
    <row r="268" spans="1:14" x14ac:dyDescent="0.2">
      <c r="A268" s="1274" t="s">
        <v>100</v>
      </c>
      <c r="B268" s="503">
        <v>2560</v>
      </c>
      <c r="C268" s="1673"/>
      <c r="D268" s="1573">
        <v>43251</v>
      </c>
      <c r="E268" s="1673"/>
      <c r="F268" s="1673"/>
      <c r="G268" s="1673"/>
      <c r="H268" s="1673"/>
      <c r="I268" s="1673"/>
      <c r="J268" s="1673"/>
      <c r="K268" s="1678">
        <f t="shared" si="22"/>
        <v>43251</v>
      </c>
      <c r="L268" s="1573">
        <v>38000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240861</v>
      </c>
      <c r="E270" s="1673"/>
      <c r="F270" s="1673"/>
      <c r="G270" s="1673"/>
      <c r="H270" s="1673"/>
      <c r="I270" s="1673"/>
      <c r="J270" s="1673"/>
      <c r="K270" s="1674">
        <f>SUM(K263:K269)</f>
        <v>240861</v>
      </c>
      <c r="L270" s="1674">
        <f>SUM(L263:L269)</f>
        <v>226050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v>20595</v>
      </c>
      <c r="E276" s="1673"/>
      <c r="F276" s="1673"/>
      <c r="G276" s="1673"/>
      <c r="H276" s="1673"/>
      <c r="I276" s="1673"/>
      <c r="J276" s="1673"/>
      <c r="K276" s="1678">
        <f>D276</f>
        <v>20595</v>
      </c>
      <c r="L276" s="1573">
        <v>20000</v>
      </c>
    </row>
    <row r="277" spans="1:12" ht="12.75" customHeight="1" thickBot="1" x14ac:dyDescent="0.25">
      <c r="A277" s="1393" t="s">
        <v>37</v>
      </c>
      <c r="B277" s="1381" t="s">
        <v>36</v>
      </c>
      <c r="C277" s="1673"/>
      <c r="D277" s="1674">
        <f>SUM(D272:D276)</f>
        <v>20595</v>
      </c>
      <c r="E277" s="1673"/>
      <c r="F277" s="1673"/>
      <c r="G277" s="1673"/>
      <c r="H277" s="1673"/>
      <c r="I277" s="1673"/>
      <c r="J277" s="1673"/>
      <c r="K277" s="1674">
        <f>SUM(K272:K276)</f>
        <v>20595</v>
      </c>
      <c r="L277" s="1674">
        <f>SUM(L272:L276)</f>
        <v>20000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356321</v>
      </c>
      <c r="E279" s="1673"/>
      <c r="F279" s="1673"/>
      <c r="G279" s="1673"/>
      <c r="H279" s="1673"/>
      <c r="I279" s="1673"/>
      <c r="J279" s="1673"/>
      <c r="K279" s="1681">
        <f>SUM(K238,K243,K257,K261,K270,K277,K278)</f>
        <v>356321</v>
      </c>
      <c r="L279" s="1681">
        <f>SUM(L238,L243,L257,L261,L270,L277,L278)</f>
        <v>343350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1811</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1469</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9" t="s">
        <v>502</v>
      </c>
      <c r="B295" s="2290"/>
      <c r="C295" s="1673"/>
      <c r="D295" s="1674">
        <f>SUM(D229,D279,D280,D285)</f>
        <v>541124</v>
      </c>
      <c r="E295" s="1673"/>
      <c r="F295" s="1673"/>
      <c r="G295" s="1673"/>
      <c r="H295" s="1674">
        <f>H293</f>
        <v>0</v>
      </c>
      <c r="I295" s="1673"/>
      <c r="J295" s="1673"/>
      <c r="K295" s="1674">
        <f>SUM(K229,K279,K280,K285,K293,K294)</f>
        <v>541124</v>
      </c>
      <c r="L295" s="1674">
        <f>SUM(L229,L279,L280,L285,L293,L294)</f>
        <v>529900</v>
      </c>
    </row>
    <row r="296" spans="1:14" ht="13.5" thickTop="1" x14ac:dyDescent="0.2">
      <c r="A296" s="2298" t="s">
        <v>989</v>
      </c>
      <c r="B296" s="2299"/>
      <c r="C296" s="1673"/>
      <c r="D296" s="1675"/>
      <c r="E296" s="1673"/>
      <c r="F296" s="1673"/>
      <c r="G296" s="1673"/>
      <c r="H296" s="1707"/>
      <c r="I296" s="1673"/>
      <c r="J296" s="1673"/>
      <c r="K296" s="1689">
        <f>'Revenues 9-14'!G268-'Expenditures 15-22'!K295</f>
        <v>-15232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v>788054</v>
      </c>
      <c r="I301" s="1574"/>
      <c r="J301" s="1574"/>
      <c r="K301" s="1672">
        <f>SUM(C301:J301)</f>
        <v>788054</v>
      </c>
      <c r="L301" s="1574">
        <v>819812</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788054</v>
      </c>
      <c r="I303" s="1681">
        <f t="shared" si="23"/>
        <v>0</v>
      </c>
      <c r="J303" s="1681">
        <f t="shared" si="23"/>
        <v>0</v>
      </c>
      <c r="K303" s="1681">
        <f t="shared" si="23"/>
        <v>788054</v>
      </c>
      <c r="L303" s="1681">
        <f t="shared" si="23"/>
        <v>819812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1816</v>
      </c>
      <c r="B306" s="562" t="s">
        <v>1811</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1469</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6" t="s">
        <v>275</v>
      </c>
      <c r="B312" s="2287"/>
      <c r="C312" s="1674">
        <f>SUM(C303)</f>
        <v>0</v>
      </c>
      <c r="D312" s="1674">
        <f>SUM(D303)</f>
        <v>0</v>
      </c>
      <c r="E312" s="1674">
        <f>SUM(E303,E310)</f>
        <v>0</v>
      </c>
      <c r="F312" s="1674">
        <f>SUM(F303)</f>
        <v>0</v>
      </c>
      <c r="G312" s="1674">
        <f>SUM(G303)</f>
        <v>0</v>
      </c>
      <c r="H312" s="1674">
        <f>SUM(H303,H310)</f>
        <v>788054</v>
      </c>
      <c r="I312" s="1674">
        <f>SUM(I303)</f>
        <v>0</v>
      </c>
      <c r="J312" s="1674">
        <f>SUM(J303)</f>
        <v>0</v>
      </c>
      <c r="K312" s="1674">
        <f>SUM(K303,K310,K311)</f>
        <v>788054</v>
      </c>
      <c r="L312" s="1674">
        <f>SUM(L303,L310,L311)</f>
        <v>819812</v>
      </c>
      <c r="M312" s="539"/>
      <c r="N312" s="539"/>
    </row>
    <row r="313" spans="1:14" ht="13.5" thickTop="1" x14ac:dyDescent="0.2">
      <c r="A313" s="2282" t="s">
        <v>989</v>
      </c>
      <c r="B313" s="2283"/>
      <c r="C313" s="1677"/>
      <c r="D313" s="1677"/>
      <c r="E313" s="1677"/>
      <c r="F313" s="1677"/>
      <c r="G313" s="1677"/>
      <c r="H313" s="1677"/>
      <c r="I313" s="1677"/>
      <c r="J313" s="1677"/>
      <c r="K313" s="1696">
        <f>'Revenues 9-14'!H268-'Expenditures 15-22'!K312</f>
        <v>-274816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892</v>
      </c>
      <c r="B317" s="229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1777</v>
      </c>
      <c r="B320" s="568" t="s">
        <v>280</v>
      </c>
      <c r="C320" s="1574"/>
      <c r="D320" s="1574"/>
      <c r="E320" s="1574">
        <v>166904</v>
      </c>
      <c r="F320" s="1574"/>
      <c r="G320" s="1574"/>
      <c r="H320" s="1574"/>
      <c r="I320" s="1574"/>
      <c r="J320" s="1574"/>
      <c r="K320" s="1672">
        <f t="shared" ref="K320:K327" si="24">SUM(C320:J320)</f>
        <v>166904</v>
      </c>
      <c r="L320" s="1574">
        <v>170904</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88895</v>
      </c>
      <c r="F322" s="1574"/>
      <c r="G322" s="1574"/>
      <c r="H322" s="1574"/>
      <c r="I322" s="1574"/>
      <c r="J322" s="1574"/>
      <c r="K322" s="1672">
        <f t="shared" si="24"/>
        <v>88895</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54429</v>
      </c>
      <c r="F325" s="1574">
        <v>722</v>
      </c>
      <c r="G325" s="1574">
        <v>1485</v>
      </c>
      <c r="H325" s="1574"/>
      <c r="I325" s="1574"/>
      <c r="J325" s="1574"/>
      <c r="K325" s="1672">
        <f t="shared" si="24"/>
        <v>56636</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9216</v>
      </c>
      <c r="F327" s="1574"/>
      <c r="G327" s="1574"/>
      <c r="H327" s="1574"/>
      <c r="I327" s="1574"/>
      <c r="J327" s="1574"/>
      <c r="K327" s="1672">
        <f t="shared" si="24"/>
        <v>9216</v>
      </c>
      <c r="L327" s="1574">
        <v>65000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84695</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319444</v>
      </c>
      <c r="F330" s="1674">
        <f t="shared" si="25"/>
        <v>722</v>
      </c>
      <c r="G330" s="1674">
        <f t="shared" si="25"/>
        <v>1485</v>
      </c>
      <c r="H330" s="1674">
        <f t="shared" si="25"/>
        <v>0</v>
      </c>
      <c r="I330" s="1674">
        <f t="shared" si="25"/>
        <v>0</v>
      </c>
      <c r="J330" s="1674">
        <f t="shared" si="25"/>
        <v>0</v>
      </c>
      <c r="K330" s="1674">
        <f>SUM(K319:K329)</f>
        <v>321651</v>
      </c>
      <c r="L330" s="1674">
        <f>SUM(L319:L329)</f>
        <v>320599</v>
      </c>
      <c r="M330" s="539"/>
      <c r="N330" s="539"/>
    </row>
    <row r="331" spans="1:14" s="548" customFormat="1" ht="12.75" customHeight="1" thickTop="1" x14ac:dyDescent="0.2">
      <c r="A331" s="1467" t="s">
        <v>1817</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1811</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1813</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1818</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319444</v>
      </c>
      <c r="F342" s="1674">
        <f>SUM(F330)</f>
        <v>722</v>
      </c>
      <c r="G342" s="1674">
        <f>SUM(G330)</f>
        <v>1485</v>
      </c>
      <c r="H342" s="1674">
        <f>SUM(H330,H334,H340)</f>
        <v>0</v>
      </c>
      <c r="I342" s="1674">
        <f>SUM(I330)</f>
        <v>0</v>
      </c>
      <c r="J342" s="1674">
        <f>SUM(J330)</f>
        <v>0</v>
      </c>
      <c r="K342" s="1674">
        <f>SUM(K330,K334,K340)</f>
        <v>321651</v>
      </c>
      <c r="L342" s="1681">
        <f>SUM(L330,L334,L340,L341)</f>
        <v>320599</v>
      </c>
    </row>
    <row r="343" spans="1:14" ht="12.75" customHeight="1" thickTop="1" x14ac:dyDescent="0.2">
      <c r="A343" s="2284" t="s">
        <v>989</v>
      </c>
      <c r="B343" s="2285"/>
      <c r="C343" s="1673"/>
      <c r="D343" s="1673"/>
      <c r="E343" s="1673"/>
      <c r="F343" s="1673"/>
      <c r="G343" s="1673"/>
      <c r="H343" s="1673"/>
      <c r="I343" s="1673"/>
      <c r="J343" s="1673"/>
      <c r="K343" s="1689">
        <f>'Revenues 9-14'!J268-'Expenditures 15-22'!K342</f>
        <v>-3149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960</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9048</v>
      </c>
      <c r="F349" s="1573">
        <v>6436</v>
      </c>
      <c r="G349" s="1573">
        <v>2515</v>
      </c>
      <c r="H349" s="1573"/>
      <c r="I349" s="1574"/>
      <c r="J349" s="1574"/>
      <c r="K349" s="1672">
        <f>SUM(C349:J349)</f>
        <v>17999</v>
      </c>
      <c r="L349" s="1573">
        <v>14750</v>
      </c>
    </row>
    <row r="350" spans="1:14" ht="12.75" customHeight="1" thickBot="1" x14ac:dyDescent="0.25">
      <c r="A350" s="1380" t="s">
        <v>714</v>
      </c>
      <c r="B350" s="1381" t="s">
        <v>35</v>
      </c>
      <c r="C350" s="1674">
        <f>SUM(C348:C349)</f>
        <v>0</v>
      </c>
      <c r="D350" s="1674">
        <f t="shared" ref="D350:L350" si="26">SUM(D348:D349)</f>
        <v>0</v>
      </c>
      <c r="E350" s="1674">
        <f t="shared" si="26"/>
        <v>9048</v>
      </c>
      <c r="F350" s="1674">
        <f t="shared" si="26"/>
        <v>6436</v>
      </c>
      <c r="G350" s="1674">
        <f t="shared" si="26"/>
        <v>2515</v>
      </c>
      <c r="H350" s="1674">
        <f t="shared" si="26"/>
        <v>0</v>
      </c>
      <c r="I350" s="1674">
        <f t="shared" si="26"/>
        <v>0</v>
      </c>
      <c r="J350" s="1674">
        <f t="shared" si="26"/>
        <v>0</v>
      </c>
      <c r="K350" s="1674">
        <f t="shared" si="26"/>
        <v>17999</v>
      </c>
      <c r="L350" s="1674">
        <f t="shared" si="26"/>
        <v>14750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9048</v>
      </c>
      <c r="F352" s="1674">
        <f t="shared" si="27"/>
        <v>6436</v>
      </c>
      <c r="G352" s="1674">
        <f t="shared" si="27"/>
        <v>2515</v>
      </c>
      <c r="H352" s="1674">
        <f t="shared" si="27"/>
        <v>0</v>
      </c>
      <c r="I352" s="1674">
        <f t="shared" si="27"/>
        <v>0</v>
      </c>
      <c r="J352" s="1674">
        <f t="shared" si="27"/>
        <v>0</v>
      </c>
      <c r="K352" s="1674">
        <f t="shared" si="27"/>
        <v>17999</v>
      </c>
      <c r="L352" s="1674">
        <f t="shared" si="27"/>
        <v>14750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1819</v>
      </c>
      <c r="B354" s="557" t="s">
        <v>1811</v>
      </c>
      <c r="C354" s="1673"/>
      <c r="D354" s="1673"/>
      <c r="E354" s="1673"/>
      <c r="F354" s="1673"/>
      <c r="G354" s="1673"/>
      <c r="H354" s="1579"/>
      <c r="I354" s="1716"/>
      <c r="J354" s="1673"/>
      <c r="K354" s="1713">
        <f>H354</f>
        <v>0</v>
      </c>
      <c r="L354" s="1577">
        <v>0</v>
      </c>
    </row>
    <row r="355" spans="1:14" ht="12.75" customHeight="1" x14ac:dyDescent="0.2">
      <c r="A355" s="1283" t="s">
        <v>1820</v>
      </c>
      <c r="B355" s="562" t="s">
        <v>1813</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1469</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9048</v>
      </c>
      <c r="F367" s="1674">
        <f t="shared" si="28"/>
        <v>6436</v>
      </c>
      <c r="G367" s="1674">
        <f t="shared" si="28"/>
        <v>2515</v>
      </c>
      <c r="H367" s="1674">
        <f t="shared" si="28"/>
        <v>0</v>
      </c>
      <c r="I367" s="1674">
        <f t="shared" si="28"/>
        <v>0</v>
      </c>
      <c r="J367" s="1674">
        <f t="shared" si="28"/>
        <v>0</v>
      </c>
      <c r="K367" s="1674">
        <f t="shared" si="28"/>
        <v>17999</v>
      </c>
      <c r="L367" s="1674">
        <f t="shared" si="28"/>
        <v>14750</v>
      </c>
    </row>
    <row r="368" spans="1:14" ht="13.5" thickTop="1" x14ac:dyDescent="0.2">
      <c r="A368" s="2298" t="s">
        <v>989</v>
      </c>
      <c r="B368" s="2299"/>
      <c r="C368" s="1694"/>
      <c r="D368" s="1694"/>
      <c r="E368" s="1677"/>
      <c r="F368" s="1677"/>
      <c r="G368" s="1677"/>
      <c r="H368" s="1677"/>
      <c r="I368" s="1677"/>
      <c r="J368" s="1676"/>
      <c r="K368" s="1672">
        <f>'Revenues 9-14'!K268-'Expenditures 15-22'!K367</f>
        <v>22352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B1" colorId="8" zoomScale="110" zoomScaleNormal="110" workbookViewId="0">
      <selection activeCell="A40" sqref="A40:H4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0" t="s">
        <v>1774</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1"/>
      <c r="B3" s="1294"/>
      <c r="C3" s="1295"/>
      <c r="D3" s="1296" t="s">
        <v>254</v>
      </c>
      <c r="E3" s="1295"/>
      <c r="F3" s="1296" t="s">
        <v>255</v>
      </c>
    </row>
    <row r="4" spans="1:8" ht="13.7" customHeight="1" x14ac:dyDescent="0.2">
      <c r="A4" s="579" t="s">
        <v>1145</v>
      </c>
      <c r="B4" s="1721">
        <f>'Revenues 9-14'!C5</f>
        <v>4871729</v>
      </c>
      <c r="C4" s="1722"/>
      <c r="D4" s="1723">
        <f>B4-C4</f>
        <v>4871729</v>
      </c>
      <c r="E4" s="1722">
        <v>5058180</v>
      </c>
      <c r="F4" s="1723">
        <f>E4-C4</f>
        <v>5058180</v>
      </c>
    </row>
    <row r="5" spans="1:8" ht="13.7" customHeight="1" x14ac:dyDescent="0.2">
      <c r="A5" s="579" t="s">
        <v>865</v>
      </c>
      <c r="B5" s="1724">
        <f>'Revenues 9-14'!D5</f>
        <v>1208199</v>
      </c>
      <c r="C5" s="1664"/>
      <c r="D5" s="1725">
        <f t="shared" ref="D5:D18" si="0">B5-C5</f>
        <v>1208199</v>
      </c>
      <c r="E5" s="1664">
        <v>1254439</v>
      </c>
      <c r="F5" s="1725">
        <f>E5-C5</f>
        <v>1254439</v>
      </c>
    </row>
    <row r="6" spans="1:8" ht="13.7" customHeight="1" x14ac:dyDescent="0.2">
      <c r="A6" s="579" t="s">
        <v>408</v>
      </c>
      <c r="B6" s="1724">
        <f>'Revenues 9-14'!E5</f>
        <v>1925090</v>
      </c>
      <c r="C6" s="1664"/>
      <c r="D6" s="1725">
        <f t="shared" si="0"/>
        <v>1925090</v>
      </c>
      <c r="E6" s="1664">
        <v>1930804</v>
      </c>
      <c r="F6" s="1725">
        <f t="shared" ref="F6:F18" si="1">E6-C6</f>
        <v>1930804</v>
      </c>
    </row>
    <row r="7" spans="1:8" ht="13.7" customHeight="1" x14ac:dyDescent="0.2">
      <c r="A7" s="579" t="s">
        <v>154</v>
      </c>
      <c r="B7" s="1724">
        <f>'Revenues 9-14'!F5</f>
        <v>779511</v>
      </c>
      <c r="C7" s="1664"/>
      <c r="D7" s="1725">
        <f t="shared" si="0"/>
        <v>779511</v>
      </c>
      <c r="E7" s="1664">
        <v>809345</v>
      </c>
      <c r="F7" s="1725">
        <f t="shared" si="1"/>
        <v>809345</v>
      </c>
    </row>
    <row r="8" spans="1:8" ht="13.7" customHeight="1" x14ac:dyDescent="0.2">
      <c r="A8" s="579" t="s">
        <v>1169</v>
      </c>
      <c r="B8" s="1724">
        <f>'Revenues 9-14'!G5</f>
        <v>194936</v>
      </c>
      <c r="C8" s="1664"/>
      <c r="D8" s="1725">
        <f t="shared" si="0"/>
        <v>194936</v>
      </c>
      <c r="E8" s="1664">
        <v>202397</v>
      </c>
      <c r="F8" s="1725">
        <f t="shared" si="1"/>
        <v>202397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188604</v>
      </c>
      <c r="C10" s="1664"/>
      <c r="D10" s="1725">
        <f t="shared" si="0"/>
        <v>188604</v>
      </c>
      <c r="E10" s="1664">
        <v>195822</v>
      </c>
      <c r="F10" s="1725">
        <f t="shared" si="1"/>
        <v>195822</v>
      </c>
    </row>
    <row r="11" spans="1:8" x14ac:dyDescent="0.2">
      <c r="A11" s="579" t="s">
        <v>406</v>
      </c>
      <c r="B11" s="1724">
        <f>'Revenues 9-14'!J5</f>
        <v>292346</v>
      </c>
      <c r="C11" s="1664"/>
      <c r="D11" s="1725">
        <f t="shared" si="0"/>
        <v>292346</v>
      </c>
      <c r="E11" s="1664">
        <v>330853</v>
      </c>
      <c r="F11" s="1725">
        <f t="shared" si="1"/>
        <v>330853</v>
      </c>
    </row>
    <row r="12" spans="1:8" ht="13.7" customHeight="1" x14ac:dyDescent="0.2">
      <c r="A12" s="579" t="s">
        <v>156</v>
      </c>
      <c r="B12" s="1724">
        <f>'Revenues 9-14'!K5</f>
        <v>39011</v>
      </c>
      <c r="C12" s="1664"/>
      <c r="D12" s="1725">
        <f t="shared" si="0"/>
        <v>39011</v>
      </c>
      <c r="E12" s="1664">
        <v>40504</v>
      </c>
      <c r="F12" s="1725">
        <f t="shared" si="1"/>
        <v>40504</v>
      </c>
    </row>
    <row r="13" spans="1:8" ht="13.7" customHeight="1" x14ac:dyDescent="0.2">
      <c r="A13" s="579" t="s">
        <v>930</v>
      </c>
      <c r="B13" s="1724">
        <f>SUM('Revenues 9-14'!C6:D6)</f>
        <v>195200</v>
      </c>
      <c r="C13" s="1664"/>
      <c r="D13" s="1725">
        <f t="shared" si="0"/>
        <v>195200</v>
      </c>
      <c r="E13" s="1664">
        <v>202397</v>
      </c>
      <c r="F13" s="1725">
        <f t="shared" si="1"/>
        <v>202397</v>
      </c>
    </row>
    <row r="14" spans="1:8" ht="13.7" customHeight="1" x14ac:dyDescent="0.2">
      <c r="A14" s="579" t="s">
        <v>407</v>
      </c>
      <c r="B14" s="1724">
        <f>SUM('Revenues 9-14'!C7:D7,'Revenues 9-14'!F7:H7)</f>
        <v>194936</v>
      </c>
      <c r="C14" s="1664"/>
      <c r="D14" s="1725">
        <f t="shared" si="0"/>
        <v>194936</v>
      </c>
      <c r="E14" s="1664">
        <v>202397</v>
      </c>
      <c r="F14" s="1725">
        <f t="shared" si="1"/>
        <v>202397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272655</v>
      </c>
      <c r="C16" s="1664"/>
      <c r="D16" s="1725">
        <f t="shared" si="0"/>
        <v>272655</v>
      </c>
      <c r="E16" s="1664">
        <f>161934+121430</f>
        <v>283364</v>
      </c>
      <c r="F16" s="1725">
        <f t="shared" si="1"/>
        <v>283364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10162217</v>
      </c>
      <c r="C19" s="1726">
        <f>SUM(C4:C18)</f>
        <v>0</v>
      </c>
      <c r="D19" s="1726">
        <f>SUM(D4:D18)</f>
        <v>10162217</v>
      </c>
      <c r="E19" s="1726">
        <f>SUM(E4:E18)</f>
        <v>10510502</v>
      </c>
      <c r="F19" s="1726">
        <f>SUM(F4:F18)</f>
        <v>10510502</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30" colorId="8" zoomScale="104" zoomScaleNormal="104" workbookViewId="0">
      <selection activeCell="A40" sqref="A40:H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1774</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656"/>
      <c r="D4" s="1656"/>
      <c r="E4" s="1656"/>
      <c r="F4" s="1732">
        <f>SUM(C4+D4)-E4</f>
        <v>0</v>
      </c>
    </row>
    <row r="5" spans="1:7" ht="15.75" customHeight="1" thickTop="1" x14ac:dyDescent="0.2">
      <c r="A5" s="2302" t="s">
        <v>1101</v>
      </c>
      <c r="B5" s="2303"/>
      <c r="C5" s="2311"/>
      <c r="D5" s="2312"/>
      <c r="E5" s="2312"/>
      <c r="F5" s="231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733"/>
      <c r="D17" s="1664"/>
      <c r="E17" s="1733"/>
      <c r="F17" s="1732">
        <f>SUM(C17+D17)-E17</f>
        <v>0</v>
      </c>
    </row>
    <row r="18" spans="1:11" ht="12.75" customHeight="1" thickTop="1" thickBot="1" x14ac:dyDescent="0.25">
      <c r="A18" s="2327" t="s">
        <v>6</v>
      </c>
      <c r="B18" s="2328"/>
      <c r="C18" s="1733"/>
      <c r="D18" s="1664"/>
      <c r="E18" s="1733"/>
      <c r="F18" s="1732">
        <f>SUM(C18+D18)-E18</f>
        <v>0</v>
      </c>
    </row>
    <row r="19" spans="1:11" ht="12.75" customHeight="1" thickTop="1" thickBot="1" x14ac:dyDescent="0.25">
      <c r="A19" s="2327" t="s">
        <v>385</v>
      </c>
      <c r="B19" s="2328"/>
      <c r="C19" s="1733"/>
      <c r="D19" s="1664"/>
      <c r="E19" s="1733"/>
      <c r="F19" s="1732">
        <f>SUM(C19+D19)-E19</f>
        <v>0</v>
      </c>
    </row>
    <row r="20" spans="1:11" ht="12.75" customHeight="1" thickTop="1" thickBot="1" x14ac:dyDescent="0.25">
      <c r="A20" s="2327" t="s">
        <v>445</v>
      </c>
      <c r="B20" s="2328"/>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656"/>
      <c r="D23" s="1656"/>
      <c r="E23" s="1656"/>
      <c r="F23" s="1732">
        <f>SUM(C23+D23)-E23</f>
        <v>0</v>
      </c>
      <c r="G23" s="473"/>
    </row>
    <row r="24" spans="1:11" ht="15.75" customHeight="1" thickTop="1" x14ac:dyDescent="0.2">
      <c r="A24" s="2329" t="s">
        <v>2001</v>
      </c>
      <c r="B24" s="2303"/>
      <c r="C24" s="2311"/>
      <c r="D24" s="2312"/>
      <c r="E24" s="2312"/>
      <c r="F24" s="2313"/>
    </row>
    <row r="25" spans="1:11" ht="13.5" thickBot="1" x14ac:dyDescent="0.25">
      <c r="A25" s="2317" t="s">
        <v>2002</v>
      </c>
      <c r="B25" s="2318"/>
      <c r="C25" s="1656"/>
      <c r="D25" s="1656"/>
      <c r="E25" s="1656"/>
      <c r="F25" s="1732">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1872</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40506</v>
      </c>
      <c r="C31" s="1734">
        <v>1055000</v>
      </c>
      <c r="D31" s="1735">
        <v>3</v>
      </c>
      <c r="E31" s="1734">
        <v>495000</v>
      </c>
      <c r="F31" s="1734"/>
      <c r="G31" s="1734"/>
      <c r="H31" s="1734">
        <v>90000</v>
      </c>
      <c r="I31" s="1736">
        <f>((E31+F31)-H31)+G31</f>
        <v>405000</v>
      </c>
      <c r="J31" s="1734">
        <v>368598</v>
      </c>
      <c r="K31" s="596"/>
    </row>
    <row r="32" spans="1:11" ht="12" customHeight="1" x14ac:dyDescent="0.2">
      <c r="A32" s="594" t="s">
        <v>2070</v>
      </c>
      <c r="B32" s="595">
        <v>40430</v>
      </c>
      <c r="C32" s="1734">
        <v>996000</v>
      </c>
      <c r="D32" s="1735">
        <v>4</v>
      </c>
      <c r="E32" s="1734">
        <v>695000</v>
      </c>
      <c r="F32" s="1734"/>
      <c r="G32" s="1734"/>
      <c r="H32" s="1734">
        <v>208078</v>
      </c>
      <c r="I32" s="1736">
        <f>((E32+F32)-H32)+G32</f>
        <v>486922</v>
      </c>
      <c r="J32" s="1734">
        <v>486922</v>
      </c>
      <c r="K32" s="596"/>
    </row>
    <row r="33" spans="1:11" ht="12" customHeight="1" x14ac:dyDescent="0.2">
      <c r="A33" s="594" t="s">
        <v>2071</v>
      </c>
      <c r="B33" s="595">
        <v>41114</v>
      </c>
      <c r="C33" s="1734">
        <v>8754684</v>
      </c>
      <c r="D33" s="1735">
        <v>6</v>
      </c>
      <c r="E33" s="1734">
        <v>6330000</v>
      </c>
      <c r="F33" s="1734"/>
      <c r="G33" s="1734"/>
      <c r="H33" s="1734"/>
      <c r="I33" s="1736">
        <f t="shared" ref="I33:I48" si="1">((E33+F33)-H33)+G33</f>
        <v>6330000</v>
      </c>
      <c r="J33" s="1734">
        <v>6330000</v>
      </c>
      <c r="K33" s="596"/>
    </row>
    <row r="34" spans="1:11" ht="12" customHeight="1" x14ac:dyDescent="0.2">
      <c r="A34" s="594" t="s">
        <v>2072</v>
      </c>
      <c r="B34" s="595">
        <v>41284</v>
      </c>
      <c r="C34" s="1734">
        <v>7985000</v>
      </c>
      <c r="D34" s="1735">
        <v>6</v>
      </c>
      <c r="E34" s="1734">
        <v>5455000</v>
      </c>
      <c r="F34" s="1734"/>
      <c r="G34" s="1734"/>
      <c r="H34" s="1734">
        <v>530000</v>
      </c>
      <c r="I34" s="1736">
        <f t="shared" si="1"/>
        <v>4925000</v>
      </c>
      <c r="J34" s="1734">
        <v>4925000</v>
      </c>
      <c r="K34" s="597"/>
    </row>
    <row r="35" spans="1:11" ht="12" customHeight="1" x14ac:dyDescent="0.2">
      <c r="A35" s="594" t="s">
        <v>2073</v>
      </c>
      <c r="B35" s="595">
        <v>41936</v>
      </c>
      <c r="C35" s="1737">
        <v>4005000</v>
      </c>
      <c r="D35" s="1735">
        <v>6</v>
      </c>
      <c r="E35" s="1737">
        <v>4005000</v>
      </c>
      <c r="F35" s="1737"/>
      <c r="G35" s="1737"/>
      <c r="H35" s="1737">
        <v>30000</v>
      </c>
      <c r="I35" s="1736">
        <f t="shared" si="1"/>
        <v>3975000</v>
      </c>
      <c r="J35" s="1737">
        <v>3975000</v>
      </c>
      <c r="K35" s="597"/>
    </row>
    <row r="36" spans="1:11" ht="12" customHeight="1" x14ac:dyDescent="0.2">
      <c r="A36" s="594" t="s">
        <v>2075</v>
      </c>
      <c r="B36" s="595">
        <v>41936</v>
      </c>
      <c r="C36" s="1734">
        <v>225000</v>
      </c>
      <c r="D36" s="1735">
        <v>6</v>
      </c>
      <c r="E36" s="1734">
        <v>25000</v>
      </c>
      <c r="F36" s="1734"/>
      <c r="G36" s="1734"/>
      <c r="H36" s="1734">
        <v>25000</v>
      </c>
      <c r="I36" s="1736">
        <f t="shared" si="1"/>
        <v>0</v>
      </c>
      <c r="J36" s="1734"/>
      <c r="K36" s="598"/>
    </row>
    <row r="37" spans="1:11" ht="12" customHeight="1" x14ac:dyDescent="0.2">
      <c r="A37" s="594" t="s">
        <v>2074</v>
      </c>
      <c r="B37" s="595">
        <v>42565</v>
      </c>
      <c r="C37" s="1574">
        <v>6151600</v>
      </c>
      <c r="D37" s="1738">
        <v>7</v>
      </c>
      <c r="E37" s="1574">
        <v>1971912</v>
      </c>
      <c r="F37" s="1574"/>
      <c r="G37" s="1574"/>
      <c r="H37" s="1574">
        <v>800000</v>
      </c>
      <c r="I37" s="1736">
        <f t="shared" si="1"/>
        <v>1171912</v>
      </c>
      <c r="J37" s="1574">
        <v>1171912</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29172284</v>
      </c>
      <c r="D49" s="1742"/>
      <c r="E49" s="1736">
        <f t="shared" ref="E49:J49" si="2">SUM(E31:E48)</f>
        <v>18976912</v>
      </c>
      <c r="F49" s="1736">
        <f t="shared" si="2"/>
        <v>0</v>
      </c>
      <c r="G49" s="1736">
        <f t="shared" si="2"/>
        <v>0</v>
      </c>
      <c r="H49" s="1736">
        <f t="shared" si="2"/>
        <v>1683078</v>
      </c>
      <c r="I49" s="1736">
        <f t="shared" si="2"/>
        <v>17293834</v>
      </c>
      <c r="J49" s="1736">
        <f t="shared" si="2"/>
        <v>17257432</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C16" colorId="8" zoomScale="110" zoomScaleNormal="110" workbookViewId="0">
      <selection activeCell="A40" sqref="A40:H4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8"/>
      <c r="I1" s="614"/>
      <c r="J1" s="400"/>
    </row>
    <row r="2" spans="1:11" ht="26.25" x14ac:dyDescent="0.2">
      <c r="A2" s="2334" t="s">
        <v>1657</v>
      </c>
      <c r="B2" s="2335"/>
      <c r="C2" s="2335"/>
      <c r="D2" s="2335"/>
      <c r="E2" s="2336"/>
      <c r="F2" s="615" t="s">
        <v>898</v>
      </c>
      <c r="G2" s="616" t="s">
        <v>1654</v>
      </c>
      <c r="H2" s="616" t="s">
        <v>407</v>
      </c>
      <c r="I2" s="616" t="s">
        <v>1148</v>
      </c>
      <c r="J2" s="616" t="s">
        <v>1784</v>
      </c>
      <c r="K2" s="616" t="s">
        <v>137</v>
      </c>
    </row>
    <row r="3" spans="1:11" x14ac:dyDescent="0.2">
      <c r="A3" s="2337" t="str">
        <f>"Cash Basis Fund Balance as of July 1, "&amp;'AFR20'!E2-1</f>
        <v>Cash Basis Fund Balance as of July 1, 2019</v>
      </c>
      <c r="B3" s="2338"/>
      <c r="C3" s="2338"/>
      <c r="D3" s="2338"/>
      <c r="E3" s="2339"/>
      <c r="F3" s="617"/>
      <c r="G3" s="1744"/>
      <c r="H3" s="1744"/>
      <c r="I3" s="1744"/>
      <c r="J3" s="1745"/>
      <c r="K3" s="1745"/>
    </row>
    <row r="4" spans="1:11" x14ac:dyDescent="0.2">
      <c r="A4" s="2340" t="s">
        <v>366</v>
      </c>
      <c r="B4" s="2341"/>
      <c r="C4" s="2341"/>
      <c r="D4" s="2341"/>
      <c r="E4" s="2322"/>
      <c r="F4" s="620"/>
      <c r="G4" s="1746"/>
      <c r="H4" s="1747"/>
      <c r="I4" s="1746"/>
      <c r="J4" s="1748"/>
      <c r="K4" s="1748"/>
    </row>
    <row r="5" spans="1:11" x14ac:dyDescent="0.2">
      <c r="A5" s="2360" t="s">
        <v>1060</v>
      </c>
      <c r="B5" s="2331"/>
      <c r="C5" s="2331"/>
      <c r="D5" s="2331"/>
      <c r="E5" s="2361"/>
      <c r="F5" s="622" t="s">
        <v>843</v>
      </c>
      <c r="G5" s="1749"/>
      <c r="H5" s="1744">
        <v>194936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41733</v>
      </c>
    </row>
    <row r="10" spans="1:11" x14ac:dyDescent="0.2">
      <c r="A10" s="2360" t="s">
        <v>1785</v>
      </c>
      <c r="B10" s="2331"/>
      <c r="C10" s="2331"/>
      <c r="D10" s="2331"/>
      <c r="E10" s="2362"/>
      <c r="F10" s="633" t="s">
        <v>857</v>
      </c>
      <c r="G10" s="1753"/>
      <c r="H10" s="1754"/>
      <c r="I10" s="1744"/>
      <c r="J10" s="1745"/>
      <c r="K10" s="1745"/>
    </row>
    <row r="11" spans="1:11" x14ac:dyDescent="0.2">
      <c r="A11" s="2360" t="s">
        <v>159</v>
      </c>
      <c r="B11" s="2331"/>
      <c r="C11" s="2331"/>
      <c r="D11" s="2331"/>
      <c r="E11" s="2361"/>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194936</v>
      </c>
      <c r="I12" s="1755">
        <f>SUM(I5:I11)</f>
        <v>0</v>
      </c>
      <c r="J12" s="1755">
        <f>SUM(J5:J11)</f>
        <v>0</v>
      </c>
      <c r="K12" s="1755">
        <f>SUM(K5:K11)</f>
        <v>41733</v>
      </c>
    </row>
    <row r="13" spans="1:11" ht="13.5" thickTop="1" x14ac:dyDescent="0.2">
      <c r="A13" s="2342" t="s">
        <v>367</v>
      </c>
      <c r="B13" s="2343"/>
      <c r="C13" s="2343"/>
      <c r="D13" s="2343"/>
      <c r="E13" s="2344"/>
      <c r="F13" s="634"/>
      <c r="G13" s="1756"/>
      <c r="H13" s="1757"/>
      <c r="I13" s="1758"/>
      <c r="J13" s="1758"/>
      <c r="K13" s="1758"/>
    </row>
    <row r="14" spans="1:11" x14ac:dyDescent="0.2">
      <c r="A14" s="2366" t="s">
        <v>453</v>
      </c>
      <c r="B14" s="2366"/>
      <c r="C14" s="2366"/>
      <c r="D14" s="2366"/>
      <c r="E14" s="2367"/>
      <c r="F14" s="635" t="s">
        <v>849</v>
      </c>
      <c r="G14" s="1753"/>
      <c r="H14" s="1744">
        <v>194936</v>
      </c>
      <c r="I14" s="1749"/>
      <c r="J14" s="1751"/>
      <c r="K14" s="1745">
        <v>41733</v>
      </c>
    </row>
    <row r="15" spans="1:11" x14ac:dyDescent="0.2">
      <c r="A15" s="2331" t="s">
        <v>4</v>
      </c>
      <c r="B15" s="2331"/>
      <c r="C15" s="2331"/>
      <c r="D15" s="2331"/>
      <c r="E15" s="2361"/>
      <c r="F15" s="635" t="s">
        <v>850</v>
      </c>
      <c r="G15" s="1749"/>
      <c r="H15" s="1744"/>
      <c r="I15" s="1744"/>
      <c r="J15" s="1745"/>
      <c r="K15" s="1745"/>
    </row>
    <row r="16" spans="1:11" x14ac:dyDescent="0.2">
      <c r="A16" s="2331" t="s">
        <v>295</v>
      </c>
      <c r="B16" s="2331"/>
      <c r="C16" s="2331"/>
      <c r="D16" s="2331"/>
      <c r="E16" s="2361"/>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45" t="s">
        <v>365</v>
      </c>
      <c r="B18" s="2346"/>
      <c r="C18" s="2346"/>
      <c r="D18" s="2346"/>
      <c r="E18" s="2347"/>
      <c r="F18" s="635" t="s">
        <v>926</v>
      </c>
      <c r="G18" s="1753"/>
      <c r="H18" s="1753"/>
      <c r="I18" s="1753"/>
      <c r="J18" s="1745"/>
      <c r="K18" s="1763"/>
    </row>
    <row r="19" spans="1:15" ht="21.75" customHeight="1" x14ac:dyDescent="0.2">
      <c r="A19" s="2368" t="s">
        <v>1781</v>
      </c>
      <c r="B19" s="2368"/>
      <c r="C19" s="2368"/>
      <c r="D19" s="2368"/>
      <c r="E19" s="2369"/>
      <c r="F19" s="635" t="s">
        <v>927</v>
      </c>
      <c r="G19" s="1753"/>
      <c r="H19" s="1753"/>
      <c r="I19" s="1753"/>
      <c r="J19" s="1745"/>
      <c r="K19" s="1763"/>
    </row>
    <row r="20" spans="1:15" x14ac:dyDescent="0.2">
      <c r="A20" s="2345" t="s">
        <v>1786</v>
      </c>
      <c r="B20" s="2346"/>
      <c r="C20" s="2346"/>
      <c r="D20" s="2346"/>
      <c r="E20" s="2347"/>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31" t="s">
        <v>1787</v>
      </c>
      <c r="B22" s="2331"/>
      <c r="C22" s="2331"/>
      <c r="D22" s="2331"/>
      <c r="E22" s="2361"/>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194936</v>
      </c>
      <c r="I23" s="1755">
        <f>SUM(I14:I16,I21,I22)</f>
        <v>0</v>
      </c>
      <c r="J23" s="1755">
        <f>SUM(J14:J16,J21,J22)</f>
        <v>0</v>
      </c>
      <c r="K23" s="1755">
        <f>SUM(K14:K16,K21,K22)</f>
        <v>41733</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1871</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1782</v>
      </c>
      <c r="B46" s="382" t="s">
        <v>1655</v>
      </c>
    </row>
    <row r="47" spans="1:11" s="663" customFormat="1" ht="12.75" customHeight="1" x14ac:dyDescent="0.2">
      <c r="A47" s="661"/>
      <c r="B47" s="662" t="s">
        <v>1656</v>
      </c>
      <c r="E47" s="662"/>
      <c r="K47" s="664"/>
    </row>
    <row r="48" spans="1:11" ht="12.75" customHeight="1" x14ac:dyDescent="0.2">
      <c r="A48" s="1300"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2" colorId="8" zoomScale="110" zoomScaleNormal="110" workbookViewId="0">
      <selection activeCell="A40" sqref="A40:H4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1870</v>
      </c>
      <c r="B1" s="2373"/>
      <c r="C1" s="2374"/>
      <c r="D1" s="666"/>
      <c r="E1" s="667"/>
      <c r="F1" s="667"/>
      <c r="G1" s="668"/>
      <c r="H1" s="669"/>
      <c r="I1" s="670"/>
      <c r="J1" s="2370"/>
      <c r="K1" s="2371"/>
      <c r="L1" s="2371"/>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1859441</v>
      </c>
      <c r="D5" s="1770"/>
      <c r="E5" s="1770"/>
      <c r="F5" s="1765">
        <f>(C5+D5)-E5</f>
        <v>1859441</v>
      </c>
      <c r="G5" s="676"/>
      <c r="H5" s="680"/>
      <c r="I5" s="680"/>
      <c r="J5" s="680"/>
      <c r="K5" s="637"/>
      <c r="L5" s="1442">
        <f>F5-K5</f>
        <v>1859441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86212958</v>
      </c>
      <c r="D8" s="1771">
        <v>3961286</v>
      </c>
      <c r="E8" s="1771">
        <v>12882879</v>
      </c>
      <c r="F8" s="1765">
        <f>(C8+D8)-E8</f>
        <v>77291365</v>
      </c>
      <c r="G8" s="681">
        <v>50</v>
      </c>
      <c r="H8" s="619">
        <v>13920737</v>
      </c>
      <c r="I8" s="619">
        <v>1611633</v>
      </c>
      <c r="J8" s="619">
        <v>9546942</v>
      </c>
      <c r="K8" s="1442">
        <f>(H8+I8)-J8</f>
        <v>5985428</v>
      </c>
      <c r="L8" s="1442">
        <f>F8-K8</f>
        <v>71305937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384388</v>
      </c>
      <c r="D10" s="1772">
        <v>790569</v>
      </c>
      <c r="E10" s="1772"/>
      <c r="F10" s="1773">
        <f>(C10+D10)-E10</f>
        <v>1174957</v>
      </c>
      <c r="G10" s="681">
        <v>20</v>
      </c>
      <c r="H10" s="683">
        <v>212867</v>
      </c>
      <c r="I10" s="683">
        <v>34417</v>
      </c>
      <c r="J10" s="683"/>
      <c r="K10" s="1442">
        <f>(H10+I10)-J10</f>
        <v>247284</v>
      </c>
      <c r="L10" s="1442">
        <f>F10-K10</f>
        <v>927673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804053</v>
      </c>
      <c r="D12" s="1771">
        <v>431838</v>
      </c>
      <c r="E12" s="1771"/>
      <c r="F12" s="1765">
        <f>(C12+D12)-E12</f>
        <v>1235891</v>
      </c>
      <c r="G12" s="681">
        <v>10</v>
      </c>
      <c r="H12" s="619">
        <v>235865</v>
      </c>
      <c r="I12" s="619">
        <v>99868</v>
      </c>
      <c r="J12" s="619"/>
      <c r="K12" s="1442">
        <f>(H12+I12)-J12</f>
        <v>335733</v>
      </c>
      <c r="L12" s="1442">
        <f>F12-K12</f>
        <v>900158</v>
      </c>
    </row>
    <row r="13" spans="1:14" ht="14.25" thickTop="1" thickBot="1" x14ac:dyDescent="0.25">
      <c r="A13" s="684" t="s">
        <v>1112</v>
      </c>
      <c r="B13" s="679">
        <v>252</v>
      </c>
      <c r="C13" s="1771">
        <v>148839</v>
      </c>
      <c r="D13" s="1771"/>
      <c r="E13" s="1771"/>
      <c r="F13" s="1765">
        <f>(C13+D13)-E13</f>
        <v>148839</v>
      </c>
      <c r="G13" s="681">
        <v>5</v>
      </c>
      <c r="H13" s="619">
        <v>144594</v>
      </c>
      <c r="I13" s="619">
        <v>4245</v>
      </c>
      <c r="J13" s="619"/>
      <c r="K13" s="1442">
        <f>(H13+I13)-J13</f>
        <v>148839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3961286</v>
      </c>
      <c r="D15" s="1771"/>
      <c r="E15" s="1771">
        <v>3961286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93370965</v>
      </c>
      <c r="D16" s="1765">
        <f>SUM(D3,D5:D6,D8:D10,D12:D15)</f>
        <v>5183693</v>
      </c>
      <c r="E16" s="1765">
        <f>SUM(E3,E5:E6,E8:E10,E12:E15)</f>
        <v>16844165</v>
      </c>
      <c r="F16" s="1765">
        <f>SUM(F3,F5:F6,F8:F10,F12:F15)</f>
        <v>81710493</v>
      </c>
      <c r="G16" s="681"/>
      <c r="H16" s="1435">
        <f>SUM(H3,H6,H8:H10,H12:H14,)</f>
        <v>14514063</v>
      </c>
      <c r="I16" s="1435">
        <f>SUM(I3,I6,I8:I10,I12:I14,)</f>
        <v>1750163</v>
      </c>
      <c r="J16" s="1435">
        <f>SUM(J3,J6,J8:J10,J12:J14,)</f>
        <v>9546942</v>
      </c>
      <c r="K16" s="1435">
        <f>(H16+I16)-J16</f>
        <v>6717284</v>
      </c>
      <c r="L16" s="1435">
        <f>F16-K16</f>
        <v>74993209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1750163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30" colorId="8" zoomScale="110" zoomScaleNormal="110" workbookViewId="0">
      <selection activeCell="A40" sqref="A40:H4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74">
        <f>'Expenditures 15-22'!K114</f>
        <v>12624928</v>
      </c>
      <c r="G8" s="701"/>
    </row>
    <row r="9" spans="1:9" x14ac:dyDescent="0.2">
      <c r="A9" s="705" t="s">
        <v>457</v>
      </c>
      <c r="B9" s="706" t="s">
        <v>1843</v>
      </c>
      <c r="C9" s="707"/>
      <c r="D9" s="705" t="s">
        <v>498</v>
      </c>
      <c r="E9" s="704"/>
      <c r="F9" s="1775">
        <f>'Expenditures 15-22'!K151</f>
        <v>1433125</v>
      </c>
      <c r="G9" s="708"/>
    </row>
    <row r="10" spans="1:9" x14ac:dyDescent="0.2">
      <c r="A10" s="705" t="s">
        <v>496</v>
      </c>
      <c r="B10" s="706" t="s">
        <v>1844</v>
      </c>
      <c r="C10" s="707"/>
      <c r="D10" s="705" t="s">
        <v>498</v>
      </c>
      <c r="E10" s="704"/>
      <c r="F10" s="1775">
        <f>'Expenditures 15-22'!K174</f>
        <v>2750156</v>
      </c>
      <c r="G10" s="708"/>
    </row>
    <row r="11" spans="1:9" x14ac:dyDescent="0.2">
      <c r="A11" s="705" t="s">
        <v>458</v>
      </c>
      <c r="B11" s="706" t="s">
        <v>1845</v>
      </c>
      <c r="C11" s="707"/>
      <c r="D11" s="705" t="s">
        <v>498</v>
      </c>
      <c r="E11" s="704"/>
      <c r="F11" s="1775">
        <f>'Expenditures 15-22'!K210</f>
        <v>803577</v>
      </c>
      <c r="G11" s="708"/>
    </row>
    <row r="12" spans="1:9" x14ac:dyDescent="0.2">
      <c r="A12" s="705" t="s">
        <v>459</v>
      </c>
      <c r="B12" s="706" t="s">
        <v>1846</v>
      </c>
      <c r="C12" s="707"/>
      <c r="D12" s="705" t="s">
        <v>498</v>
      </c>
      <c r="E12" s="704"/>
      <c r="F12" s="1775">
        <f>'Expenditures 15-22'!K295</f>
        <v>541124</v>
      </c>
      <c r="G12" s="708"/>
    </row>
    <row r="13" spans="1:9" x14ac:dyDescent="0.2">
      <c r="A13" s="705" t="s">
        <v>106</v>
      </c>
      <c r="B13" s="706" t="s">
        <v>1847</v>
      </c>
      <c r="C13" s="707"/>
      <c r="D13" s="705" t="s">
        <v>498</v>
      </c>
      <c r="E13" s="704"/>
      <c r="F13" s="1775">
        <f>'Expenditures 15-22'!K342</f>
        <v>321651</v>
      </c>
      <c r="G13" s="709"/>
    </row>
    <row r="14" spans="1:9" ht="12" customHeight="1" thickBot="1" x14ac:dyDescent="0.25">
      <c r="A14" s="1443"/>
      <c r="B14" s="1444"/>
      <c r="C14" s="1445"/>
      <c r="D14" s="1446" t="s">
        <v>498</v>
      </c>
      <c r="E14" s="1447" t="s">
        <v>952</v>
      </c>
      <c r="F14" s="1776">
        <f>SUM(F8:F13)</f>
        <v>18474561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83">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1904</v>
      </c>
      <c r="C33" s="711">
        <f>'Revenues 9-14'!B222</f>
        <v>4810</v>
      </c>
      <c r="D33" s="718" t="str">
        <f>'Revenues 9-14'!A222</f>
        <v>Federal - Adult Education</v>
      </c>
      <c r="E33" s="704"/>
      <c r="F33" s="1782">
        <f>'Revenues 9-14'!D222</f>
        <v>0</v>
      </c>
      <c r="G33" s="701"/>
    </row>
    <row r="34" spans="1:7" x14ac:dyDescent="0.2">
      <c r="A34" s="705" t="s">
        <v>456</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1456</v>
      </c>
      <c r="C52" s="724" t="str">
        <f>'Expenditures 15-22'!B75</f>
        <v>3000</v>
      </c>
      <c r="D52" s="723" t="s">
        <v>446</v>
      </c>
      <c r="E52" s="704"/>
      <c r="F52" s="1782">
        <f>'Expenditures 15-22'!K75-SUM('Expenditures 15-22'!G75,'Expenditures 15-22'!I75)</f>
        <v>57290</v>
      </c>
      <c r="G52" s="701"/>
    </row>
    <row r="53" spans="1:7" x14ac:dyDescent="0.2">
      <c r="A53" s="705" t="s">
        <v>456</v>
      </c>
      <c r="B53" s="705" t="s">
        <v>1457</v>
      </c>
      <c r="C53" s="724">
        <f>'Expenditures 15-22'!B102</f>
        <v>4000</v>
      </c>
      <c r="D53" s="723" t="str">
        <f>'Expenditures 15-22'!A102</f>
        <v>Total Payments to Other Govt Units</v>
      </c>
      <c r="E53" s="704"/>
      <c r="F53" s="1782">
        <f>'Expenditures 15-22'!K102</f>
        <v>480893</v>
      </c>
      <c r="G53" s="701"/>
    </row>
    <row r="54" spans="1:7" x14ac:dyDescent="0.2">
      <c r="A54" s="705" t="s">
        <v>456</v>
      </c>
      <c r="B54" s="705" t="s">
        <v>1458</v>
      </c>
      <c r="C54" s="724" t="s">
        <v>975</v>
      </c>
      <c r="D54" s="720" t="s">
        <v>1086</v>
      </c>
      <c r="E54" s="704"/>
      <c r="F54" s="1782">
        <f>'Expenditures 15-22'!G114</f>
        <v>92860</v>
      </c>
      <c r="G54" s="701"/>
    </row>
    <row r="55" spans="1:7" x14ac:dyDescent="0.2">
      <c r="A55" s="705" t="s">
        <v>456</v>
      </c>
      <c r="B55" s="705" t="s">
        <v>1459</v>
      </c>
      <c r="C55" s="724" t="s">
        <v>975</v>
      </c>
      <c r="D55" s="720" t="s">
        <v>288</v>
      </c>
      <c r="E55" s="704"/>
      <c r="F55" s="1782">
        <f>'Expenditures 15-22'!I114</f>
        <v>0</v>
      </c>
      <c r="G55" s="701"/>
    </row>
    <row r="56" spans="1:7" x14ac:dyDescent="0.2">
      <c r="A56" s="705" t="s">
        <v>457</v>
      </c>
      <c r="B56" s="705" t="s">
        <v>1460</v>
      </c>
      <c r="C56" s="721" t="str">
        <f>'Expenditures 15-22'!B130</f>
        <v>3000</v>
      </c>
      <c r="D56" s="727" t="s">
        <v>446</v>
      </c>
      <c r="E56" s="704"/>
      <c r="F56" s="1782">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82">
        <f>'Expenditures 15-22'!K139</f>
        <v>0</v>
      </c>
      <c r="G57" s="701"/>
    </row>
    <row r="58" spans="1:7" x14ac:dyDescent="0.2">
      <c r="A58" s="705" t="s">
        <v>457</v>
      </c>
      <c r="B58" s="705" t="s">
        <v>1849</v>
      </c>
      <c r="C58" s="721" t="s">
        <v>975</v>
      </c>
      <c r="D58" s="720" t="s">
        <v>1086</v>
      </c>
      <c r="E58" s="704"/>
      <c r="F58" s="1784">
        <f>'Expenditures 15-22'!G151</f>
        <v>337493</v>
      </c>
      <c r="G58" s="701"/>
    </row>
    <row r="59" spans="1:7" x14ac:dyDescent="0.2">
      <c r="A59" s="728" t="s">
        <v>457</v>
      </c>
      <c r="B59" s="692" t="s">
        <v>1850</v>
      </c>
      <c r="C59" s="729" t="s">
        <v>975</v>
      </c>
      <c r="D59" s="692" t="s">
        <v>288</v>
      </c>
      <c r="F59" s="1785">
        <f>'Expenditures 15-22'!I151</f>
        <v>0</v>
      </c>
      <c r="G59" s="701"/>
    </row>
    <row r="60" spans="1:7" x14ac:dyDescent="0.2">
      <c r="A60" s="728" t="s">
        <v>496</v>
      </c>
      <c r="B60" s="692" t="s">
        <v>1851</v>
      </c>
      <c r="C60" s="729">
        <v>4000</v>
      </c>
      <c r="D60" s="692" t="s">
        <v>309</v>
      </c>
      <c r="F60" s="1783">
        <f>'Expenditures 15-22'!K160</f>
        <v>0</v>
      </c>
      <c r="G60" s="701"/>
    </row>
    <row r="61" spans="1:7" x14ac:dyDescent="0.2">
      <c r="A61" s="730" t="s">
        <v>496</v>
      </c>
      <c r="B61" s="730" t="s">
        <v>1852</v>
      </c>
      <c r="C61" s="731" t="str">
        <f>'Expenditures 15-22'!B170</f>
        <v>5300</v>
      </c>
      <c r="D61" s="732" t="s">
        <v>308</v>
      </c>
      <c r="E61" s="715"/>
      <c r="F61" s="1782">
        <f>'Expenditures 15-22'!K170</f>
        <v>1683078</v>
      </c>
      <c r="G61" s="701"/>
    </row>
    <row r="62" spans="1:7" x14ac:dyDescent="0.2">
      <c r="A62" s="705" t="s">
        <v>458</v>
      </c>
      <c r="B62" s="705" t="s">
        <v>1853</v>
      </c>
      <c r="C62" s="721">
        <f>'Expenditures 15-22'!B185</f>
        <v>3000</v>
      </c>
      <c r="D62" s="712" t="s">
        <v>446</v>
      </c>
      <c r="E62" s="704"/>
      <c r="F62" s="1782">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1855</v>
      </c>
      <c r="C64" s="731" t="str">
        <f>'Expenditures 15-22'!B206</f>
        <v>5300</v>
      </c>
      <c r="D64" s="727" t="s">
        <v>308</v>
      </c>
      <c r="E64" s="704"/>
      <c r="F64" s="1782">
        <f>'Expenditures 15-22'!K206</f>
        <v>0</v>
      </c>
      <c r="G64" s="701"/>
    </row>
    <row r="65" spans="1:9" x14ac:dyDescent="0.2">
      <c r="A65" s="705" t="s">
        <v>458</v>
      </c>
      <c r="B65" s="705" t="s">
        <v>1856</v>
      </c>
      <c r="C65" s="721" t="s">
        <v>975</v>
      </c>
      <c r="D65" s="720" t="s">
        <v>1086</v>
      </c>
      <c r="E65" s="704"/>
      <c r="F65" s="1782">
        <f>'Expenditures 15-22'!G210</f>
        <v>0</v>
      </c>
      <c r="G65" s="701"/>
    </row>
    <row r="66" spans="1:9" x14ac:dyDescent="0.2">
      <c r="A66" s="705" t="s">
        <v>458</v>
      </c>
      <c r="B66" s="705" t="s">
        <v>1857</v>
      </c>
      <c r="C66" s="721" t="s">
        <v>975</v>
      </c>
      <c r="D66" s="720" t="s">
        <v>288</v>
      </c>
      <c r="E66" s="704"/>
      <c r="F66" s="1782">
        <f>'Expenditures 15-22'!I210</f>
        <v>0</v>
      </c>
      <c r="G66" s="701"/>
    </row>
    <row r="67" spans="1:9" x14ac:dyDescent="0.2">
      <c r="A67" s="705" t="s">
        <v>459</v>
      </c>
      <c r="B67" s="705" t="s">
        <v>1858</v>
      </c>
      <c r="C67" s="721" t="str">
        <f>'Expenditures 15-22'!B216</f>
        <v>1125</v>
      </c>
      <c r="D67" s="727" t="str">
        <f>'Expenditures 15-22'!A216</f>
        <v>Pre-K Programs</v>
      </c>
      <c r="E67" s="704"/>
      <c r="F67" s="1782">
        <f>'Expenditures 15-22'!K216</f>
        <v>0</v>
      </c>
      <c r="G67" s="701"/>
    </row>
    <row r="68" spans="1:9" x14ac:dyDescent="0.2">
      <c r="A68" s="705" t="s">
        <v>459</v>
      </c>
      <c r="B68" s="705" t="s">
        <v>1461</v>
      </c>
      <c r="C68" s="721" t="str">
        <f>'Expenditures 15-22'!B218</f>
        <v>1225</v>
      </c>
      <c r="D68" s="727" t="str">
        <f>'Expenditures 15-22'!A218</f>
        <v>Special Education Programs - Pre-K</v>
      </c>
      <c r="E68" s="704"/>
      <c r="F68" s="1782">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1860</v>
      </c>
      <c r="C70" s="721">
        <f>'Expenditures 15-22'!B221</f>
        <v>1300</v>
      </c>
      <c r="D70" s="722" t="str">
        <f>'Expenditures 15-22'!A221</f>
        <v>Adult/Continuing Education Programs</v>
      </c>
      <c r="E70" s="704"/>
      <c r="F70" s="1782">
        <f>'Expenditures 15-22'!K221</f>
        <v>0</v>
      </c>
      <c r="G70" s="701"/>
    </row>
    <row r="71" spans="1:9" x14ac:dyDescent="0.2">
      <c r="A71" s="705" t="s">
        <v>459</v>
      </c>
      <c r="B71" s="705" t="s">
        <v>1861</v>
      </c>
      <c r="C71" s="721">
        <f>'Expenditures 15-22'!B224</f>
        <v>1600</v>
      </c>
      <c r="D71" s="722" t="str">
        <f>'Expenditures 15-22'!A224</f>
        <v>Summer School Programs</v>
      </c>
      <c r="E71" s="704"/>
      <c r="F71" s="1782">
        <f>'Expenditures 15-22'!K224</f>
        <v>0</v>
      </c>
      <c r="G71" s="701"/>
    </row>
    <row r="72" spans="1:9" x14ac:dyDescent="0.2">
      <c r="A72" s="705" t="s">
        <v>459</v>
      </c>
      <c r="B72" s="705" t="s">
        <v>1862</v>
      </c>
      <c r="C72" s="721">
        <f>'Expenditures 15-22'!B280</f>
        <v>3000</v>
      </c>
      <c r="D72" s="712" t="s">
        <v>446</v>
      </c>
      <c r="E72" s="704"/>
      <c r="F72" s="1782">
        <f>'Expenditures 15-22'!K280</f>
        <v>0</v>
      </c>
      <c r="G72" s="701"/>
    </row>
    <row r="73" spans="1:9" x14ac:dyDescent="0.2">
      <c r="A73" s="705" t="s">
        <v>459</v>
      </c>
      <c r="B73" s="705" t="s">
        <v>1863</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1864</v>
      </c>
      <c r="C74" s="721" t="s">
        <v>855</v>
      </c>
      <c r="D74" s="722" t="s">
        <v>1469</v>
      </c>
      <c r="E74" s="704"/>
      <c r="F74" s="1786">
        <f>'Expenditures 15-22'!K334</f>
        <v>0</v>
      </c>
      <c r="G74" s="701"/>
    </row>
    <row r="75" spans="1:9" x14ac:dyDescent="0.2">
      <c r="A75" s="705" t="s">
        <v>2003</v>
      </c>
      <c r="B75" s="705" t="s">
        <v>2004</v>
      </c>
      <c r="C75" s="721" t="s">
        <v>975</v>
      </c>
      <c r="D75" s="722" t="s">
        <v>1086</v>
      </c>
      <c r="E75" s="704"/>
      <c r="F75" s="1786">
        <f>'Expenditures 15-22'!G342</f>
        <v>1485</v>
      </c>
      <c r="G75" s="701"/>
    </row>
    <row r="76" spans="1:9" ht="10.5" customHeight="1" x14ac:dyDescent="0.2">
      <c r="A76" s="701" t="s">
        <v>433</v>
      </c>
      <c r="B76" s="705" t="s">
        <v>2005</v>
      </c>
      <c r="C76" s="711" t="s">
        <v>975</v>
      </c>
      <c r="D76" s="701" t="s">
        <v>288</v>
      </c>
      <c r="E76" s="704"/>
      <c r="F76" s="1786">
        <f>'Expenditures 15-22'!I342</f>
        <v>0</v>
      </c>
      <c r="G76" s="703"/>
    </row>
    <row r="77" spans="1:9" ht="12" thickBot="1" x14ac:dyDescent="0.25">
      <c r="A77" s="1443"/>
      <c r="B77" s="1448"/>
      <c r="C77" s="1445"/>
      <c r="D77" s="1449" t="s">
        <v>2006</v>
      </c>
      <c r="E77" s="1447" t="s">
        <v>952</v>
      </c>
      <c r="F77" s="1787">
        <f>SUM(F18:F76)</f>
        <v>2653099</v>
      </c>
      <c r="G77" s="701"/>
    </row>
    <row r="78" spans="1:9" s="728" customFormat="1" ht="12" customHeight="1" thickTop="1" thickBot="1" x14ac:dyDescent="0.25">
      <c r="A78" s="1450"/>
      <c r="B78" s="1448"/>
      <c r="C78" s="1445"/>
      <c r="D78" s="1449" t="s">
        <v>2007</v>
      </c>
      <c r="E78" s="1447"/>
      <c r="F78" s="1788">
        <f>(F14-F77)</f>
        <v>15821462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1013.7</v>
      </c>
      <c r="G79" s="733"/>
      <c r="H79" s="705"/>
      <c r="I79" s="705"/>
    </row>
    <row r="80" spans="1:9" s="728" customFormat="1" ht="12" customHeight="1" thickBot="1" x14ac:dyDescent="0.25">
      <c r="A80" s="1452"/>
      <c r="B80" s="1448"/>
      <c r="C80" s="1445"/>
      <c r="D80" s="1449" t="s">
        <v>2008</v>
      </c>
      <c r="E80" s="1447" t="s">
        <v>952</v>
      </c>
      <c r="F80" s="1790">
        <f>IF(F79&gt;0,F78/F79," Complete Line 79")</f>
        <v>15607.637368057611</v>
      </c>
      <c r="G80" s="705"/>
    </row>
    <row r="81" spans="1:7" s="728" customFormat="1" ht="8.25" customHeight="1" thickTop="1" x14ac:dyDescent="0.2">
      <c r="A81" s="734"/>
      <c r="B81" s="705"/>
      <c r="C81" s="707"/>
      <c r="D81" s="735"/>
      <c r="E81" s="704"/>
      <c r="F81" s="1791"/>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112864</v>
      </c>
      <c r="G95" s="745"/>
    </row>
    <row r="96" spans="1:7" x14ac:dyDescent="0.2">
      <c r="A96" s="741" t="s">
        <v>139</v>
      </c>
      <c r="B96" s="741" t="s">
        <v>174</v>
      </c>
      <c r="C96" s="743">
        <v>1700</v>
      </c>
      <c r="D96" s="751" t="str">
        <f>'Revenues 9-14'!A82</f>
        <v>Total District/School Activity Income</v>
      </c>
      <c r="E96" s="739"/>
      <c r="F96" s="1793">
        <f>SUM('Revenues 9-14'!C82,'Revenues 9-14'!D82)</f>
        <v>122006</v>
      </c>
      <c r="G96" s="745"/>
    </row>
    <row r="97" spans="1:7" x14ac:dyDescent="0.2">
      <c r="A97" s="741" t="s">
        <v>456</v>
      </c>
      <c r="B97" s="741" t="s">
        <v>175</v>
      </c>
      <c r="C97" s="743">
        <f>'Revenues 9-14'!B84</f>
        <v>1811</v>
      </c>
      <c r="D97" s="744" t="str">
        <f>'Revenues 9-14'!A84</f>
        <v>Rentals - Regular Textbooks</v>
      </c>
      <c r="E97" s="739"/>
      <c r="F97" s="1793">
        <f>'Revenues 9-14'!C84</f>
        <v>61248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2094</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765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1905</v>
      </c>
      <c r="C106" s="746">
        <v>3100</v>
      </c>
      <c r="D106" s="752" t="str">
        <f>'Revenues 9-14'!A132</f>
        <v>Total Special Education</v>
      </c>
      <c r="E106" s="739"/>
      <c r="F106" s="1793">
        <f>SUM('Revenues 9-14'!C132:D132,'Revenues 9-14'!F132)</f>
        <v>373919</v>
      </c>
      <c r="G106" s="745"/>
    </row>
    <row r="107" spans="1:7" x14ac:dyDescent="0.2">
      <c r="A107" s="741" t="s">
        <v>668</v>
      </c>
      <c r="B107" s="741" t="s">
        <v>1906</v>
      </c>
      <c r="C107" s="753">
        <v>3200</v>
      </c>
      <c r="D107" s="744" t="str">
        <f>'Revenues 9-14'!A141</f>
        <v>Total Career and Technical Education</v>
      </c>
      <c r="E107" s="739"/>
      <c r="F107" s="1793">
        <f>SUM('Revenues 9-14'!C141,'Revenues 9-14'!D141,'Revenues 9-14'!G141)</f>
        <v>63189</v>
      </c>
      <c r="G107" s="745"/>
    </row>
    <row r="108" spans="1:7" x14ac:dyDescent="0.2">
      <c r="A108" s="754" t="s">
        <v>659</v>
      </c>
      <c r="B108" s="741" t="s">
        <v>1907</v>
      </c>
      <c r="C108" s="753">
        <v>3300</v>
      </c>
      <c r="D108" s="744" t="str">
        <f>'Revenues 9-14'!A145</f>
        <v>Total Bilingual Ed</v>
      </c>
      <c r="E108" s="739"/>
      <c r="F108" s="1793">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93">
        <f>'Revenues 9-14'!C146</f>
        <v>5126</v>
      </c>
      <c r="G109" s="745"/>
    </row>
    <row r="110" spans="1:7" x14ac:dyDescent="0.2">
      <c r="A110" s="741" t="s">
        <v>668</v>
      </c>
      <c r="B110" s="741" t="s">
        <v>1909</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3">
        <f>SUM('Revenues 9-14'!C148,'Revenues 9-14'!D148)</f>
        <v>41733</v>
      </c>
      <c r="G111" s="745"/>
    </row>
    <row r="112" spans="1:7" x14ac:dyDescent="0.2">
      <c r="A112" s="741" t="s">
        <v>663</v>
      </c>
      <c r="B112" s="741" t="s">
        <v>1911</v>
      </c>
      <c r="C112" s="755">
        <v>3500</v>
      </c>
      <c r="D112" s="744" t="str">
        <f>'Revenues 9-14'!A155</f>
        <v>Total Transportation</v>
      </c>
      <c r="E112" s="739"/>
      <c r="F112" s="1793">
        <f>SUM('Revenues 9-14'!C155,'Revenues 9-14'!D155,'Revenues 9-14'!F155,'Revenues 9-14'!G155)</f>
        <v>370419</v>
      </c>
      <c r="G112" s="745"/>
    </row>
    <row r="113" spans="1:7" x14ac:dyDescent="0.2">
      <c r="A113" s="741" t="s">
        <v>456</v>
      </c>
      <c r="B113" s="741" t="s">
        <v>1912</v>
      </c>
      <c r="C113" s="753">
        <f>'Revenues 9-14'!B156</f>
        <v>3610</v>
      </c>
      <c r="D113" s="744" t="str">
        <f>'Revenues 9-14'!A156</f>
        <v>Learning Improvement - Change Grants</v>
      </c>
      <c r="E113" s="739"/>
      <c r="F113" s="1793">
        <f>'Revenues 9-14'!C156</f>
        <v>0</v>
      </c>
      <c r="G113" s="745"/>
    </row>
    <row r="114" spans="1:7" x14ac:dyDescent="0.2">
      <c r="A114" s="741" t="s">
        <v>663</v>
      </c>
      <c r="B114" s="741" t="s">
        <v>1913</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3">
        <f>SUM('Revenues 9-14'!C158,'Revenues 9-14'!F158,'Revenues 9-14'!G158)</f>
        <v>65830</v>
      </c>
      <c r="G115" s="745"/>
    </row>
    <row r="116" spans="1:7" x14ac:dyDescent="0.2">
      <c r="A116" s="741" t="s">
        <v>663</v>
      </c>
      <c r="B116" s="741" t="s">
        <v>1915</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92">
        <f>SUM('Revenues 9-14'!C163:G163)</f>
        <v>0</v>
      </c>
      <c r="G119" s="745"/>
    </row>
    <row r="120" spans="1:7" x14ac:dyDescent="0.2">
      <c r="A120" s="756" t="s">
        <v>501</v>
      </c>
      <c r="B120" s="756" t="s">
        <v>1919</v>
      </c>
      <c r="C120" s="757">
        <f>'Revenues 9-14'!B164</f>
        <v>3815</v>
      </c>
      <c r="D120" s="758" t="str">
        <f>'Revenues 9-14'!A164</f>
        <v>State Charter Schools</v>
      </c>
      <c r="E120" s="739"/>
      <c r="F120" s="1792">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93">
        <f>'Revenues 9-14'!D167</f>
        <v>10085</v>
      </c>
      <c r="G121" s="763"/>
    </row>
    <row r="122" spans="1:7" x14ac:dyDescent="0.2">
      <c r="A122" s="760" t="s">
        <v>497</v>
      </c>
      <c r="B122" s="760" t="s">
        <v>1921</v>
      </c>
      <c r="C122" s="761">
        <f>'Revenues 9-14'!B168</f>
        <v>3999</v>
      </c>
      <c r="D122" s="762" t="s">
        <v>540</v>
      </c>
      <c r="E122" s="764"/>
      <c r="F122" s="1793">
        <f>SUM('Revenues 9-14'!C168:G168,'Revenues 9-14'!J168)</f>
        <v>78059</v>
      </c>
      <c r="G122" s="763"/>
    </row>
    <row r="123" spans="1:7" x14ac:dyDescent="0.2">
      <c r="A123" s="760" t="s">
        <v>456</v>
      </c>
      <c r="B123" s="760" t="s">
        <v>1922</v>
      </c>
      <c r="C123" s="765">
        <f>'Revenues 9-14'!B177</f>
        <v>4045</v>
      </c>
      <c r="D123" s="762" t="str">
        <f>'Revenues 9-14'!A177 &amp; " (Subtract)"</f>
        <v>Head Start (Subtract)</v>
      </c>
      <c r="E123" s="739"/>
      <c r="F123" s="1793">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1924</v>
      </c>
      <c r="C125" s="765">
        <v>4100</v>
      </c>
      <c r="D125" s="766" t="str">
        <f>'Revenues 9-14'!A188</f>
        <v>Total Title V</v>
      </c>
      <c r="E125" s="739"/>
      <c r="F125" s="1793">
        <f>SUM('Revenues 9-14'!C188,'Revenues 9-14'!D188,'Revenues 9-14'!F188,'Revenues 9-14'!G188)</f>
        <v>20674</v>
      </c>
      <c r="G125" s="763"/>
    </row>
    <row r="126" spans="1:7" x14ac:dyDescent="0.2">
      <c r="A126" s="760" t="s">
        <v>659</v>
      </c>
      <c r="B126" s="760" t="s">
        <v>1925</v>
      </c>
      <c r="C126" s="765">
        <v>4200</v>
      </c>
      <c r="D126" s="762" t="str">
        <f>'Revenues 9-14'!A198</f>
        <v>Total Food Service</v>
      </c>
      <c r="E126" s="739"/>
      <c r="F126" s="1793">
        <f>SUM('Revenues 9-14'!C198,'Revenues 9-14'!G198)</f>
        <v>375592</v>
      </c>
      <c r="G126" s="763"/>
    </row>
    <row r="127" spans="1:7" x14ac:dyDescent="0.2">
      <c r="A127" s="760" t="s">
        <v>663</v>
      </c>
      <c r="B127" s="760" t="s">
        <v>1926</v>
      </c>
      <c r="C127" s="765">
        <v>4300</v>
      </c>
      <c r="D127" s="766" t="str">
        <f>'Revenues 9-14'!A204</f>
        <v>Total Title I</v>
      </c>
      <c r="E127" s="739"/>
      <c r="F127" s="1793">
        <f>SUM('Revenues 9-14'!C204,'Revenues 9-14'!D204,'Revenues 9-14'!F204,'Revenues 9-14'!G204)</f>
        <v>652990</v>
      </c>
      <c r="G127" s="763"/>
    </row>
    <row r="128" spans="1:7" x14ac:dyDescent="0.2">
      <c r="A128" s="760" t="s">
        <v>663</v>
      </c>
      <c r="B128" s="760" t="s">
        <v>1927</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1928</v>
      </c>
      <c r="C129" s="765">
        <f>'Revenues 9-14'!B213</f>
        <v>4620</v>
      </c>
      <c r="D129" s="766" t="str">
        <f>'Revenues 9-14'!A213</f>
        <v>Fed - Spec Education - IDEA - Flow Through</v>
      </c>
      <c r="E129" s="739"/>
      <c r="F129" s="1793">
        <f>SUM('Revenues 9-14'!C213:D213,'Revenues 9-14'!F213:G213)</f>
        <v>108989</v>
      </c>
      <c r="G129" s="763"/>
    </row>
    <row r="130" spans="1:7" x14ac:dyDescent="0.2">
      <c r="A130" s="760" t="s">
        <v>663</v>
      </c>
      <c r="B130" s="760" t="s">
        <v>1929</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1930</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1931</v>
      </c>
      <c r="C133" s="765">
        <v>4700</v>
      </c>
      <c r="D133" s="762" t="str">
        <f>'Revenues 9-14'!A221</f>
        <v>Total CTE - Perkins</v>
      </c>
      <c r="E133" s="739"/>
      <c r="F133" s="1793">
        <f>SUM('Revenues 9-14'!C221,'Revenues 9-14'!D221,'Revenues 9-14'!G221)</f>
        <v>21554</v>
      </c>
      <c r="G133" s="763">
        <v>6303</v>
      </c>
    </row>
    <row r="134" spans="1:7" s="703" customFormat="1" hidden="1" x14ac:dyDescent="0.2">
      <c r="A134" s="767" t="s">
        <v>204</v>
      </c>
      <c r="B134" s="767" t="s">
        <v>1932</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3">
        <v>0</v>
      </c>
      <c r="G139" s="738"/>
    </row>
    <row r="140" spans="1:7" s="703" customFormat="1" hidden="1" x14ac:dyDescent="0.2">
      <c r="A140" s="767" t="s">
        <v>204</v>
      </c>
      <c r="B140" s="767" t="s">
        <v>1938</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1946</v>
      </c>
      <c r="C158" s="773" t="s">
        <v>836</v>
      </c>
      <c r="D158" s="774" t="s">
        <v>772</v>
      </c>
      <c r="E158" s="775"/>
      <c r="F158" s="1793">
        <f>SUM(F134:F157)</f>
        <v>0</v>
      </c>
      <c r="G158" s="738"/>
    </row>
    <row r="159" spans="1:7" s="703" customFormat="1" x14ac:dyDescent="0.2">
      <c r="A159" s="771" t="s">
        <v>456</v>
      </c>
      <c r="B159" s="772" t="s">
        <v>1947</v>
      </c>
      <c r="C159" s="773" t="s">
        <v>1410</v>
      </c>
      <c r="D159" s="774" t="s">
        <v>1411</v>
      </c>
      <c r="E159" s="775"/>
      <c r="F159" s="1793">
        <f>SUM('Revenues 9-14'!C253)</f>
        <v>0</v>
      </c>
      <c r="G159" s="738"/>
    </row>
    <row r="160" spans="1:7" s="703" customFormat="1" x14ac:dyDescent="0.2">
      <c r="A160" s="771" t="s">
        <v>497</v>
      </c>
      <c r="B160" s="772" t="s">
        <v>1948</v>
      </c>
      <c r="C160" s="773" t="s">
        <v>1448</v>
      </c>
      <c r="D160" s="774" t="s">
        <v>1449</v>
      </c>
      <c r="E160" s="775"/>
      <c r="F160" s="1793">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1954</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93">
        <f>SUM('Revenues 9-14'!C263:D263,'Revenues 9-14'!F263:G263)</f>
        <v>26071</v>
      </c>
      <c r="G169" s="780">
        <v>6320</v>
      </c>
    </row>
    <row r="170" spans="1:7" x14ac:dyDescent="0.2">
      <c r="A170" s="760" t="s">
        <v>663</v>
      </c>
      <c r="B170" s="760" t="s">
        <v>1956</v>
      </c>
      <c r="C170" s="765">
        <f>'Revenues 9-14'!B264</f>
        <v>4992</v>
      </c>
      <c r="D170" s="766" t="str">
        <f>'Revenues 9-14'!A264</f>
        <v>Medicaid Matching Funds - Fee-for-Service Program</v>
      </c>
      <c r="E170" s="739"/>
      <c r="F170" s="1793">
        <f>SUM('Revenues 9-14'!C264:D264,'Revenues 9-14'!F264:G264)</f>
        <v>177989</v>
      </c>
      <c r="G170" s="780"/>
    </row>
    <row r="171" spans="1:7" x14ac:dyDescent="0.2">
      <c r="A171" s="781" t="s">
        <v>663</v>
      </c>
      <c r="B171" s="777" t="s">
        <v>1957</v>
      </c>
      <c r="C171" s="778">
        <f>'Revenues 9-14'!B265</f>
        <v>4998</v>
      </c>
      <c r="D171" s="779" t="str">
        <f>'Revenues 9-14'!A265</f>
        <v>Other Restricted Revenue from Federal Sources (Describe &amp; Itemize)</v>
      </c>
      <c r="E171" s="739"/>
      <c r="F171" s="1793">
        <f>SUM('Revenues 9-14'!C265:D265,'Revenues 9-14'!F265:G265)</f>
        <v>45650</v>
      </c>
      <c r="G171" s="760"/>
    </row>
    <row r="172" spans="1:7" x14ac:dyDescent="0.2">
      <c r="A172" s="1529" t="s">
        <v>5</v>
      </c>
      <c r="B172" s="1530" t="s">
        <v>1880</v>
      </c>
      <c r="C172" s="1531">
        <v>3100</v>
      </c>
      <c r="D172" s="1532" t="s">
        <v>1882</v>
      </c>
      <c r="E172" s="739"/>
      <c r="F172" s="1794">
        <v>524555</v>
      </c>
      <c r="G172" s="760"/>
    </row>
    <row r="173" spans="1:7" x14ac:dyDescent="0.2">
      <c r="A173" s="1529" t="s">
        <v>659</v>
      </c>
      <c r="B173" s="1530" t="s">
        <v>1880</v>
      </c>
      <c r="C173" s="1531">
        <v>3300</v>
      </c>
      <c r="D173" s="1532" t="s">
        <v>1883</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2011</v>
      </c>
      <c r="E175" s="1456" t="s">
        <v>952</v>
      </c>
      <c r="F175" s="1796">
        <f>SUM(F85:F133,F158:F173)</f>
        <v>3261401</v>
      </c>
    </row>
    <row r="176" spans="1:7" ht="12" customHeight="1" x14ac:dyDescent="0.2">
      <c r="A176" s="1443"/>
      <c r="B176" s="1453"/>
      <c r="C176" s="1454"/>
      <c r="D176" s="1455" t="s">
        <v>2009</v>
      </c>
      <c r="E176" s="1456"/>
      <c r="F176" s="1793">
        <f>'PCTC-OEPP 27-28'!F78-F175</f>
        <v>12560061</v>
      </c>
    </row>
    <row r="177" spans="1:9" ht="12" customHeight="1" x14ac:dyDescent="0.2">
      <c r="A177" s="1443"/>
      <c r="B177" s="1453"/>
      <c r="C177" s="1454"/>
      <c r="D177" s="1455" t="s">
        <v>1789</v>
      </c>
      <c r="E177" s="1456"/>
      <c r="F177" s="1793">
        <f>'Cap Outlay Deprec 26'!I18</f>
        <v>1750163</v>
      </c>
    </row>
    <row r="178" spans="1:9" ht="12" customHeight="1" x14ac:dyDescent="0.2">
      <c r="A178" s="1443"/>
      <c r="B178" s="1453"/>
      <c r="C178" s="1454"/>
      <c r="D178" s="1455" t="s">
        <v>2010</v>
      </c>
      <c r="E178" s="1456"/>
      <c r="F178" s="1793">
        <f>F176+F177</f>
        <v>14310224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1013.7</v>
      </c>
      <c r="G179" s="763"/>
      <c r="I179" s="701"/>
    </row>
    <row r="180" spans="1:9" ht="12" customHeight="1" thickBot="1" x14ac:dyDescent="0.25">
      <c r="A180" s="1443"/>
      <c r="B180" s="1457"/>
      <c r="C180" s="1454"/>
      <c r="D180" s="1455" t="s">
        <v>2012</v>
      </c>
      <c r="E180" s="1456" t="s">
        <v>1527</v>
      </c>
      <c r="F180" s="1798">
        <f>F178/F179</f>
        <v>14116.823517806057</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1885</v>
      </c>
      <c r="B186" s="1536"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view="pageBreakPreview" zoomScale="80" zoomScaleNormal="100" zoomScaleSheetLayoutView="80" workbookViewId="0">
      <selection activeCell="A40" sqref="A40:H40"/>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1802</v>
      </c>
      <c r="B1" s="1860"/>
      <c r="C1" s="1861"/>
      <c r="D1" s="1861"/>
      <c r="E1" s="1861"/>
      <c r="F1" s="1861"/>
    </row>
    <row r="2" spans="1:6" x14ac:dyDescent="0.25">
      <c r="A2" s="1863"/>
      <c r="B2" s="1864"/>
      <c r="C2" s="1911" t="s">
        <v>1998</v>
      </c>
      <c r="D2" s="1863"/>
      <c r="E2" s="1863"/>
      <c r="F2" s="1863"/>
    </row>
    <row r="3" spans="1:6" ht="5.25" customHeight="1" x14ac:dyDescent="0.25">
      <c r="A3" s="1865"/>
      <c r="B3" s="1866"/>
      <c r="C3" s="1865"/>
      <c r="D3" s="1865"/>
      <c r="E3" s="1865"/>
      <c r="F3" s="1865"/>
    </row>
    <row r="4" spans="1:6" ht="18.75" customHeight="1" x14ac:dyDescent="0.25">
      <c r="A4" s="2389" t="s">
        <v>1790</v>
      </c>
      <c r="B4" s="2390"/>
      <c r="C4" s="2390"/>
      <c r="D4" s="2390"/>
      <c r="E4" s="2390"/>
      <c r="F4" s="2391"/>
    </row>
    <row r="5" spans="1:6" x14ac:dyDescent="0.25">
      <c r="A5" s="2392"/>
      <c r="B5" s="2393"/>
      <c r="C5" s="2393"/>
      <c r="D5" s="2393"/>
      <c r="E5" s="2393"/>
      <c r="F5" s="2394"/>
    </row>
    <row r="6" spans="1:6" ht="18.75" x14ac:dyDescent="0.25">
      <c r="A6" s="1867" t="s">
        <v>1791</v>
      </c>
      <c r="B6" s="1868"/>
      <c r="C6" s="1869"/>
      <c r="D6" s="1869"/>
      <c r="E6" s="1869"/>
      <c r="F6" s="1870"/>
    </row>
    <row r="7" spans="1:6" ht="47.25" customHeight="1" x14ac:dyDescent="0.25">
      <c r="A7" s="2395" t="s">
        <v>1980</v>
      </c>
      <c r="B7" s="2396"/>
      <c r="C7" s="2396"/>
      <c r="D7" s="2396"/>
      <c r="E7" s="2396"/>
      <c r="F7" s="2397"/>
    </row>
    <row r="8" spans="1:6" ht="20.25" customHeight="1" x14ac:dyDescent="0.25">
      <c r="A8" s="1900" t="s">
        <v>1982</v>
      </c>
      <c r="B8" s="1901"/>
      <c r="C8" s="1901"/>
      <c r="D8" s="1901"/>
      <c r="E8" s="1871"/>
      <c r="F8" s="1872"/>
    </row>
    <row r="9" spans="1:6" ht="18" customHeight="1" x14ac:dyDescent="0.25">
      <c r="A9" s="1873" t="s">
        <v>1979</v>
      </c>
      <c r="B9" s="1875"/>
      <c r="C9" s="1875"/>
      <c r="D9" s="1875"/>
      <c r="E9" s="1871"/>
      <c r="F9" s="1872"/>
    </row>
    <row r="10" spans="1:6" ht="15.75" customHeight="1" x14ac:dyDescent="0.25">
      <c r="A10" s="2398" t="s">
        <v>1976</v>
      </c>
      <c r="B10" s="2399"/>
      <c r="C10" s="2399"/>
      <c r="D10" s="2399"/>
      <c r="E10" s="2399"/>
      <c r="F10" s="2400"/>
    </row>
    <row r="11" spans="1:6" ht="33" customHeight="1" x14ac:dyDescent="0.25">
      <c r="A11" s="2395" t="s">
        <v>1981</v>
      </c>
      <c r="B11" s="2396"/>
      <c r="C11" s="2396"/>
      <c r="D11" s="2396"/>
      <c r="E11" s="2396"/>
      <c r="F11" s="2397"/>
    </row>
    <row r="12" spans="1:6" ht="15" customHeight="1" x14ac:dyDescent="0.25">
      <c r="A12" s="1873" t="s">
        <v>1977</v>
      </c>
      <c r="B12" s="1874"/>
      <c r="C12" s="1875"/>
      <c r="D12" s="1875"/>
      <c r="E12" s="1875"/>
      <c r="F12" s="1876"/>
    </row>
    <row r="13" spans="1:6" ht="17.25" customHeight="1" x14ac:dyDescent="0.25">
      <c r="A13" s="2395" t="s">
        <v>1978</v>
      </c>
      <c r="B13" s="2396"/>
      <c r="C13" s="2396"/>
      <c r="D13" s="2396"/>
      <c r="E13" s="2396"/>
      <c r="F13" s="2397"/>
    </row>
    <row r="14" spans="1:6" ht="15" customHeight="1" x14ac:dyDescent="0.25">
      <c r="A14" s="1873" t="s">
        <v>1795</v>
      </c>
      <c r="B14" s="1874"/>
      <c r="C14" s="1875"/>
      <c r="D14" s="1875"/>
      <c r="E14" s="1875"/>
      <c r="F14" s="1876"/>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77" t="s">
        <v>1796</v>
      </c>
      <c r="B16" s="1878" t="s">
        <v>1797</v>
      </c>
      <c r="C16" s="1877" t="s">
        <v>1798</v>
      </c>
      <c r="D16" s="1879" t="s">
        <v>1799</v>
      </c>
      <c r="E16" s="1879" t="s">
        <v>1800</v>
      </c>
      <c r="F16" s="1879" t="s">
        <v>1801</v>
      </c>
    </row>
    <row r="17" spans="1:7" x14ac:dyDescent="0.25">
      <c r="A17" s="1880" t="s">
        <v>1803</v>
      </c>
      <c r="B17" s="1905" t="s">
        <v>1794</v>
      </c>
      <c r="C17" s="1881" t="s">
        <v>1792</v>
      </c>
      <c r="D17" s="1882">
        <v>500000</v>
      </c>
      <c r="E17" s="1882" t="str">
        <f>IF(D17&lt;25000,D17,"25,000")</f>
        <v>25,000</v>
      </c>
      <c r="F17" s="1883">
        <f>IF(D17&gt;=25000,(D17-E17),"0")</f>
        <v>475000</v>
      </c>
    </row>
    <row r="18" spans="1:7" x14ac:dyDescent="0.25">
      <c r="A18" s="2033" t="s">
        <v>2080</v>
      </c>
      <c r="B18" s="1906">
        <v>102660300</v>
      </c>
      <c r="C18" s="2034" t="s">
        <v>2081</v>
      </c>
      <c r="D18" s="1884">
        <v>4302</v>
      </c>
      <c r="E18" s="1904">
        <f t="shared" ref="E18:E30" si="0">IF(D18&lt;25000,D18,"25,000")</f>
        <v>4302</v>
      </c>
      <c r="F18" s="1904" t="str">
        <f t="shared" ref="F18:F30" si="1">IF(D18&gt;=25000,(D18-E18),"0")</f>
        <v>0</v>
      </c>
      <c r="G18" s="1885"/>
    </row>
    <row r="19" spans="1:7" x14ac:dyDescent="0.25">
      <c r="A19" s="2033" t="s">
        <v>2082</v>
      </c>
      <c r="B19" s="1906">
        <v>202540300</v>
      </c>
      <c r="C19" s="2034" t="s">
        <v>2083</v>
      </c>
      <c r="D19" s="1884">
        <v>1806</v>
      </c>
      <c r="E19" s="1904">
        <f t="shared" si="0"/>
        <v>1806</v>
      </c>
      <c r="F19" s="1904" t="str">
        <f t="shared" si="1"/>
        <v>0</v>
      </c>
    </row>
    <row r="20" spans="1:7" x14ac:dyDescent="0.25">
      <c r="A20" s="2033" t="s">
        <v>2080</v>
      </c>
      <c r="B20" s="1906">
        <v>102660300</v>
      </c>
      <c r="C20" s="2034" t="s">
        <v>2084</v>
      </c>
      <c r="D20" s="1884">
        <v>63429</v>
      </c>
      <c r="E20" s="1904" t="str">
        <f t="shared" si="0"/>
        <v>25,000</v>
      </c>
      <c r="F20" s="1904">
        <f t="shared" si="1"/>
        <v>38429</v>
      </c>
    </row>
    <row r="21" spans="1:7" x14ac:dyDescent="0.25">
      <c r="A21" s="2033" t="s">
        <v>2085</v>
      </c>
      <c r="B21" s="1906">
        <v>402550300</v>
      </c>
      <c r="C21" s="2034" t="s">
        <v>2086</v>
      </c>
      <c r="D21" s="1884">
        <v>786733</v>
      </c>
      <c r="E21" s="1904" t="str">
        <f t="shared" si="0"/>
        <v>25,000</v>
      </c>
      <c r="F21" s="1904">
        <f t="shared" si="1"/>
        <v>761733</v>
      </c>
    </row>
    <row r="22" spans="1:7" x14ac:dyDescent="0.25">
      <c r="A22" s="2033" t="s">
        <v>2087</v>
      </c>
      <c r="B22" s="1906">
        <v>102300300</v>
      </c>
      <c r="C22" s="2034" t="s">
        <v>2055</v>
      </c>
      <c r="D22" s="1884">
        <v>22360</v>
      </c>
      <c r="E22" s="1904">
        <f t="shared" si="0"/>
        <v>22360</v>
      </c>
      <c r="F22" s="1904" t="str">
        <f t="shared" si="1"/>
        <v>0</v>
      </c>
    </row>
    <row r="23" spans="1:7" x14ac:dyDescent="0.25">
      <c r="A23" s="2033" t="s">
        <v>2082</v>
      </c>
      <c r="B23" s="1906">
        <v>202540300</v>
      </c>
      <c r="C23" s="2034" t="s">
        <v>2088</v>
      </c>
      <c r="D23" s="1884">
        <v>7200</v>
      </c>
      <c r="E23" s="1904">
        <f t="shared" si="0"/>
        <v>7200</v>
      </c>
      <c r="F23" s="1904" t="str">
        <f t="shared" si="1"/>
        <v>0</v>
      </c>
    </row>
    <row r="24" spans="1:7" x14ac:dyDescent="0.25">
      <c r="A24" s="2033" t="s">
        <v>2080</v>
      </c>
      <c r="B24" s="1906">
        <v>102660300</v>
      </c>
      <c r="C24" s="2034" t="s">
        <v>2089</v>
      </c>
      <c r="D24" s="1884">
        <v>16743</v>
      </c>
      <c r="E24" s="1904">
        <f t="shared" si="0"/>
        <v>16743</v>
      </c>
      <c r="F24" s="1904" t="str">
        <f t="shared" si="1"/>
        <v>0</v>
      </c>
    </row>
    <row r="25" spans="1:7" x14ac:dyDescent="0.25">
      <c r="A25" s="2033" t="s">
        <v>2090</v>
      </c>
      <c r="B25" s="1906">
        <v>101000300</v>
      </c>
      <c r="C25" s="2034" t="s">
        <v>2091</v>
      </c>
      <c r="D25" s="1884">
        <v>20993</v>
      </c>
      <c r="E25" s="1904">
        <f t="shared" si="0"/>
        <v>20993</v>
      </c>
      <c r="F25" s="1904" t="str">
        <f t="shared" si="1"/>
        <v>0</v>
      </c>
    </row>
    <row r="26" spans="1:7" x14ac:dyDescent="0.25">
      <c r="A26" s="2033" t="s">
        <v>2092</v>
      </c>
      <c r="B26" s="1906">
        <v>102560400</v>
      </c>
      <c r="C26" s="2034" t="s">
        <v>2093</v>
      </c>
      <c r="D26" s="1884">
        <v>20142</v>
      </c>
      <c r="E26" s="1904">
        <f t="shared" si="0"/>
        <v>20142</v>
      </c>
      <c r="F26" s="1904" t="str">
        <f t="shared" si="1"/>
        <v>0</v>
      </c>
    </row>
    <row r="27" spans="1:7" x14ac:dyDescent="0.25">
      <c r="A27" s="2033" t="s">
        <v>2080</v>
      </c>
      <c r="B27" s="1906">
        <v>102660300</v>
      </c>
      <c r="C27" s="2034" t="s">
        <v>2094</v>
      </c>
      <c r="D27" s="1884">
        <v>87605</v>
      </c>
      <c r="E27" s="1904" t="str">
        <f t="shared" si="0"/>
        <v>25,000</v>
      </c>
      <c r="F27" s="1904">
        <f t="shared" si="1"/>
        <v>62605</v>
      </c>
    </row>
    <row r="28" spans="1:7" x14ac:dyDescent="0.25">
      <c r="A28" s="2033" t="s">
        <v>2082</v>
      </c>
      <c r="B28" s="1906">
        <v>202540300</v>
      </c>
      <c r="C28" s="2034" t="s">
        <v>2095</v>
      </c>
      <c r="D28" s="1884">
        <v>17239</v>
      </c>
      <c r="E28" s="1904">
        <f t="shared" si="0"/>
        <v>17239</v>
      </c>
      <c r="F28" s="1904" t="str">
        <f t="shared" si="1"/>
        <v>0</v>
      </c>
    </row>
    <row r="29" spans="1:7" x14ac:dyDescent="0.25">
      <c r="A29" s="2033" t="s">
        <v>2080</v>
      </c>
      <c r="B29" s="1906">
        <v>102660300</v>
      </c>
      <c r="C29" s="2034" t="s">
        <v>2096</v>
      </c>
      <c r="D29" s="1884">
        <v>15839</v>
      </c>
      <c r="E29" s="1904">
        <f t="shared" si="0"/>
        <v>15839</v>
      </c>
      <c r="F29" s="1904" t="str">
        <f t="shared" si="1"/>
        <v>0</v>
      </c>
    </row>
    <row r="30" spans="1:7" x14ac:dyDescent="0.25">
      <c r="A30" s="2033" t="s">
        <v>2080</v>
      </c>
      <c r="B30" s="1906">
        <v>102660300</v>
      </c>
      <c r="C30" s="2034" t="s">
        <v>2097</v>
      </c>
      <c r="D30" s="1884">
        <v>9545</v>
      </c>
      <c r="E30" s="1904">
        <f t="shared" si="0"/>
        <v>9545</v>
      </c>
      <c r="F30" s="1904" t="str">
        <f t="shared" si="1"/>
        <v>0</v>
      </c>
    </row>
    <row r="31" spans="1:7" x14ac:dyDescent="0.25">
      <c r="A31" s="2033"/>
      <c r="B31" s="1906"/>
      <c r="C31" s="2034"/>
      <c r="D31" s="1884"/>
      <c r="E31" s="1904"/>
      <c r="F31" s="1904"/>
    </row>
    <row r="32" spans="1:7" x14ac:dyDescent="0.25">
      <c r="A32" s="1886"/>
      <c r="B32" s="1907"/>
      <c r="C32" s="1887"/>
      <c r="D32" s="1884"/>
      <c r="E32" s="1904">
        <f t="shared" ref="E32:E37" si="2">IF(D32&lt;25000,D32,"25,000")</f>
        <v>0</v>
      </c>
      <c r="F32" s="1904" t="str">
        <f t="shared" ref="F32:F37" si="3">IF(D32&gt;=25000,(D32-E32),"0")</f>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7"/>
      <c r="C36" s="1887"/>
      <c r="D36" s="1884"/>
      <c r="E36" s="1904">
        <f t="shared" si="2"/>
        <v>0</v>
      </c>
      <c r="F36" s="1904" t="str">
        <f t="shared" si="3"/>
        <v>0</v>
      </c>
    </row>
    <row r="37" spans="1:6" x14ac:dyDescent="0.25">
      <c r="A37" s="1886"/>
      <c r="B37" s="1908"/>
      <c r="C37" s="1887"/>
      <c r="D37" s="1884"/>
      <c r="E37" s="1904">
        <f t="shared" si="2"/>
        <v>0</v>
      </c>
      <c r="F37" s="1904" t="str">
        <f t="shared" si="3"/>
        <v>0</v>
      </c>
    </row>
    <row r="38" spans="1:6" x14ac:dyDescent="0.25">
      <c r="A38" s="1888" t="s">
        <v>155</v>
      </c>
      <c r="B38" s="1909"/>
      <c r="C38" s="1889"/>
      <c r="D38" s="1890">
        <f>SUM(D18:D37)</f>
        <v>1073936</v>
      </c>
      <c r="E38" s="1891">
        <f>SUM(E18:E37)</f>
        <v>136169</v>
      </c>
      <c r="F38" s="1892">
        <f>SUM(F18:F37)</f>
        <v>862767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438150</xdr:rowOff>
              </from>
              <to>
                <xdr:col>5</xdr:col>
                <xdr:colOff>1485900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A40" sqref="A40:H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1659</v>
      </c>
      <c r="B5" s="2402"/>
      <c r="C5" s="2402"/>
      <c r="D5" s="2402"/>
      <c r="E5" s="2402"/>
      <c r="F5" s="2402"/>
      <c r="G5" s="240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1889</v>
      </c>
      <c r="B10" s="803"/>
      <c r="C10" s="807"/>
      <c r="D10" s="804"/>
      <c r="E10" s="1800">
        <v>394646</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801">
        <v>36567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7596718</v>
      </c>
      <c r="F19" s="1802"/>
      <c r="G19" s="1804">
        <f>'Expenditures 15-22'!K33-SUM('Expenditures 15-22'!G33,'Expenditures 15-22'!I33)+'Expenditures 15-22'!D229</f>
        <v>7596718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1003095</v>
      </c>
      <c r="F21" s="1805"/>
      <c r="G21" s="1808">
        <f>'Expenditures 15-22'!K42-SUM('Expenditures 15-22'!G42,'Expenditures 15-22'!I42)+'Expenditures 15-22'!K120-SUM('Expenditures 15-22'!G120,'Expenditures 15-22'!I120)+'Expenditures 15-22'!K180-SUM('Expenditures 15-22'!G180,'Expenditures 15-22'!I180)+'Expenditures 15-22'!D238</f>
        <v>1003095</v>
      </c>
      <c r="H21" s="817"/>
      <c r="I21" s="157"/>
    </row>
    <row r="22" spans="1:9" s="542" customFormat="1" ht="12" customHeight="1" x14ac:dyDescent="0.2">
      <c r="A22" s="824" t="s">
        <v>560</v>
      </c>
      <c r="B22" s="825"/>
      <c r="C22" s="823">
        <v>2200</v>
      </c>
      <c r="D22" s="1805"/>
      <c r="E22" s="1807">
        <f>'Expenditures 15-22'!K47-SUM('Expenditures 15-22'!G47,'Expenditures 15-22'!I47)+'Expenditures 15-22'!D243</f>
        <v>265494</v>
      </c>
      <c r="F22" s="1805"/>
      <c r="G22" s="1808">
        <f>'Expenditures 15-22'!K47-SUM('Expenditures 15-22'!G47,'Expenditures 15-22'!I47)+'Expenditures 15-22'!D243</f>
        <v>265494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695832</v>
      </c>
      <c r="F23" s="1805"/>
      <c r="G23" s="1807">
        <f>'Expenditures 15-22'!K53-SUM('Expenditures 15-22'!G53,'Expenditures 15-22'!I53)+'Expenditures 15-22'!D257+'Expenditures 15-22'!K330-SUM('Expenditures 15-22'!G330,'Expenditures 15-22'!I330)</f>
        <v>695832</v>
      </c>
      <c r="H23" s="817"/>
      <c r="I23" s="157"/>
    </row>
    <row r="24" spans="1:9" s="542" customFormat="1" ht="12" customHeight="1" x14ac:dyDescent="0.2">
      <c r="A24" s="824" t="s">
        <v>562</v>
      </c>
      <c r="B24" s="825"/>
      <c r="C24" s="823">
        <v>2400</v>
      </c>
      <c r="D24" s="1805"/>
      <c r="E24" s="1807">
        <f>'Expenditures 15-22'!K57-SUM('Expenditures 15-22'!G57,'Expenditures 15-22'!I57)+'Expenditures 15-22'!D261</f>
        <v>704616</v>
      </c>
      <c r="F24" s="1805"/>
      <c r="G24" s="1808">
        <f>'Expenditures 15-22'!K57-SUM('Expenditures 15-22'!G57,'Expenditures 15-22'!I57)+'Expenditures 15-22'!D261</f>
        <v>704616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188544</v>
      </c>
      <c r="E27" s="1807">
        <f>E8</f>
        <v>0</v>
      </c>
      <c r="F27" s="1807">
        <f>'Expenditures 15-22'!K60-SUM('Expenditures 15-22'!G60,'Expenditures 15-22'!I60)+'Expenditures 15-22'!D264-E8</f>
        <v>188544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2142057</v>
      </c>
      <c r="F28" s="1809">
        <f>'Expenditures 15-22'!K61-SUM('Expenditures 15-22'!G61,'Expenditures 15-22'!I61)+'Expenditures 15-22'!K124-SUM('Expenditures 15-22'!G124,'Expenditures 15-22'!I124)+'Expenditures 15-22'!D266-E9</f>
        <v>2142057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803791</v>
      </c>
      <c r="F29" s="1805"/>
      <c r="G29" s="1808">
        <f>'Expenditures 15-22'!K62-SUM('Expenditures 15-22'!G62,'Expenditures 15-22'!I62)+'Expenditures 15-22'!K125-SUM('Expenditures 15-22'!G125,'Expenditures 15-22'!I125)+'Expenditures 15-22'!K182-SUM('Expenditures 15-22'!G182,'Expenditures 15-22'!I182)+'Expenditures 15-22'!D267</f>
        <v>803791</v>
      </c>
      <c r="H29" s="815"/>
    </row>
    <row r="30" spans="1:9" ht="12" customHeight="1" x14ac:dyDescent="0.2">
      <c r="A30" s="824" t="s">
        <v>100</v>
      </c>
      <c r="B30" s="827"/>
      <c r="C30" s="823">
        <v>2560</v>
      </c>
      <c r="D30" s="1805"/>
      <c r="E30" s="1807">
        <f>'Expenditures 15-22'!K63-SUM('Expenditures 15-22'!G63,'Expenditures 15-22'!I63)+'Expenditures 15-22'!D268-E10</f>
        <v>382772</v>
      </c>
      <c r="F30" s="1805"/>
      <c r="G30" s="1807">
        <f>'Expenditures 15-22'!K63-SUM('Expenditures 15-22'!G63,'Expenditures 15-22'!I63)+'Expenditures 15-22'!D268-E10</f>
        <v>382772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576193</v>
      </c>
      <c r="E37" s="1807">
        <f>E14</f>
        <v>0</v>
      </c>
      <c r="F37" s="1807">
        <f>'Expenditures 15-22'!K71-SUM('Expenditures 15-22'!G71,'Expenditures 15-22'!I71)+'Expenditures 15-22'!D276-E14</f>
        <v>576193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626</v>
      </c>
      <c r="F38" s="1805"/>
      <c r="G38" s="1807">
        <f>'Expenditures 15-22'!K73-SUM('Expenditures 15-22'!G73,'Expenditures 15-22'!I73)+'Expenditures 15-22'!K128-SUM('Expenditures 15-22'!G128,'Expenditures 15-22'!I128)+'Expenditures 15-22'!K183-SUM('Expenditures 15-22'!G183,'Expenditures 15-22'!I183)+'Expenditures 15-22'!D278</f>
        <v>626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57290</v>
      </c>
      <c r="F39" s="1805"/>
      <c r="G39" s="1807">
        <f>'Expenditures 15-22'!K75-SUM('Expenditures 15-22'!G75,'Expenditures 15-22'!I75)+'Expenditures 15-22'!K130-SUM('Expenditures 15-22'!G130,'Expenditures 15-22'!I130)+'Expenditures 15-22'!K185-SUM('Expenditures 15-22'!G185,'Expenditures 15-22'!I185)+'Expenditures 15-22'!D280</f>
        <v>57290</v>
      </c>
    </row>
    <row r="40" spans="1:7" ht="12" customHeight="1" x14ac:dyDescent="0.2">
      <c r="A40" s="820" t="s">
        <v>1793</v>
      </c>
      <c r="B40" s="821"/>
      <c r="C40" s="823"/>
      <c r="D40" s="1805"/>
      <c r="E40" s="1809">
        <f>-'Contracts Paid in CY 29'!F38</f>
        <v>-862767</v>
      </c>
      <c r="F40" s="1805"/>
      <c r="G40" s="1809">
        <f>-'Contracts Paid in CY 29'!F38</f>
        <v>-862767</v>
      </c>
    </row>
    <row r="41" spans="1:7" ht="12" customHeight="1" x14ac:dyDescent="0.2">
      <c r="A41" s="828" t="s">
        <v>155</v>
      </c>
      <c r="B41" s="829"/>
      <c r="C41" s="830"/>
      <c r="D41" s="1809">
        <f>SUM(D19:D39)</f>
        <v>764737</v>
      </c>
      <c r="E41" s="1809">
        <f>SUM(E19:E40)</f>
        <v>12789524</v>
      </c>
      <c r="F41" s="1809">
        <f>SUM(F19:F39)</f>
        <v>2906794</v>
      </c>
      <c r="G41" s="1809">
        <f>SUM(G19:G40)</f>
        <v>10647467</v>
      </c>
    </row>
    <row r="42" spans="1:7" x14ac:dyDescent="0.2">
      <c r="A42" s="817"/>
      <c r="B42" s="157"/>
      <c r="C42" s="831"/>
      <c r="D42" s="2404" t="s">
        <v>519</v>
      </c>
      <c r="E42" s="2405"/>
      <c r="F42" s="832" t="s">
        <v>520</v>
      </c>
      <c r="G42" s="833"/>
    </row>
    <row r="43" spans="1:7" ht="12" customHeight="1" x14ac:dyDescent="0.2">
      <c r="A43" s="817"/>
      <c r="B43" s="157"/>
      <c r="C43" s="831"/>
      <c r="D43" s="1458" t="s">
        <v>470</v>
      </c>
      <c r="E43" s="1810">
        <f>D41</f>
        <v>764737</v>
      </c>
      <c r="F43" s="1458" t="s">
        <v>470</v>
      </c>
      <c r="G43" s="1810">
        <f>F41</f>
        <v>2906794</v>
      </c>
    </row>
    <row r="44" spans="1:7" ht="12" customHeight="1" x14ac:dyDescent="0.2">
      <c r="A44" s="817"/>
      <c r="B44" s="157"/>
      <c r="C44" s="831"/>
      <c r="D44" s="1458" t="s">
        <v>471</v>
      </c>
      <c r="E44" s="1810">
        <f>E41</f>
        <v>12789524</v>
      </c>
      <c r="F44" s="1458" t="s">
        <v>471</v>
      </c>
      <c r="G44" s="1810">
        <f>G41</f>
        <v>10647467</v>
      </c>
    </row>
    <row r="45" spans="1:7" ht="12" customHeight="1" x14ac:dyDescent="0.2">
      <c r="A45" s="817"/>
      <c r="B45" s="157"/>
      <c r="C45" s="157"/>
      <c r="D45" s="1459" t="s">
        <v>999</v>
      </c>
      <c r="E45" s="1811">
        <f>(E43/E44)</f>
        <v>5.9794015789797962E-2</v>
      </c>
      <c r="F45" s="1459" t="s">
        <v>999</v>
      </c>
      <c r="G45" s="1811">
        <f>(G43/G44)</f>
        <v>0.27300333497159468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1" zoomScale="110" zoomScaleNormal="110" workbookViewId="0">
      <selection activeCell="A40" sqref="A40:H4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1873</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1528</v>
      </c>
      <c r="B5" s="2414"/>
      <c r="C5" s="2415"/>
      <c r="D5" s="2415"/>
      <c r="E5" s="2415"/>
      <c r="F5" s="2415"/>
      <c r="G5" s="1507"/>
      <c r="L5" s="1507"/>
      <c r="M5" s="1855"/>
      <c r="N5" s="1855"/>
      <c r="O5" s="1855"/>
    </row>
    <row r="6" spans="1:15" ht="12" customHeight="1" x14ac:dyDescent="0.25">
      <c r="A6" s="1480"/>
      <c r="B6" s="1481"/>
      <c r="C6" s="2416" t="str">
        <f>COVER!A17</f>
        <v xml:space="preserve">  Mt Vernon Twp HSD 201</v>
      </c>
      <c r="D6" s="2416"/>
      <c r="E6" s="2416"/>
      <c r="F6" s="1482"/>
      <c r="G6" s="1507"/>
      <c r="L6" s="1507"/>
      <c r="M6" s="1855"/>
      <c r="N6" s="1855"/>
      <c r="O6" s="1855"/>
    </row>
    <row r="7" spans="1:15" ht="11.25" customHeight="1" thickBot="1" x14ac:dyDescent="0.3">
      <c r="A7" s="1480"/>
      <c r="B7" s="1481"/>
      <c r="C7" s="2417">
        <f>COVER!A13</f>
        <v>13041201017</v>
      </c>
      <c r="D7" s="2417"/>
      <c r="E7" s="2417"/>
      <c r="F7" s="1482"/>
      <c r="G7" s="1507"/>
      <c r="L7" s="1507"/>
      <c r="M7" s="1855"/>
      <c r="N7" s="1855"/>
      <c r="O7" s="1855"/>
    </row>
    <row r="8" spans="1:15" ht="25.5" customHeight="1" thickBot="1" x14ac:dyDescent="0.25">
      <c r="A8" s="1519" t="s">
        <v>1869</v>
      </c>
      <c r="B8" s="1483"/>
      <c r="C8" s="1515" t="s">
        <v>1661</v>
      </c>
      <c r="D8" s="1514" t="s">
        <v>1662</v>
      </c>
      <c r="E8" s="1516" t="s">
        <v>1364</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2046</v>
      </c>
      <c r="D13" s="1495" t="s">
        <v>2046</v>
      </c>
      <c r="E13" s="1498"/>
      <c r="F13" s="1497" t="s">
        <v>2076</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t="s">
        <v>2046</v>
      </c>
      <c r="D21" s="1495" t="s">
        <v>2046</v>
      </c>
      <c r="E21" s="1498"/>
      <c r="F21" s="1497" t="s">
        <v>2077</v>
      </c>
      <c r="G21" s="1507"/>
      <c r="H21" s="1507">
        <f t="shared" si="0"/>
        <v>5</v>
      </c>
      <c r="I21" s="1507">
        <f t="shared" si="1"/>
        <v>5</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2046</v>
      </c>
      <c r="D26" s="1495" t="s">
        <v>2046</v>
      </c>
      <c r="E26" s="1498"/>
      <c r="F26" s="1497" t="s">
        <v>2078</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t="s">
        <v>2046</v>
      </c>
      <c r="D28" s="1495" t="s">
        <v>2046</v>
      </c>
      <c r="E28" s="1498"/>
      <c r="F28" s="1497" t="s">
        <v>2079</v>
      </c>
      <c r="G28" s="1507"/>
      <c r="H28" s="1507">
        <f t="shared" si="0"/>
        <v>5</v>
      </c>
      <c r="I28" s="1507">
        <f t="shared" si="1"/>
        <v>5</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502"/>
      <c r="B39" s="1502"/>
      <c r="C39" s="1502"/>
      <c r="D39" s="1502"/>
      <c r="E39" s="1502"/>
      <c r="F39" s="1502"/>
    </row>
    <row r="40" spans="1:15" s="1499" customFormat="1" ht="12" customHeight="1" x14ac:dyDescent="0.25">
      <c r="A40" s="1503" t="s">
        <v>1375</v>
      </c>
      <c r="B40" s="1504"/>
      <c r="C40" s="2426"/>
      <c r="D40" s="2426"/>
      <c r="E40" s="2426"/>
      <c r="F40" s="2427"/>
      <c r="H40" s="1508"/>
      <c r="I40" s="1508"/>
      <c r="J40" s="1508"/>
      <c r="K40" s="1508"/>
    </row>
    <row r="41" spans="1:15" s="1499" customFormat="1" ht="12" customHeight="1" x14ac:dyDescent="0.25">
      <c r="A41" s="2428"/>
      <c r="B41" s="2429"/>
      <c r="C41" s="2429"/>
      <c r="D41" s="2429"/>
      <c r="E41" s="2429"/>
      <c r="F41" s="2430"/>
      <c r="H41" s="1508"/>
      <c r="I41" s="1508"/>
      <c r="J41" s="1508"/>
      <c r="K41" s="1508"/>
    </row>
    <row r="42" spans="1:15" s="1499" customFormat="1" ht="12" customHeight="1" x14ac:dyDescent="0.25">
      <c r="A42" s="2428"/>
      <c r="B42" s="2429"/>
      <c r="C42" s="2429"/>
      <c r="D42" s="2429"/>
      <c r="E42" s="2429"/>
      <c r="F42" s="2430"/>
      <c r="H42" s="1508"/>
      <c r="I42" s="1508"/>
      <c r="J42" s="1508"/>
      <c r="K42" s="1508"/>
    </row>
    <row r="43" spans="1:15" s="1499" customFormat="1" ht="15" x14ac:dyDescent="0.25">
      <c r="A43" s="2420"/>
      <c r="B43" s="2421"/>
      <c r="C43" s="2421"/>
      <c r="D43" s="2421"/>
      <c r="E43" s="2421"/>
      <c r="F43" s="2422"/>
      <c r="H43" s="1508"/>
      <c r="I43" s="1508"/>
      <c r="J43" s="1508"/>
      <c r="K43" s="1508"/>
    </row>
    <row r="44" spans="1:15" s="1499" customFormat="1" ht="12" hidden="1" customHeight="1" x14ac:dyDescent="0.25">
      <c r="A44" s="2420"/>
      <c r="B44" s="2421"/>
      <c r="C44" s="2421"/>
      <c r="D44" s="2421"/>
      <c r="E44" s="2421"/>
      <c r="F44" s="242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Header xml:space="preserve">&amp;L&amp;8Page 31&amp;R&amp;8Page 31&amp;10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0" sqref="A40:J40"/>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1997</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2" t="str">
        <f>COVER!A17</f>
        <v xml:space="preserve">  Mt Vernon Twp HSD 201</v>
      </c>
      <c r="K6" s="2432"/>
      <c r="L6" s="2433"/>
      <c r="M6" s="838"/>
      <c r="N6" s="1996"/>
    </row>
    <row r="7" spans="1:14" x14ac:dyDescent="0.2">
      <c r="A7" s="2434" t="s">
        <v>864</v>
      </c>
      <c r="B7" s="2435"/>
      <c r="C7" s="2435"/>
      <c r="D7" s="2435"/>
      <c r="E7" s="2436"/>
      <c r="F7" s="839"/>
      <c r="G7" s="838"/>
      <c r="H7" s="838"/>
      <c r="I7" s="1922" t="s">
        <v>369</v>
      </c>
      <c r="J7" s="2437">
        <f>COVER!A13</f>
        <v>13041201017</v>
      </c>
      <c r="K7" s="2437"/>
      <c r="L7" s="243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2013</v>
      </c>
      <c r="F9" s="1857"/>
      <c r="G9" s="1857"/>
      <c r="H9" s="1857"/>
      <c r="I9" s="1927" t="s">
        <v>2014</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38" t="s">
        <v>478</v>
      </c>
      <c r="B11" s="2439"/>
      <c r="C11" s="2440"/>
      <c r="D11" s="1935" t="s">
        <v>866</v>
      </c>
      <c r="E11" s="1935" t="s">
        <v>64</v>
      </c>
      <c r="F11" s="1935" t="s">
        <v>6</v>
      </c>
      <c r="G11" s="1936" t="s">
        <v>2015</v>
      </c>
      <c r="H11" s="1937" t="s">
        <v>155</v>
      </c>
      <c r="I11" s="1935" t="s">
        <v>64</v>
      </c>
      <c r="J11" s="1935" t="s">
        <v>6</v>
      </c>
      <c r="K11" s="1936" t="s">
        <v>1996</v>
      </c>
      <c r="L11" s="1937" t="s">
        <v>155</v>
      </c>
      <c r="M11" s="838"/>
      <c r="N11" s="1996"/>
    </row>
    <row r="12" spans="1:14" x14ac:dyDescent="0.2">
      <c r="A12" s="2001">
        <v>1</v>
      </c>
      <c r="B12" s="1938" t="s">
        <v>813</v>
      </c>
      <c r="C12" s="842"/>
      <c r="D12" s="1939">
        <v>2320</v>
      </c>
      <c r="E12" s="1942">
        <f>'Expenditures 15-22'!K50</f>
        <v>267826</v>
      </c>
      <c r="F12" s="1940"/>
      <c r="G12" s="1966">
        <f>G68</f>
        <v>0</v>
      </c>
      <c r="H12" s="1942">
        <f t="shared" ref="H12:H18" si="0">SUM(E12:G12)</f>
        <v>267826</v>
      </c>
      <c r="I12" s="1941">
        <v>234500</v>
      </c>
      <c r="J12" s="1940"/>
      <c r="K12" s="1941">
        <v>0</v>
      </c>
      <c r="L12" s="1942">
        <f t="shared" ref="L12:L18" si="1">SUM(I12:K12)</f>
        <v>234500</v>
      </c>
      <c r="M12" s="838"/>
      <c r="N12" s="1996"/>
    </row>
    <row r="13" spans="1:14" x14ac:dyDescent="0.2">
      <c r="A13" s="2001">
        <v>2</v>
      </c>
      <c r="B13" s="1938" t="s">
        <v>42</v>
      </c>
      <c r="C13" s="842"/>
      <c r="D13" s="1939">
        <v>2330</v>
      </c>
      <c r="E13" s="1942">
        <f>'Expenditures 15-22'!K51</f>
        <v>1418</v>
      </c>
      <c r="F13" s="1940"/>
      <c r="G13" s="1966">
        <f>H68</f>
        <v>0</v>
      </c>
      <c r="H13" s="1942">
        <f t="shared" si="0"/>
        <v>1418</v>
      </c>
      <c r="I13" s="1941">
        <v>1500</v>
      </c>
      <c r="J13" s="1940"/>
      <c r="K13" s="1941">
        <v>0</v>
      </c>
      <c r="L13" s="1942">
        <f t="shared" si="1"/>
        <v>1500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v>0</v>
      </c>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v>0</v>
      </c>
      <c r="K15" s="1941">
        <v>0</v>
      </c>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v>0</v>
      </c>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v>0</v>
      </c>
      <c r="L17" s="1942">
        <f t="shared" si="1"/>
        <v>0</v>
      </c>
      <c r="M17" s="838"/>
      <c r="N17" s="1996"/>
    </row>
    <row r="18" spans="1:14" ht="26.25" customHeight="1" x14ac:dyDescent="0.2">
      <c r="A18" s="2002">
        <v>7</v>
      </c>
      <c r="B18" s="2441" t="s">
        <v>7</v>
      </c>
      <c r="C18" s="2442"/>
      <c r="D18" s="2443"/>
      <c r="E18" s="1944"/>
      <c r="F18" s="1944"/>
      <c r="G18" s="1941"/>
      <c r="H18" s="1945">
        <f t="shared" si="0"/>
        <v>0</v>
      </c>
      <c r="I18" s="1941"/>
      <c r="J18" s="1941"/>
      <c r="K18" s="1941">
        <v>0</v>
      </c>
      <c r="L18" s="1942">
        <f t="shared" si="1"/>
        <v>0</v>
      </c>
      <c r="M18" s="838"/>
      <c r="N18" s="1996"/>
    </row>
    <row r="19" spans="1:14" ht="13.5" thickBot="1" x14ac:dyDescent="0.25">
      <c r="A19" s="2001">
        <v>8</v>
      </c>
      <c r="B19" s="1946" t="s">
        <v>1151</v>
      </c>
      <c r="C19" s="838"/>
      <c r="D19" s="1947"/>
      <c r="E19" s="1948">
        <f t="shared" ref="E19:L19" si="2">SUM(E12:E17)-E18</f>
        <v>269244</v>
      </c>
      <c r="F19" s="1948">
        <f t="shared" si="2"/>
        <v>0</v>
      </c>
      <c r="G19" s="1948">
        <f t="shared" ref="G19" si="3">SUM(G12:G17)-G18</f>
        <v>0</v>
      </c>
      <c r="H19" s="1948">
        <f t="shared" si="2"/>
        <v>269244</v>
      </c>
      <c r="I19" s="1948">
        <f t="shared" si="2"/>
        <v>236000</v>
      </c>
      <c r="J19" s="1948">
        <f t="shared" si="2"/>
        <v>0</v>
      </c>
      <c r="K19" s="1948">
        <f t="shared" si="2"/>
        <v>0</v>
      </c>
      <c r="L19" s="1948">
        <f t="shared" si="2"/>
        <v>236000</v>
      </c>
      <c r="M19" s="838"/>
      <c r="N19" s="1996"/>
    </row>
    <row r="20" spans="1:14" ht="13.5" thickTop="1" x14ac:dyDescent="0.2">
      <c r="A20" s="2001">
        <v>9</v>
      </c>
      <c r="B20" s="2444" t="s">
        <v>2016</v>
      </c>
      <c r="C20" s="2444"/>
      <c r="D20" s="2445"/>
      <c r="E20" s="1949"/>
      <c r="F20" s="1949"/>
      <c r="G20" s="1949"/>
      <c r="H20" s="1949"/>
      <c r="I20" s="1949"/>
      <c r="J20" s="1949"/>
      <c r="K20" s="1949"/>
      <c r="L20" s="1950">
        <f>IF(AND(H19&gt;0,L19&gt;0),(((L19-H19)/H19)),"Enter Budget Data")</f>
        <v>-0.12347164653622736</v>
      </c>
      <c r="M20" s="838"/>
      <c r="N20" s="1996"/>
    </row>
    <row r="21" spans="1:14" x14ac:dyDescent="0.2">
      <c r="A21" s="2003" t="s">
        <v>194</v>
      </c>
      <c r="B21" s="2004" t="s">
        <v>2041</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2017</v>
      </c>
      <c r="B24" s="2008"/>
      <c r="C24" s="2009"/>
      <c r="D24" s="2009"/>
      <c r="E24" s="2009"/>
      <c r="F24" s="2009"/>
      <c r="G24" s="2009"/>
      <c r="H24" s="2009"/>
      <c r="I24" s="2009"/>
      <c r="J24" s="2009"/>
      <c r="K24" s="2009"/>
      <c r="L24" s="838"/>
      <c r="M24" s="838"/>
      <c r="N24" s="1996"/>
    </row>
    <row r="25" spans="1:14" x14ac:dyDescent="0.2">
      <c r="A25" s="2007" t="s">
        <v>2018</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46"/>
      <c r="D27" s="2446"/>
      <c r="E27" s="843"/>
      <c r="F27" s="2447"/>
      <c r="G27" s="2447"/>
      <c r="H27" s="2447"/>
      <c r="I27" s="838"/>
      <c r="J27" s="838"/>
      <c r="K27" s="838"/>
      <c r="L27" s="838"/>
      <c r="M27" s="838"/>
      <c r="N27" s="1996"/>
    </row>
    <row r="28" spans="1:14" x14ac:dyDescent="0.2">
      <c r="A28" s="1995"/>
      <c r="B28" s="2005"/>
      <c r="C28" s="1955" t="s">
        <v>1026</v>
      </c>
      <c r="D28" s="844"/>
      <c r="E28" s="1956"/>
      <c r="F28" s="2448" t="s">
        <v>1491</v>
      </c>
      <c r="G28" s="2448"/>
      <c r="H28" s="2448"/>
      <c r="I28" s="838"/>
      <c r="J28" s="838"/>
      <c r="K28" s="838"/>
      <c r="L28" s="838"/>
      <c r="M28" s="838"/>
      <c r="N28" s="1996"/>
    </row>
    <row r="29" spans="1:14" x14ac:dyDescent="0.2">
      <c r="A29" s="1995"/>
      <c r="B29" s="2005"/>
      <c r="C29" s="2449" t="s">
        <v>2050</v>
      </c>
      <c r="D29" s="2449"/>
      <c r="E29" s="845"/>
      <c r="F29" s="2449" t="s">
        <v>2052</v>
      </c>
      <c r="G29" s="2449"/>
      <c r="H29" s="2449"/>
      <c r="I29" s="838"/>
      <c r="J29" s="838"/>
      <c r="K29" s="838"/>
      <c r="L29" s="838"/>
      <c r="M29" s="838"/>
      <c r="N29" s="1996"/>
    </row>
    <row r="30" spans="1:14" x14ac:dyDescent="0.2">
      <c r="A30" s="1995"/>
      <c r="B30" s="2005"/>
      <c r="C30" s="1958" t="s">
        <v>1543</v>
      </c>
      <c r="D30" s="838"/>
      <c r="E30" s="1957"/>
      <c r="F30" s="2431" t="s">
        <v>1492</v>
      </c>
      <c r="G30" s="2431"/>
      <c r="H30" s="2431"/>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52" t="s">
        <v>2019</v>
      </c>
      <c r="D34" s="2453"/>
      <c r="E34" s="2453"/>
      <c r="F34" s="2453"/>
      <c r="G34" s="2453"/>
      <c r="H34" s="2453"/>
      <c r="I34" s="2453"/>
      <c r="J34" s="2453"/>
      <c r="K34" s="2014"/>
      <c r="L34" s="838"/>
      <c r="M34" s="838"/>
      <c r="N34" s="1996"/>
    </row>
    <row r="35" spans="1:14" x14ac:dyDescent="0.2">
      <c r="A35" s="1995"/>
      <c r="B35" s="838"/>
      <c r="C35" s="2453"/>
      <c r="D35" s="2453"/>
      <c r="E35" s="2453"/>
      <c r="F35" s="2453"/>
      <c r="G35" s="2453"/>
      <c r="H35" s="2453"/>
      <c r="I35" s="2453"/>
      <c r="J35" s="2453"/>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52" t="s">
        <v>2020</v>
      </c>
      <c r="D37" s="2453"/>
      <c r="E37" s="2453"/>
      <c r="F37" s="2453"/>
      <c r="G37" s="2453"/>
      <c r="H37" s="2453"/>
      <c r="I37" s="2453"/>
      <c r="J37" s="2453"/>
      <c r="K37" s="2014"/>
      <c r="L37" s="2016"/>
      <c r="M37" s="838"/>
      <c r="N37" s="1996"/>
    </row>
    <row r="38" spans="1:14" x14ac:dyDescent="0.2">
      <c r="A38" s="1995"/>
      <c r="B38" s="838"/>
      <c r="C38" s="2453"/>
      <c r="D38" s="2453"/>
      <c r="E38" s="2453"/>
      <c r="F38" s="2453"/>
      <c r="G38" s="2453"/>
      <c r="H38" s="2453"/>
      <c r="I38" s="2453"/>
      <c r="J38" s="2453"/>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54" t="s">
        <v>2021</v>
      </c>
      <c r="D40" s="2455"/>
      <c r="E40" s="2455"/>
      <c r="F40" s="2455"/>
      <c r="G40" s="2455"/>
      <c r="H40" s="2455"/>
      <c r="I40" s="2455"/>
      <c r="J40" s="2455"/>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56" t="s">
        <v>2022</v>
      </c>
      <c r="B43" s="2457"/>
      <c r="C43" s="2457"/>
      <c r="D43" s="2457"/>
      <c r="E43" s="2457"/>
      <c r="F43" s="2457"/>
      <c r="G43" s="2457"/>
      <c r="H43" s="2457"/>
      <c r="I43" s="2457"/>
      <c r="J43" s="2457"/>
      <c r="K43" s="2457"/>
      <c r="L43" s="2457"/>
      <c r="M43" s="2457"/>
      <c r="N43" s="2458"/>
    </row>
    <row r="44" spans="1:14" x14ac:dyDescent="0.2">
      <c r="A44" s="1980"/>
      <c r="B44" s="1981"/>
      <c r="C44" s="1981"/>
      <c r="D44" s="1981"/>
      <c r="E44" s="1981"/>
      <c r="F44" s="1981"/>
      <c r="G44" s="1981"/>
      <c r="H44" s="1981"/>
      <c r="I44" s="1981"/>
      <c r="J44" s="1981"/>
      <c r="K44" s="1981"/>
      <c r="L44" s="1981"/>
      <c r="M44" s="1981"/>
      <c r="N44" s="1982"/>
    </row>
    <row r="45" spans="1:14" x14ac:dyDescent="0.2">
      <c r="A45" s="1980" t="s">
        <v>2023</v>
      </c>
      <c r="B45" s="1981"/>
      <c r="C45" s="1981"/>
      <c r="D45" s="1981"/>
      <c r="E45" s="1981"/>
      <c r="F45" s="1981"/>
      <c r="G45" s="1981"/>
      <c r="H45" s="1981"/>
      <c r="I45" s="1981"/>
      <c r="J45" s="1981"/>
      <c r="K45" s="1981"/>
      <c r="L45" s="1981"/>
      <c r="M45" s="1981"/>
      <c r="N45" s="1982"/>
    </row>
    <row r="46" spans="1:14" x14ac:dyDescent="0.2">
      <c r="A46" s="2459" t="s">
        <v>2024</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2040</v>
      </c>
      <c r="B49" s="2022"/>
      <c r="C49" s="2022"/>
      <c r="D49" s="2023"/>
      <c r="E49" s="2023"/>
      <c r="F49" s="2023"/>
      <c r="G49" s="2023"/>
      <c r="H49" s="2023"/>
      <c r="I49" s="2023"/>
      <c r="J49" s="2023"/>
      <c r="K49" s="2023"/>
      <c r="L49" s="2023"/>
      <c r="M49" s="2023"/>
      <c r="N49" s="2024"/>
    </row>
    <row r="50" spans="1:14" ht="15" x14ac:dyDescent="0.25">
      <c r="A50" s="2026" t="s">
        <v>2039</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2" t="str">
        <f>J6</f>
        <v xml:space="preserve">  Mt Vernon Twp HSD 201</v>
      </c>
      <c r="M52" s="2432"/>
      <c r="N52" s="2462"/>
    </row>
    <row r="53" spans="1:14" x14ac:dyDescent="0.2">
      <c r="A53" s="1980"/>
      <c r="B53" s="1981"/>
      <c r="C53" s="1981"/>
      <c r="D53" s="1981"/>
      <c r="E53" s="1981"/>
      <c r="F53" s="1981"/>
      <c r="G53" s="1981"/>
      <c r="H53" s="1981"/>
      <c r="I53" s="1981"/>
      <c r="J53" s="1981"/>
      <c r="K53" s="1922" t="s">
        <v>369</v>
      </c>
      <c r="L53" s="2437">
        <f>J7</f>
        <v>13041201017</v>
      </c>
      <c r="M53" s="2437"/>
      <c r="N53" s="2463"/>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64"/>
      <c r="B55" s="2465"/>
      <c r="C55" s="2465"/>
      <c r="D55" s="1968"/>
      <c r="E55" s="1968"/>
      <c r="F55" s="1968"/>
      <c r="G55" s="2466" t="s">
        <v>2025</v>
      </c>
      <c r="H55" s="2466"/>
      <c r="I55" s="2466"/>
      <c r="J55" s="2466"/>
      <c r="K55" s="2466"/>
      <c r="L55" s="2466"/>
      <c r="M55" s="2466"/>
      <c r="N55" s="2467"/>
    </row>
    <row r="56" spans="1:14" ht="63.75" x14ac:dyDescent="0.2">
      <c r="A56" s="2468" t="s">
        <v>2026</v>
      </c>
      <c r="B56" s="2469"/>
      <c r="C56" s="2470"/>
      <c r="D56" s="1962" t="s">
        <v>2027</v>
      </c>
      <c r="E56" s="1962" t="s">
        <v>2028</v>
      </c>
      <c r="F56" s="1969"/>
      <c r="G56" s="1962" t="s">
        <v>2029</v>
      </c>
      <c r="H56" s="1962" t="s">
        <v>2030</v>
      </c>
      <c r="I56" s="1962" t="s">
        <v>2031</v>
      </c>
      <c r="J56" s="1962" t="s">
        <v>2032</v>
      </c>
      <c r="K56" s="1962" t="s">
        <v>2033</v>
      </c>
      <c r="L56" s="1962" t="s">
        <v>2034</v>
      </c>
      <c r="M56" s="1962" t="s">
        <v>2035</v>
      </c>
      <c r="N56" s="1963" t="s">
        <v>2042</v>
      </c>
    </row>
    <row r="57" spans="1:14" ht="24.75" customHeight="1" x14ac:dyDescent="0.2">
      <c r="A57" s="2471" t="s">
        <v>296</v>
      </c>
      <c r="B57" s="2472"/>
      <c r="C57" s="2472"/>
      <c r="D57" s="1964">
        <v>2361</v>
      </c>
      <c r="E57" s="1974">
        <f>'Expenditures 15-22'!K319</f>
        <v>0</v>
      </c>
      <c r="F57" s="1970"/>
      <c r="G57" s="2027"/>
      <c r="H57" s="2028"/>
      <c r="I57" s="2028"/>
      <c r="J57" s="2028"/>
      <c r="K57" s="2028"/>
      <c r="L57" s="2028"/>
      <c r="M57" s="2028">
        <v>0</v>
      </c>
      <c r="N57" s="1973">
        <f>IF((SUM(G57:M57))=E57,SUM(G57:M57),"Column N does not agree with Column E")</f>
        <v>0</v>
      </c>
    </row>
    <row r="58" spans="1:14" ht="24" customHeight="1" x14ac:dyDescent="0.2">
      <c r="A58" s="2450" t="s">
        <v>2036</v>
      </c>
      <c r="B58" s="2451"/>
      <c r="C58" s="2451"/>
      <c r="D58" s="1965">
        <v>2362</v>
      </c>
      <c r="E58" s="1975">
        <f>'Expenditures 15-22'!K320</f>
        <v>166904</v>
      </c>
      <c r="F58" s="1970"/>
      <c r="G58" s="2029"/>
      <c r="H58" s="2030"/>
      <c r="I58" s="2030"/>
      <c r="J58" s="2030"/>
      <c r="K58" s="2030"/>
      <c r="L58" s="2030"/>
      <c r="M58" s="2030">
        <v>166904</v>
      </c>
      <c r="N58" s="1973">
        <f>IF((SUM(G58:M58))=E58,SUM(G58:M58),"Column N does not agree with Column E")</f>
        <v>166904</v>
      </c>
    </row>
    <row r="59" spans="1:14" ht="24.75" customHeight="1" x14ac:dyDescent="0.2">
      <c r="A59" s="2473" t="s">
        <v>297</v>
      </c>
      <c r="B59" s="2474"/>
      <c r="C59" s="2474"/>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73" t="s">
        <v>236</v>
      </c>
      <c r="B60" s="2474"/>
      <c r="C60" s="2474"/>
      <c r="D60" s="1965">
        <v>2364</v>
      </c>
      <c r="E60" s="1975">
        <f>'Expenditures 15-22'!K322</f>
        <v>88895</v>
      </c>
      <c r="F60" s="1970"/>
      <c r="G60" s="2029"/>
      <c r="H60" s="2030"/>
      <c r="I60" s="2030"/>
      <c r="J60" s="2030"/>
      <c r="K60" s="2030"/>
      <c r="L60" s="2030"/>
      <c r="M60" s="2030">
        <v>88895</v>
      </c>
      <c r="N60" s="1973">
        <f t="shared" ref="N60:N67" si="4">IF((SUM(G60:M60))=E60,SUM(G60:M60),"Column N does not agree with Column E")</f>
        <v>88895</v>
      </c>
    </row>
    <row r="61" spans="1:14" ht="24.75" customHeight="1" x14ac:dyDescent="0.2">
      <c r="A61" s="2473" t="s">
        <v>697</v>
      </c>
      <c r="B61" s="2474"/>
      <c r="C61" s="2474"/>
      <c r="D61" s="1965">
        <v>2365</v>
      </c>
      <c r="E61" s="1975">
        <f>'Expenditures 15-22'!K323</f>
        <v>0</v>
      </c>
      <c r="F61" s="1970"/>
      <c r="G61" s="2029"/>
      <c r="H61" s="2030"/>
      <c r="I61" s="2030"/>
      <c r="J61" s="2030"/>
      <c r="K61" s="2030"/>
      <c r="L61" s="2030"/>
      <c r="M61" s="2030"/>
      <c r="N61" s="1973">
        <f t="shared" si="4"/>
        <v>0</v>
      </c>
    </row>
    <row r="62" spans="1:14" ht="24" customHeight="1" x14ac:dyDescent="0.2">
      <c r="A62" s="2473" t="s">
        <v>237</v>
      </c>
      <c r="B62" s="2474"/>
      <c r="C62" s="2474"/>
      <c r="D62" s="1965">
        <v>2366</v>
      </c>
      <c r="E62" s="1975">
        <f>'Expenditures 15-22'!K324</f>
        <v>0</v>
      </c>
      <c r="F62" s="1970"/>
      <c r="G62" s="2029"/>
      <c r="H62" s="2030"/>
      <c r="I62" s="2030"/>
      <c r="J62" s="2030"/>
      <c r="K62" s="2030"/>
      <c r="L62" s="2030"/>
      <c r="M62" s="2030"/>
      <c r="N62" s="1973">
        <f t="shared" si="4"/>
        <v>0</v>
      </c>
    </row>
    <row r="63" spans="1:14" ht="24" customHeight="1" x14ac:dyDescent="0.2">
      <c r="A63" s="2450" t="s">
        <v>1022</v>
      </c>
      <c r="B63" s="2451"/>
      <c r="C63" s="2451"/>
      <c r="D63" s="1965">
        <v>2367</v>
      </c>
      <c r="E63" s="1975">
        <f>'Expenditures 15-22'!K325</f>
        <v>56636</v>
      </c>
      <c r="F63" s="1970"/>
      <c r="G63" s="2029"/>
      <c r="H63" s="2030"/>
      <c r="I63" s="2030"/>
      <c r="J63" s="2030"/>
      <c r="K63" s="2030"/>
      <c r="L63" s="2030"/>
      <c r="M63" s="2030">
        <v>56636</v>
      </c>
      <c r="N63" s="1973">
        <f t="shared" si="4"/>
        <v>56636</v>
      </c>
    </row>
    <row r="64" spans="1:14" ht="24" customHeight="1" x14ac:dyDescent="0.2">
      <c r="A64" s="2473" t="s">
        <v>1023</v>
      </c>
      <c r="B64" s="2474"/>
      <c r="C64" s="2474"/>
      <c r="D64" s="1965">
        <v>2368</v>
      </c>
      <c r="E64" s="1975">
        <f>'Expenditures 15-22'!K326</f>
        <v>0</v>
      </c>
      <c r="F64" s="1970"/>
      <c r="G64" s="2029"/>
      <c r="H64" s="2030"/>
      <c r="I64" s="2030"/>
      <c r="J64" s="2030"/>
      <c r="K64" s="2030"/>
      <c r="L64" s="2030"/>
      <c r="M64" s="2030"/>
      <c r="N64" s="1973">
        <f t="shared" si="4"/>
        <v>0</v>
      </c>
    </row>
    <row r="65" spans="1:14" ht="24" customHeight="1" x14ac:dyDescent="0.2">
      <c r="A65" s="2473" t="s">
        <v>965</v>
      </c>
      <c r="B65" s="2474"/>
      <c r="C65" s="2474"/>
      <c r="D65" s="1965">
        <v>2369</v>
      </c>
      <c r="E65" s="1975">
        <f>'Expenditures 15-22'!K327</f>
        <v>9216</v>
      </c>
      <c r="F65" s="1970"/>
      <c r="G65" s="2029"/>
      <c r="H65" s="2030"/>
      <c r="I65" s="2030"/>
      <c r="J65" s="2030"/>
      <c r="K65" s="2030"/>
      <c r="L65" s="2030"/>
      <c r="M65" s="2030">
        <v>9216</v>
      </c>
      <c r="N65" s="1973">
        <f t="shared" si="4"/>
        <v>9216</v>
      </c>
    </row>
    <row r="66" spans="1:14" ht="24" customHeight="1" x14ac:dyDescent="0.2">
      <c r="A66" s="2473" t="s">
        <v>469</v>
      </c>
      <c r="B66" s="2474"/>
      <c r="C66" s="2474"/>
      <c r="D66" s="1965">
        <v>2371</v>
      </c>
      <c r="E66" s="1975">
        <f>'Expenditures 15-22'!K328</f>
        <v>0</v>
      </c>
      <c r="F66" s="1970"/>
      <c r="G66" s="2029"/>
      <c r="H66" s="2030"/>
      <c r="I66" s="2030"/>
      <c r="J66" s="2030"/>
      <c r="K66" s="2030"/>
      <c r="L66" s="2030"/>
      <c r="M66" s="2030"/>
      <c r="N66" s="1973">
        <f t="shared" si="4"/>
        <v>0</v>
      </c>
    </row>
    <row r="67" spans="1:14" ht="24.75" customHeight="1" x14ac:dyDescent="0.2">
      <c r="A67" s="2475" t="s">
        <v>2037</v>
      </c>
      <c r="B67" s="2476"/>
      <c r="C67" s="2476"/>
      <c r="D67" s="1967">
        <v>2372</v>
      </c>
      <c r="E67" s="1976">
        <f>'Expenditures 15-22'!K329</f>
        <v>0</v>
      </c>
      <c r="F67" s="1970"/>
      <c r="G67" s="2031"/>
      <c r="H67" s="2032"/>
      <c r="I67" s="2032"/>
      <c r="J67" s="2032"/>
      <c r="K67" s="2032"/>
      <c r="L67" s="2032"/>
      <c r="M67" s="2032"/>
      <c r="N67" s="1973">
        <f t="shared" si="4"/>
        <v>0</v>
      </c>
    </row>
    <row r="68" spans="1:14" x14ac:dyDescent="0.2">
      <c r="A68" s="2477" t="s">
        <v>1151</v>
      </c>
      <c r="B68" s="2478"/>
      <c r="C68" s="2478"/>
      <c r="D68" s="1968"/>
      <c r="E68" s="1972">
        <f>SUM(E57:E67)</f>
        <v>321651</v>
      </c>
      <c r="F68" s="1971"/>
      <c r="G68" s="1972">
        <f t="shared" ref="G68:N68" si="5">SUM(G57:G67)</f>
        <v>0</v>
      </c>
      <c r="H68" s="1972">
        <f t="shared" si="5"/>
        <v>0</v>
      </c>
      <c r="I68" s="1972">
        <f t="shared" si="5"/>
        <v>0</v>
      </c>
      <c r="J68" s="1972">
        <f t="shared" si="5"/>
        <v>0</v>
      </c>
      <c r="K68" s="1972">
        <f t="shared" si="5"/>
        <v>0</v>
      </c>
      <c r="L68" s="1972">
        <f t="shared" si="5"/>
        <v>0</v>
      </c>
      <c r="M68" s="1972">
        <f t="shared" si="5"/>
        <v>321651</v>
      </c>
      <c r="N68" s="1986">
        <f t="shared" si="5"/>
        <v>321651</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2038</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r:id="rId1"/>
  <headerFooter differentOddEven="1" differentFirst="1">
    <oddHeader>&amp;L&amp;8Page 32&amp;10
&amp;R&amp;8Page 32</oddHeader>
    <evenHeader>&amp;LPage 33&amp;RPage 33</evenHeader>
    <firstHeader>&amp;LPage 32&amp;RPage 32</first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21" activeCellId="1" sqref="D13 D2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70" t="s">
        <v>1593</v>
      </c>
    </row>
    <row r="23" spans="1:5" x14ac:dyDescent="0.2">
      <c r="A23" s="163"/>
      <c r="B23" s="157" t="s">
        <v>1823</v>
      </c>
      <c r="D23" s="162" t="s">
        <v>632</v>
      </c>
      <c r="E23" s="1470" t="s">
        <v>953</v>
      </c>
    </row>
    <row r="24" spans="1:5" x14ac:dyDescent="0.2">
      <c r="A24" s="163" t="s">
        <v>1591</v>
      </c>
      <c r="C24" s="157" t="s">
        <v>1159</v>
      </c>
      <c r="D24" s="162" t="s">
        <v>1377</v>
      </c>
      <c r="E24" s="165" t="s">
        <v>954</v>
      </c>
    </row>
    <row r="25" spans="1:5" x14ac:dyDescent="0.2">
      <c r="A25" s="163" t="s">
        <v>1835</v>
      </c>
      <c r="C25" s="157" t="s">
        <v>1159</v>
      </c>
      <c r="D25" s="164" t="s">
        <v>21</v>
      </c>
      <c r="E25" s="1470" t="s">
        <v>2043</v>
      </c>
    </row>
    <row r="26" spans="1:5" x14ac:dyDescent="0.2">
      <c r="A26" s="163" t="s">
        <v>1836</v>
      </c>
      <c r="C26" s="157" t="s">
        <v>1159</v>
      </c>
      <c r="D26" s="164" t="s">
        <v>559</v>
      </c>
      <c r="E26" s="1470" t="s">
        <v>678</v>
      </c>
    </row>
    <row r="27" spans="1:5" x14ac:dyDescent="0.2">
      <c r="A27" s="163" t="s">
        <v>1837</v>
      </c>
      <c r="C27" s="157" t="s">
        <v>1159</v>
      </c>
      <c r="D27" s="164" t="s">
        <v>553</v>
      </c>
      <c r="E27" s="1470" t="s">
        <v>1350</v>
      </c>
    </row>
    <row r="28" spans="1:5" x14ac:dyDescent="0.2">
      <c r="A28" s="163" t="s">
        <v>1839</v>
      </c>
      <c r="D28" s="164" t="s">
        <v>679</v>
      </c>
      <c r="E28" s="1470" t="s">
        <v>1359</v>
      </c>
    </row>
    <row r="29" spans="1:5" x14ac:dyDescent="0.2">
      <c r="A29" s="163" t="s">
        <v>1840</v>
      </c>
      <c r="D29" s="164" t="s">
        <v>1378</v>
      </c>
      <c r="E29" s="1470" t="s">
        <v>2044</v>
      </c>
    </row>
    <row r="30" spans="1:5" x14ac:dyDescent="0.2">
      <c r="A30" s="168" t="s">
        <v>1841</v>
      </c>
      <c r="C30" s="157" t="s">
        <v>1159</v>
      </c>
      <c r="D30" s="164" t="s">
        <v>40</v>
      </c>
      <c r="E30" s="165" t="s">
        <v>975</v>
      </c>
    </row>
    <row r="31" spans="1:5" x14ac:dyDescent="0.2">
      <c r="A31" s="163" t="s">
        <v>1503</v>
      </c>
      <c r="C31" s="157" t="s">
        <v>1159</v>
      </c>
      <c r="D31" s="162"/>
      <c r="E31" s="166"/>
    </row>
    <row r="32" spans="1:5" x14ac:dyDescent="0.2">
      <c r="B32" s="162" t="s">
        <v>1842</v>
      </c>
      <c r="C32" s="157" t="s">
        <v>1159</v>
      </c>
      <c r="D32" s="164" t="s">
        <v>1504</v>
      </c>
      <c r="E32" s="165" t="s">
        <v>2045</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1590</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6" t="s">
        <v>1748</v>
      </c>
    </row>
    <row r="60" spans="1:3" x14ac:dyDescent="0.2">
      <c r="A60" s="191"/>
      <c r="B60" s="1256"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58"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7"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0" sqref="A40:H4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2098</v>
      </c>
    </row>
    <row r="6" spans="1:2" x14ac:dyDescent="0.2">
      <c r="A6" s="847">
        <v>2</v>
      </c>
      <c r="B6" s="254" t="s">
        <v>2099</v>
      </c>
    </row>
    <row r="7" spans="1:2" x14ac:dyDescent="0.2">
      <c r="A7" s="847">
        <v>3</v>
      </c>
      <c r="B7" s="254" t="s">
        <v>2101</v>
      </c>
    </row>
    <row r="8" spans="1:2" x14ac:dyDescent="0.2">
      <c r="A8" s="847">
        <v>4</v>
      </c>
      <c r="B8" s="254" t="s">
        <v>2100</v>
      </c>
    </row>
    <row r="9" spans="1:2" x14ac:dyDescent="0.2">
      <c r="A9" s="847">
        <v>5</v>
      </c>
      <c r="B9" s="254" t="s">
        <v>2102</v>
      </c>
    </row>
    <row r="10" spans="1:2" x14ac:dyDescent="0.2">
      <c r="A10" s="847">
        <v>6</v>
      </c>
      <c r="B10" s="254" t="s">
        <v>2103</v>
      </c>
    </row>
    <row r="11" spans="1:2" x14ac:dyDescent="0.2">
      <c r="A11" s="847">
        <v>7</v>
      </c>
      <c r="B11" s="254" t="s">
        <v>2104</v>
      </c>
    </row>
    <row r="12" spans="1:2" x14ac:dyDescent="0.2">
      <c r="A12" s="847"/>
      <c r="B12" s="254" t="s">
        <v>2105</v>
      </c>
    </row>
    <row r="13" spans="1:2" x14ac:dyDescent="0.2">
      <c r="A13" s="847">
        <v>8</v>
      </c>
      <c r="B13" s="254" t="s">
        <v>2106</v>
      </c>
    </row>
    <row r="14" spans="1:2" x14ac:dyDescent="0.2">
      <c r="A14" s="847">
        <v>9</v>
      </c>
      <c r="B14" s="254" t="s">
        <v>2107</v>
      </c>
    </row>
    <row r="15" spans="1:2" x14ac:dyDescent="0.2">
      <c r="A15" s="847"/>
      <c r="B15" s="254" t="s">
        <v>2105</v>
      </c>
    </row>
    <row r="16" spans="1:2" x14ac:dyDescent="0.2">
      <c r="A16" s="847"/>
      <c r="B16" s="254"/>
    </row>
    <row r="17" spans="1:2" x14ac:dyDescent="0.2">
      <c r="A17" s="847"/>
      <c r="B17" s="254"/>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Mt Vernon Twp HSD 201</v>
      </c>
    </row>
    <row r="65" spans="2:2" x14ac:dyDescent="0.2">
      <c r="B65" s="849">
        <f>COVER!A13</f>
        <v>13041201017</v>
      </c>
    </row>
  </sheetData>
  <phoneticPr fontId="15" type="noConversion"/>
  <pageMargins left="0.2" right="0.2" top="1.17" bottom="0.75" header="0.19" footer="0.16"/>
  <pageSetup scale="80" firstPageNumber="34" orientation="portrait" useFirstPageNumber="1" r:id="rId1"/>
  <headerFooter alignWithMargins="0">
    <oddHeader>&amp;L&amp;8Page 34&amp;C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&amp;L&amp;8Page 35
&amp;R&amp;8Page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479" t="s">
        <v>1664</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1190625</xdr:colOff>
                <xdr:row>1</xdr:row>
                <xdr:rowOff>0</xdr:rowOff>
              </from>
              <to>
                <xdr:col>1</xdr:col>
                <xdr:colOff>2105025</xdr:colOff>
                <xdr:row>5</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1143000</xdr:colOff>
                <xdr:row>7</xdr:row>
                <xdr:rowOff>123825</xdr:rowOff>
              </from>
              <to>
                <xdr:col>1</xdr:col>
                <xdr:colOff>2057400</xdr:colOff>
                <xdr:row>12</xdr:row>
                <xdr:rowOff>0</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2295525</xdr:colOff>
                <xdr:row>1</xdr:row>
                <xdr:rowOff>57150</xdr:rowOff>
              </from>
              <to>
                <xdr:col>1</xdr:col>
                <xdr:colOff>3209925</xdr:colOff>
                <xdr:row>5</xdr:row>
                <xdr:rowOff>95250</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Acrobat Document" dvAspect="DVASPECT_ICON" shapeId="45061" r:id="rId12">
          <objectPr defaultSize="0" r:id="rId13">
            <anchor moveWithCells="1">
              <from>
                <xdr:col>1</xdr:col>
                <xdr:colOff>2352675</xdr:colOff>
                <xdr:row>7</xdr:row>
                <xdr:rowOff>104775</xdr:rowOff>
              </from>
              <to>
                <xdr:col>1</xdr:col>
                <xdr:colOff>3267075</xdr:colOff>
                <xdr:row>11</xdr:row>
                <xdr:rowOff>142875</xdr:rowOff>
              </to>
            </anchor>
          </objectPr>
        </oleObject>
      </mc:Choice>
      <mc:Fallback>
        <oleObject progId="Acrobat Document" dvAspect="DVASPECT_ICON" shapeId="45061" r:id="rId12"/>
      </mc:Fallback>
    </mc:AlternateContent>
    <mc:AlternateContent xmlns:mc="http://schemas.openxmlformats.org/markup-compatibility/2006">
      <mc:Choice Requires="x14">
        <oleObject progId="Acrobat Document" dvAspect="DVASPECT_ICON" shapeId="45062" r:id="rId14">
          <objectPr defaultSize="0" r:id="rId15">
            <anchor moveWithCells="1">
              <from>
                <xdr:col>1</xdr:col>
                <xdr:colOff>38100</xdr:colOff>
                <xdr:row>0</xdr:row>
                <xdr:rowOff>114300</xdr:rowOff>
              </from>
              <to>
                <xdr:col>1</xdr:col>
                <xdr:colOff>952500</xdr:colOff>
                <xdr:row>4</xdr:row>
                <xdr:rowOff>152400</xdr:rowOff>
              </to>
            </anchor>
          </objectPr>
        </oleObject>
      </mc:Choice>
      <mc:Fallback>
        <oleObject progId="Acrobat Document" dvAspect="DVASPECT_ICON" shapeId="45062" r:id="rId1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1668</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1967</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1669</v>
      </c>
      <c r="B6" s="2497"/>
      <c r="C6" s="2497"/>
      <c r="D6" s="2497"/>
      <c r="E6" s="2497"/>
      <c r="F6" s="2498"/>
    </row>
    <row r="7" spans="1:8" ht="42" customHeight="1" x14ac:dyDescent="0.2">
      <c r="A7" s="855" t="s">
        <v>478</v>
      </c>
      <c r="B7" s="856" t="s">
        <v>1478</v>
      </c>
      <c r="C7" s="856" t="s">
        <v>1479</v>
      </c>
      <c r="D7" s="856" t="s">
        <v>1477</v>
      </c>
      <c r="E7" s="856" t="s">
        <v>1480</v>
      </c>
      <c r="F7" s="856" t="s">
        <v>1351</v>
      </c>
    </row>
    <row r="8" spans="1:8" s="858" customFormat="1" ht="14.25" customHeight="1" x14ac:dyDescent="0.2">
      <c r="A8" s="857" t="s">
        <v>1352</v>
      </c>
      <c r="B8" s="1813">
        <f>'Acct Summary 7-8'!C8</f>
        <v>13106492</v>
      </c>
      <c r="C8" s="1813">
        <f>'Acct Summary 7-8'!D8</f>
        <v>1984295</v>
      </c>
      <c r="D8" s="1813">
        <f>'Acct Summary 7-8'!F8</f>
        <v>1191032</v>
      </c>
      <c r="E8" s="1813">
        <f>'Acct Summary 7-8'!I8</f>
        <v>216763</v>
      </c>
      <c r="F8" s="1813">
        <f>SUM(B8:E8)</f>
        <v>16498582</v>
      </c>
    </row>
    <row r="9" spans="1:8" s="858" customFormat="1" ht="14.25" customHeight="1" thickBot="1" x14ac:dyDescent="0.25">
      <c r="A9" s="857" t="s">
        <v>1353</v>
      </c>
      <c r="B9" s="1814">
        <f>'Acct Summary 7-8'!C17</f>
        <v>12624928</v>
      </c>
      <c r="C9" s="1814">
        <f>'Acct Summary 7-8'!D17</f>
        <v>1433125</v>
      </c>
      <c r="D9" s="1814">
        <f>'Acct Summary 7-8'!F17</f>
        <v>803577</v>
      </c>
      <c r="E9" s="1813"/>
      <c r="F9" s="1813">
        <f>SUM(B9:E9)</f>
        <v>14861630</v>
      </c>
    </row>
    <row r="10" spans="1:8" s="858" customFormat="1" ht="14.25" thickTop="1" thickBot="1" x14ac:dyDescent="0.25">
      <c r="A10" s="859" t="s">
        <v>1354</v>
      </c>
      <c r="B10" s="1815">
        <f>(B8-B9)</f>
        <v>481564</v>
      </c>
      <c r="C10" s="1815">
        <f>(C8-C9)</f>
        <v>551170</v>
      </c>
      <c r="D10" s="1815">
        <f>(D8-D9)</f>
        <v>387455</v>
      </c>
      <c r="E10" s="1814">
        <f>(E8-E9)</f>
        <v>216763</v>
      </c>
      <c r="F10" s="1816">
        <f>SUM(F8-F9)</f>
        <v>1636952</v>
      </c>
    </row>
    <row r="11" spans="1:8" s="858" customFormat="1" ht="14.25" thickTop="1" thickBot="1" x14ac:dyDescent="0.25">
      <c r="A11" s="860" t="s">
        <v>1898</v>
      </c>
      <c r="B11" s="1817">
        <f>'Acct Summary 7-8'!C81</f>
        <v>5799605</v>
      </c>
      <c r="C11" s="1817">
        <f>'Acct Summary 7-8'!D81</f>
        <v>1682433</v>
      </c>
      <c r="D11" s="1817">
        <f>'Acct Summary 7-8'!F81</f>
        <v>1421723</v>
      </c>
      <c r="E11" s="1817">
        <f>'Acct Summary 7-8'!I81</f>
        <v>1329747</v>
      </c>
      <c r="F11" s="1818">
        <f>SUM(B11:E11)</f>
        <v>10233508</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1665</v>
      </c>
      <c r="B16" s="2483"/>
      <c r="C16" s="2483"/>
      <c r="D16" s="2483"/>
      <c r="E16" s="2483"/>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36&amp;R&amp;8Page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B41" colorId="8" zoomScale="110" zoomScaleNormal="110" workbookViewId="0">
      <selection activeCell="A40" sqref="A40:H4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1486</v>
      </c>
      <c r="D7" s="2517"/>
    </row>
    <row r="8" spans="1:4" s="542" customFormat="1" ht="12.75" x14ac:dyDescent="0.2">
      <c r="A8" s="917"/>
      <c r="B8" s="872"/>
      <c r="C8" s="875" t="s">
        <v>1485</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520" t="s">
        <v>311</v>
      </c>
      <c r="D21" s="2521"/>
    </row>
    <row r="22" spans="1:10" ht="12.75" x14ac:dyDescent="0.2">
      <c r="A22" s="918"/>
      <c r="B22" s="919">
        <v>2</v>
      </c>
      <c r="C22" s="2518" t="s">
        <v>1506</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514" t="s">
        <v>1673</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x14ac:dyDescent="0.2">
      <c r="A82" s="877"/>
      <c r="B82" s="899">
        <v>15</v>
      </c>
      <c r="C82" s="909" t="s">
        <v>1879</v>
      </c>
      <c r="D82" s="1899"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 zoomScale="110" zoomScaleNormal="110" workbookViewId="0">
      <selection activeCell="A40" sqref="A40:H4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 xml:space="preserve">  Mt Vernon Twp HSD 201</v>
      </c>
      <c r="B7" s="2548"/>
      <c r="C7" s="2548"/>
      <c r="D7" s="2549"/>
      <c r="E7" s="2550">
        <f>COVER!A13</f>
        <v>13041201017</v>
      </c>
      <c r="F7" s="2551"/>
      <c r="G7" s="2557" t="str">
        <f>COVER!T23</f>
        <v>060-004252</v>
      </c>
      <c r="H7" s="2558"/>
      <c r="I7" s="2558"/>
      <c r="J7" s="2558"/>
      <c r="K7" s="2558"/>
      <c r="L7" s="2559"/>
    </row>
    <row r="8" spans="1:29" ht="13.5" customHeight="1" x14ac:dyDescent="0.2">
      <c r="A8" s="963" t="s">
        <v>1499</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Emling &amp; Hoffman, PC</v>
      </c>
      <c r="H9" s="2563"/>
      <c r="I9" s="2563"/>
      <c r="J9" s="2563"/>
      <c r="K9" s="2563"/>
      <c r="L9" s="2564"/>
    </row>
    <row r="10" spans="1:29" ht="13.5" customHeight="1" x14ac:dyDescent="0.2">
      <c r="A10" s="2536" t="str">
        <f>COVER!A38</f>
        <v>Melanie Andrews</v>
      </c>
      <c r="B10" s="2537"/>
      <c r="C10" s="2537"/>
      <c r="D10" s="2537"/>
      <c r="E10" s="2537"/>
      <c r="F10" s="2538"/>
      <c r="G10" s="2530" t="str">
        <f>COVER!T17</f>
        <v>1191 West Saint Louis Street</v>
      </c>
      <c r="H10" s="2531"/>
      <c r="I10" s="2531"/>
      <c r="J10" s="2531"/>
      <c r="K10" s="2531"/>
      <c r="L10" s="2532"/>
    </row>
    <row r="11" spans="1:29" ht="13.5" customHeight="1" x14ac:dyDescent="0.2">
      <c r="A11" s="963" t="s">
        <v>1501</v>
      </c>
      <c r="B11" s="964"/>
      <c r="C11" s="965"/>
      <c r="D11" s="970"/>
      <c r="E11" s="965"/>
      <c r="F11" s="969"/>
      <c r="G11" s="2530" t="str">
        <f>COVER!T19</f>
        <v>Nashville</v>
      </c>
      <c r="H11" s="2531"/>
      <c r="I11" s="2531"/>
      <c r="J11" s="2531"/>
      <c r="K11" s="2531"/>
      <c r="L11" s="2532"/>
    </row>
    <row r="12" spans="1:29" ht="13.5" customHeight="1" x14ac:dyDescent="0.2">
      <c r="A12" s="2539" t="s">
        <v>1500</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1502</v>
      </c>
      <c r="H13" s="2526"/>
      <c r="I13" s="2542" t="str">
        <f>COVER!T25</f>
        <v>donhoffman@emlingcpa.com</v>
      </c>
      <c r="J13" s="2543"/>
      <c r="K13" s="2543"/>
      <c r="L13" s="2544"/>
    </row>
    <row r="14" spans="1:29" ht="13.5" customHeight="1" x14ac:dyDescent="0.2">
      <c r="A14" s="2530" t="str">
        <f>COVER!A19</f>
        <v>11101 N Wells Bypass Rd</v>
      </c>
      <c r="B14" s="2531"/>
      <c r="C14" s="2531"/>
      <c r="D14" s="2531"/>
      <c r="E14" s="2531"/>
      <c r="F14" s="2532"/>
      <c r="G14" s="974" t="s">
        <v>1175</v>
      </c>
      <c r="H14" s="972"/>
      <c r="I14" s="972"/>
      <c r="J14" s="972"/>
      <c r="K14" s="972"/>
      <c r="L14" s="973"/>
    </row>
    <row r="15" spans="1:29" ht="13.5" customHeight="1" x14ac:dyDescent="0.2">
      <c r="A15" s="2530" t="str">
        <f>COVER!A21</f>
        <v>Mt. Vernon</v>
      </c>
      <c r="B15" s="2531"/>
      <c r="C15" s="2531"/>
      <c r="D15" s="2531"/>
      <c r="E15" s="2531"/>
      <c r="F15" s="2532"/>
      <c r="G15" s="2527" t="str">
        <f>COVER!T15</f>
        <v>Donald L Hoffman</v>
      </c>
      <c r="H15" s="2528"/>
      <c r="I15" s="2528"/>
      <c r="J15" s="2528"/>
      <c r="K15" s="2528"/>
      <c r="L15" s="2529"/>
    </row>
    <row r="16" spans="1:29" ht="12.2" customHeight="1" x14ac:dyDescent="0.2">
      <c r="A16" s="2553">
        <f>COVER!A25</f>
        <v>62864</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618-327-4375</v>
      </c>
      <c r="H18" s="2548"/>
      <c r="I18" s="2548"/>
      <c r="J18" s="2548"/>
      <c r="K18" s="2547" t="str">
        <f>COVER!X21</f>
        <v>618-327-4376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2046</v>
      </c>
      <c r="C26" s="981" t="s">
        <v>1676</v>
      </c>
    </row>
    <row r="27" spans="1:13" s="977" customFormat="1" ht="9" customHeight="1" x14ac:dyDescent="0.2">
      <c r="B27" s="982"/>
      <c r="C27" s="981"/>
    </row>
    <row r="28" spans="1:13" s="977" customFormat="1" ht="12.2" customHeight="1" x14ac:dyDescent="0.2">
      <c r="A28" s="984"/>
      <c r="B28" s="980" t="s">
        <v>2046</v>
      </c>
      <c r="C28" s="981" t="s">
        <v>1677</v>
      </c>
    </row>
    <row r="29" spans="1:13" s="977" customFormat="1" ht="9" customHeight="1" x14ac:dyDescent="0.2">
      <c r="A29" s="984"/>
      <c r="B29" s="982"/>
      <c r="C29" s="981"/>
    </row>
    <row r="30" spans="1:13" s="977" customFormat="1" ht="12.2" customHeight="1" x14ac:dyDescent="0.2">
      <c r="B30" s="980" t="s">
        <v>2046</v>
      </c>
      <c r="C30" s="981" t="s">
        <v>1544</v>
      </c>
      <c r="D30" s="975"/>
      <c r="E30" s="975"/>
    </row>
    <row r="31" spans="1:13" s="977" customFormat="1" ht="9" customHeight="1" x14ac:dyDescent="0.2">
      <c r="B31" s="982"/>
      <c r="C31" s="981"/>
      <c r="D31" s="975"/>
      <c r="E31" s="975"/>
    </row>
    <row r="32" spans="1:13" s="977" customFormat="1" ht="12.2" customHeight="1" x14ac:dyDescent="0.2">
      <c r="B32" s="980" t="s">
        <v>2046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2046</v>
      </c>
      <c r="C38" s="981" t="s">
        <v>1548</v>
      </c>
    </row>
    <row r="39" spans="1:8" ht="9" customHeight="1" x14ac:dyDescent="0.2">
      <c r="B39" s="982"/>
      <c r="C39" s="985"/>
    </row>
    <row r="40" spans="1:8" s="977" customFormat="1" ht="13.5" customHeight="1" x14ac:dyDescent="0.2">
      <c r="B40" s="980" t="s">
        <v>2046</v>
      </c>
      <c r="C40" s="981" t="s">
        <v>1549</v>
      </c>
    </row>
    <row r="41" spans="1:8" ht="9" customHeight="1" x14ac:dyDescent="0.2">
      <c r="A41" s="986"/>
      <c r="B41" s="982"/>
      <c r="C41" s="985"/>
    </row>
    <row r="42" spans="1:8" s="977" customFormat="1" ht="13.5" customHeight="1" x14ac:dyDescent="0.2">
      <c r="B42" s="980" t="s">
        <v>2046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2046</v>
      </c>
      <c r="C46" s="988" t="s">
        <v>1550</v>
      </c>
      <c r="D46" s="975"/>
      <c r="E46" s="975"/>
      <c r="F46" s="975"/>
      <c r="G46" s="975"/>
      <c r="H46" s="975"/>
    </row>
    <row r="47" spans="1:8" ht="9" customHeight="1" x14ac:dyDescent="0.2"/>
    <row r="48" spans="1:8" ht="12.2" customHeight="1" x14ac:dyDescent="0.2">
      <c r="B48" s="1541" t="s">
        <v>2046</v>
      </c>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7" zoomScale="125" zoomScaleNormal="125" workbookViewId="0">
      <selection activeCell="A40" sqref="A40:H4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Mt Vernon Twp HSD 201</v>
      </c>
      <c r="B1" s="2570"/>
      <c r="C1" s="2570"/>
      <c r="D1" s="2570"/>
    </row>
    <row r="2" spans="1:11" s="991" customFormat="1" ht="12.75" x14ac:dyDescent="0.2">
      <c r="A2" s="2571">
        <f>'Single Audit Cover'!E7</f>
        <v>13041201017</v>
      </c>
      <c r="B2" s="2572"/>
      <c r="C2" s="2572"/>
      <c r="D2" s="2572"/>
    </row>
    <row r="3" spans="1:11" s="991" customFormat="1" ht="12.75" x14ac:dyDescent="0.2">
      <c r="A3" s="2569" t="s">
        <v>1495</v>
      </c>
      <c r="B3" s="2570"/>
      <c r="C3" s="2570"/>
      <c r="D3" s="2570"/>
    </row>
    <row r="4" spans="1:11" s="991" customFormat="1" ht="4.5" customHeight="1" x14ac:dyDescent="0.2">
      <c r="A4" s="992"/>
      <c r="B4" s="993"/>
      <c r="C4" s="993"/>
      <c r="D4" s="993"/>
    </row>
    <row r="5" spans="1:11" x14ac:dyDescent="0.2">
      <c r="B5" s="995" t="s">
        <v>1496</v>
      </c>
      <c r="C5" s="996"/>
      <c r="D5" s="997"/>
    </row>
    <row r="6" spans="1:11" x14ac:dyDescent="0.2">
      <c r="B6" s="995" t="s">
        <v>1214</v>
      </c>
      <c r="C6" s="996"/>
      <c r="D6" s="997"/>
    </row>
    <row r="7" spans="1:11" x14ac:dyDescent="0.2">
      <c r="B7" s="995" t="s">
        <v>1497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0" sqref="A40:H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Mt Vernon Twp HSD 201</v>
      </c>
      <c r="B1" s="2574"/>
      <c r="C1" s="2574"/>
      <c r="D1" s="2574"/>
      <c r="E1" s="2574"/>
    </row>
    <row r="2" spans="1:5" x14ac:dyDescent="0.2">
      <c r="A2" s="2575">
        <f>'Single Audit Cover'!E7</f>
        <v>13041201017</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1429509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36567</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-177989</v>
      </c>
    </row>
    <row r="19" spans="1:4" ht="13.5" thickBot="1" x14ac:dyDescent="0.25">
      <c r="A19" s="1041" t="s">
        <v>1224</v>
      </c>
      <c r="D19" s="1042">
        <f>SUM(D10:D17)</f>
        <v>1288087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1288087</v>
      </c>
    </row>
    <row r="33" spans="1:4" x14ac:dyDescent="0.2">
      <c r="D33" s="1045"/>
    </row>
    <row r="34" spans="1:4" x14ac:dyDescent="0.2">
      <c r="A34" s="295" t="s">
        <v>1221</v>
      </c>
    </row>
    <row r="35" spans="1:4" x14ac:dyDescent="0.2">
      <c r="A35" s="295" t="s">
        <v>1220</v>
      </c>
      <c r="B35" s="1034" t="s">
        <v>1219</v>
      </c>
      <c r="D35" s="1046">
        <v>1288088</v>
      </c>
    </row>
    <row r="37" spans="1:4" x14ac:dyDescent="0.2">
      <c r="A37" s="1036" t="s">
        <v>1218</v>
      </c>
    </row>
    <row r="39" spans="1:4" ht="13.35" customHeight="1" x14ac:dyDescent="0.2">
      <c r="A39" s="1043" t="s">
        <v>1217</v>
      </c>
    </row>
    <row r="40" spans="1:4" x14ac:dyDescent="0.2">
      <c r="A40" s="2573" t="s">
        <v>2157</v>
      </c>
      <c r="B40" s="2573"/>
      <c r="D40" s="1044">
        <v>-1</v>
      </c>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1288087</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OU152"/>
  <sheetViews>
    <sheetView showGridLines="0" topLeftCell="A10"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087" ht="11.85" customHeight="1" x14ac:dyDescent="0.2">
      <c r="B1" s="2556" t="str">
        <f>'Single Audit Cover'!A7</f>
        <v xml:space="preserve">  Mt Vernon Twp HSD 201</v>
      </c>
      <c r="C1" s="2578"/>
      <c r="D1" s="2578"/>
      <c r="E1" s="2578"/>
      <c r="F1" s="2578"/>
      <c r="G1" s="2578"/>
      <c r="H1" s="2578"/>
      <c r="I1" s="2578"/>
      <c r="J1" s="2578"/>
      <c r="K1" s="2578"/>
      <c r="L1" s="2578"/>
      <c r="M1" s="2578"/>
    </row>
    <row r="2" spans="2:1087" ht="15" x14ac:dyDescent="0.2">
      <c r="B2" s="2579">
        <f>'Single Audit Cover'!E7</f>
        <v>13041201017</v>
      </c>
      <c r="C2" s="2579"/>
      <c r="D2" s="2579"/>
      <c r="E2" s="2579"/>
      <c r="F2" s="2579"/>
      <c r="G2" s="2579"/>
      <c r="H2" s="2579"/>
      <c r="I2" s="2579"/>
      <c r="J2" s="2579"/>
      <c r="K2" s="2579"/>
      <c r="L2" s="2579"/>
      <c r="M2" s="2579"/>
      <c r="N2" s="1078"/>
    </row>
    <row r="3" spans="2:1087" ht="15" x14ac:dyDescent="0.2">
      <c r="B3" s="2580" t="s">
        <v>1208</v>
      </c>
      <c r="C3" s="2580"/>
      <c r="D3" s="2580"/>
      <c r="E3" s="2580"/>
      <c r="F3" s="2580"/>
      <c r="G3" s="2580"/>
      <c r="H3" s="2580"/>
      <c r="I3" s="2580"/>
      <c r="J3" s="2580"/>
      <c r="K3" s="2580"/>
      <c r="L3" s="2580"/>
      <c r="M3" s="2580"/>
      <c r="N3" s="1078"/>
    </row>
    <row r="4" spans="2:1087" ht="15" x14ac:dyDescent="0.2">
      <c r="B4" s="2581" t="str">
        <f>'Single Audit Cover'!A4</f>
        <v>Year Ending June 30, 2020</v>
      </c>
      <c r="C4" s="2581"/>
      <c r="D4" s="2581"/>
      <c r="E4" s="2581"/>
      <c r="F4" s="2581"/>
      <c r="G4" s="2581"/>
      <c r="H4" s="2581"/>
      <c r="I4" s="2581"/>
      <c r="J4" s="2581"/>
      <c r="K4" s="2581"/>
      <c r="L4" s="2581"/>
      <c r="M4" s="2581"/>
      <c r="N4" s="1078"/>
    </row>
    <row r="5" spans="2:1087" x14ac:dyDescent="0.2">
      <c r="H5" s="1913"/>
      <c r="J5" s="1913"/>
    </row>
    <row r="6" spans="2:1087" x14ac:dyDescent="0.2">
      <c r="B6" s="1079"/>
      <c r="C6" s="1080"/>
      <c r="D6" s="1081" t="s">
        <v>1254</v>
      </c>
      <c r="E6" s="1082" t="s">
        <v>524</v>
      </c>
      <c r="F6" s="1083"/>
      <c r="G6" s="1084" t="s">
        <v>1707</v>
      </c>
      <c r="H6" s="1082"/>
      <c r="I6" s="1082"/>
      <c r="J6" s="1914"/>
      <c r="K6" s="1085"/>
      <c r="L6" s="1086"/>
      <c r="M6" s="1087"/>
    </row>
    <row r="7" spans="2:1087" x14ac:dyDescent="0.2">
      <c r="B7" s="1088" t="s">
        <v>1563</v>
      </c>
      <c r="C7" s="1089"/>
      <c r="D7" s="1090"/>
      <c r="E7" s="1091"/>
      <c r="F7" s="1092"/>
      <c r="G7" s="1091"/>
      <c r="H7" s="1093" t="s">
        <v>1251</v>
      </c>
      <c r="I7" s="1091"/>
      <c r="J7" s="1094" t="s">
        <v>1251</v>
      </c>
      <c r="K7" s="1095"/>
      <c r="L7" s="1096" t="s">
        <v>1249</v>
      </c>
      <c r="M7" s="1097"/>
    </row>
    <row r="8" spans="2:1087"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087" ht="14.25" x14ac:dyDescent="0.2">
      <c r="B9" s="1101" t="s">
        <v>1248</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1247</v>
      </c>
      <c r="L9" s="1102" t="s">
        <v>1565</v>
      </c>
      <c r="M9" s="1097"/>
    </row>
    <row r="10" spans="2:1087"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087" ht="20.100000000000001" customHeight="1" x14ac:dyDescent="0.2">
      <c r="B11" s="2035" t="s">
        <v>2108</v>
      </c>
      <c r="C11" s="1821"/>
      <c r="D11" s="1822"/>
      <c r="E11" s="1823"/>
      <c r="F11" s="1823"/>
      <c r="G11" s="1823"/>
      <c r="H11" s="1823"/>
      <c r="I11" s="1823"/>
      <c r="J11" s="1823"/>
      <c r="K11" s="1823"/>
      <c r="L11" s="1823"/>
      <c r="M11" s="1823"/>
    </row>
    <row r="12" spans="2:1087" ht="20.100000000000001" customHeight="1" x14ac:dyDescent="0.2">
      <c r="B12" s="2035" t="s">
        <v>2109</v>
      </c>
      <c r="C12" s="1824"/>
      <c r="D12" s="1825"/>
      <c r="E12" s="1826"/>
      <c r="F12" s="1826"/>
      <c r="G12" s="1826"/>
      <c r="H12" s="1826"/>
      <c r="I12" s="1826"/>
      <c r="J12" s="1826"/>
      <c r="K12" s="1826"/>
      <c r="L12" s="1823"/>
      <c r="M12" s="1826"/>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c r="HV12" s="300"/>
      <c r="HW12" s="300"/>
      <c r="HX12" s="300"/>
      <c r="HY12" s="300"/>
      <c r="HZ12" s="300"/>
      <c r="IA12" s="300"/>
      <c r="IB12" s="300"/>
      <c r="IC12" s="300"/>
      <c r="ID12" s="300"/>
      <c r="IE12" s="300"/>
      <c r="IF12" s="300"/>
      <c r="IG12" s="300"/>
      <c r="IH12" s="300"/>
      <c r="II12" s="300"/>
      <c r="IJ12" s="300"/>
      <c r="IK12" s="300"/>
      <c r="IL12" s="300"/>
      <c r="IM12" s="300"/>
      <c r="IN12" s="300"/>
      <c r="IO12" s="300"/>
      <c r="IP12" s="300"/>
      <c r="IQ12" s="300"/>
      <c r="IR12" s="300"/>
      <c r="IS12" s="300"/>
      <c r="IT12" s="300"/>
      <c r="IU12" s="300"/>
      <c r="IV12" s="300"/>
      <c r="IW12" s="300"/>
      <c r="IX12" s="300"/>
      <c r="IY12" s="300"/>
      <c r="IZ12" s="300"/>
      <c r="JA12" s="300"/>
      <c r="JB12" s="300"/>
      <c r="JC12" s="300"/>
      <c r="JD12" s="300"/>
      <c r="JE12" s="300"/>
      <c r="JF12" s="300"/>
      <c r="JG12" s="300"/>
      <c r="JH12" s="300"/>
      <c r="JI12" s="300"/>
      <c r="JJ12" s="300"/>
      <c r="JK12" s="300"/>
      <c r="JL12" s="300"/>
      <c r="JM12" s="300"/>
      <c r="JN12" s="300"/>
      <c r="JO12" s="300"/>
      <c r="JP12" s="300"/>
      <c r="JQ12" s="300"/>
      <c r="JR12" s="300"/>
      <c r="JS12" s="300"/>
      <c r="JT12" s="300"/>
      <c r="JU12" s="300"/>
      <c r="JV12" s="300"/>
      <c r="JW12" s="300"/>
      <c r="JX12" s="300"/>
      <c r="JY12" s="300"/>
      <c r="JZ12" s="300"/>
      <c r="KA12" s="300"/>
      <c r="KB12" s="300"/>
      <c r="KC12" s="300"/>
      <c r="KD12" s="300"/>
      <c r="KE12" s="300"/>
      <c r="KF12" s="300"/>
      <c r="KG12" s="300"/>
      <c r="KH12" s="300"/>
      <c r="KI12" s="300"/>
      <c r="KJ12" s="300"/>
      <c r="KK12" s="300"/>
      <c r="KL12" s="300"/>
      <c r="KM12" s="300"/>
      <c r="KN12" s="300"/>
      <c r="KO12" s="300"/>
      <c r="KP12" s="300"/>
      <c r="KQ12" s="300"/>
      <c r="KR12" s="300"/>
      <c r="KS12" s="300"/>
      <c r="KT12" s="300"/>
      <c r="KU12" s="300"/>
      <c r="KV12" s="300"/>
      <c r="KW12" s="300"/>
      <c r="KX12" s="300"/>
      <c r="KY12" s="300"/>
      <c r="KZ12" s="300"/>
      <c r="LA12" s="300"/>
      <c r="LB12" s="300"/>
      <c r="LC12" s="300"/>
      <c r="LD12" s="300"/>
      <c r="LE12" s="300"/>
      <c r="LF12" s="300"/>
      <c r="LG12" s="300"/>
      <c r="LH12" s="300"/>
      <c r="LI12" s="300"/>
      <c r="LJ12" s="300"/>
      <c r="LK12" s="300"/>
      <c r="LL12" s="300"/>
      <c r="LM12" s="300"/>
      <c r="LN12" s="300"/>
      <c r="LO12" s="300"/>
      <c r="LP12" s="300"/>
      <c r="LQ12" s="300"/>
      <c r="LR12" s="300"/>
      <c r="LS12" s="300"/>
      <c r="LT12" s="300"/>
      <c r="LU12" s="300"/>
      <c r="LV12" s="300"/>
      <c r="LW12" s="300"/>
      <c r="LX12" s="300"/>
      <c r="LY12" s="300"/>
      <c r="LZ12" s="300"/>
      <c r="MA12" s="300"/>
      <c r="MB12" s="300"/>
      <c r="MC12" s="300"/>
      <c r="MD12" s="300"/>
      <c r="ME12" s="300"/>
      <c r="MF12" s="300"/>
      <c r="MG12" s="300"/>
      <c r="MH12" s="300"/>
      <c r="MI12" s="300"/>
      <c r="MJ12" s="300"/>
      <c r="MK12" s="300"/>
      <c r="ML12" s="300"/>
      <c r="MM12" s="300"/>
      <c r="MN12" s="300"/>
      <c r="MO12" s="300"/>
      <c r="MP12" s="300"/>
      <c r="MQ12" s="300"/>
      <c r="MR12" s="300"/>
      <c r="MS12" s="300"/>
      <c r="MT12" s="300"/>
      <c r="MU12" s="300"/>
      <c r="MV12" s="300"/>
      <c r="MW12" s="300"/>
      <c r="MX12" s="300"/>
      <c r="MY12" s="300"/>
      <c r="MZ12" s="300"/>
      <c r="NA12" s="300"/>
      <c r="NB12" s="300"/>
      <c r="NC12" s="300"/>
      <c r="ND12" s="300"/>
      <c r="NE12" s="300"/>
      <c r="NF12" s="300"/>
      <c r="NG12" s="300"/>
      <c r="NH12" s="300"/>
      <c r="NI12" s="300"/>
      <c r="NJ12" s="300"/>
      <c r="NK12" s="300"/>
      <c r="NL12" s="300"/>
      <c r="NM12" s="300"/>
      <c r="NN12" s="300"/>
      <c r="NO12" s="300"/>
      <c r="NP12" s="300"/>
      <c r="NQ12" s="300"/>
      <c r="NR12" s="300"/>
      <c r="NS12" s="300"/>
      <c r="NT12" s="300"/>
      <c r="NU12" s="300"/>
      <c r="NV12" s="300"/>
      <c r="NW12" s="300"/>
      <c r="NX12" s="300"/>
      <c r="NY12" s="300"/>
      <c r="NZ12" s="300"/>
      <c r="OA12" s="300"/>
      <c r="OB12" s="300"/>
      <c r="OC12" s="300"/>
      <c r="OD12" s="300"/>
      <c r="OE12" s="300"/>
      <c r="OF12" s="300"/>
      <c r="OG12" s="300"/>
      <c r="OH12" s="300"/>
      <c r="OI12" s="300"/>
      <c r="OJ12" s="300"/>
      <c r="OK12" s="300"/>
      <c r="OL12" s="300"/>
      <c r="OM12" s="300"/>
      <c r="ON12" s="300"/>
      <c r="OO12" s="300"/>
      <c r="OP12" s="300"/>
      <c r="OQ12" s="300"/>
      <c r="OR12" s="300"/>
      <c r="OS12" s="300"/>
      <c r="OT12" s="300"/>
      <c r="OU12" s="300"/>
      <c r="OV12" s="300"/>
      <c r="OW12" s="300"/>
      <c r="OX12" s="300"/>
      <c r="OY12" s="300"/>
      <c r="OZ12" s="300"/>
      <c r="PA12" s="300"/>
      <c r="PB12" s="300"/>
      <c r="PC12" s="300"/>
      <c r="PD12" s="300"/>
      <c r="PE12" s="300"/>
      <c r="PF12" s="300"/>
      <c r="PG12" s="300"/>
      <c r="PH12" s="300"/>
      <c r="PI12" s="300"/>
      <c r="PJ12" s="300"/>
      <c r="PK12" s="300"/>
      <c r="PL12" s="300"/>
      <c r="PM12" s="300"/>
      <c r="PN12" s="300"/>
      <c r="PO12" s="300"/>
      <c r="PP12" s="300"/>
      <c r="PQ12" s="300"/>
      <c r="PR12" s="300"/>
      <c r="PS12" s="300"/>
      <c r="PT12" s="300"/>
      <c r="PU12" s="300"/>
      <c r="PV12" s="300"/>
      <c r="PW12" s="300"/>
      <c r="PX12" s="300"/>
      <c r="PY12" s="300"/>
      <c r="PZ12" s="300"/>
      <c r="QA12" s="300"/>
      <c r="QB12" s="300"/>
      <c r="QC12" s="300"/>
      <c r="QD12" s="300"/>
      <c r="QE12" s="300"/>
      <c r="QF12" s="300"/>
      <c r="QG12" s="300"/>
      <c r="QH12" s="300"/>
      <c r="QI12" s="300"/>
      <c r="QJ12" s="300"/>
      <c r="QK12" s="300"/>
      <c r="QL12" s="300"/>
      <c r="QM12" s="300"/>
      <c r="QN12" s="300"/>
      <c r="QO12" s="300"/>
      <c r="QP12" s="300"/>
      <c r="QQ12" s="300"/>
      <c r="QR12" s="300"/>
      <c r="QS12" s="300"/>
      <c r="QT12" s="300"/>
      <c r="QU12" s="300"/>
      <c r="QV12" s="300"/>
      <c r="QW12" s="300"/>
      <c r="QX12" s="300"/>
      <c r="QY12" s="300"/>
      <c r="QZ12" s="300"/>
      <c r="RA12" s="300"/>
      <c r="RB12" s="300"/>
      <c r="RC12" s="300"/>
      <c r="RD12" s="300"/>
      <c r="RE12" s="300"/>
      <c r="RF12" s="300"/>
      <c r="RG12" s="300"/>
      <c r="RH12" s="300"/>
      <c r="RI12" s="300"/>
      <c r="RJ12" s="300"/>
      <c r="RK12" s="300"/>
      <c r="RL12" s="300"/>
      <c r="RM12" s="300"/>
      <c r="RN12" s="300"/>
      <c r="RO12" s="300"/>
      <c r="RP12" s="300"/>
      <c r="RQ12" s="300"/>
      <c r="RR12" s="300"/>
      <c r="RS12" s="300"/>
      <c r="RT12" s="300"/>
      <c r="RU12" s="300"/>
      <c r="RV12" s="300"/>
      <c r="RW12" s="300"/>
      <c r="RX12" s="300"/>
      <c r="RY12" s="300"/>
      <c r="RZ12" s="300"/>
      <c r="SA12" s="300"/>
      <c r="SB12" s="300"/>
      <c r="SC12" s="300"/>
      <c r="SD12" s="300"/>
      <c r="SE12" s="300"/>
      <c r="SF12" s="300"/>
      <c r="SG12" s="300"/>
      <c r="SH12" s="300"/>
      <c r="SI12" s="300"/>
      <c r="SJ12" s="300"/>
      <c r="SK12" s="300"/>
      <c r="SL12" s="300"/>
      <c r="SM12" s="300"/>
      <c r="SN12" s="300"/>
      <c r="SO12" s="300"/>
      <c r="SP12" s="300"/>
      <c r="SQ12" s="300"/>
      <c r="SR12" s="300"/>
      <c r="SS12" s="300"/>
      <c r="ST12" s="300"/>
      <c r="SU12" s="300"/>
      <c r="SV12" s="300"/>
      <c r="SW12" s="300"/>
      <c r="SX12" s="300"/>
      <c r="SY12" s="300"/>
      <c r="SZ12" s="300"/>
      <c r="TA12" s="300"/>
      <c r="TB12" s="300"/>
      <c r="TC12" s="300"/>
      <c r="TD12" s="300"/>
      <c r="TE12" s="300"/>
      <c r="TF12" s="300"/>
      <c r="TG12" s="300"/>
      <c r="TH12" s="300"/>
      <c r="TI12" s="300"/>
      <c r="TJ12" s="300"/>
      <c r="TK12" s="300"/>
      <c r="TL12" s="300"/>
      <c r="TM12" s="300"/>
      <c r="TN12" s="300"/>
      <c r="TO12" s="300"/>
      <c r="TP12" s="300"/>
      <c r="TQ12" s="300"/>
      <c r="TR12" s="300"/>
      <c r="TS12" s="300"/>
      <c r="TT12" s="300"/>
      <c r="TU12" s="300"/>
      <c r="TV12" s="300"/>
      <c r="TW12" s="300"/>
      <c r="TX12" s="300"/>
      <c r="TY12" s="300"/>
      <c r="TZ12" s="300"/>
      <c r="UA12" s="300"/>
      <c r="UB12" s="300"/>
      <c r="UC12" s="300"/>
      <c r="UD12" s="300"/>
      <c r="UE12" s="300"/>
      <c r="UF12" s="300"/>
      <c r="UG12" s="300"/>
      <c r="UH12" s="300"/>
      <c r="UI12" s="300"/>
      <c r="UJ12" s="300"/>
      <c r="UK12" s="300"/>
      <c r="UL12" s="300"/>
      <c r="UM12" s="300"/>
      <c r="UN12" s="300"/>
      <c r="UO12" s="300"/>
      <c r="UP12" s="300"/>
      <c r="UQ12" s="300"/>
      <c r="UR12" s="300"/>
      <c r="US12" s="300"/>
      <c r="UT12" s="300"/>
      <c r="UU12" s="300"/>
      <c r="UV12" s="300"/>
      <c r="UW12" s="300"/>
      <c r="UX12" s="300"/>
      <c r="UY12" s="300"/>
      <c r="UZ12" s="300"/>
      <c r="VA12" s="300"/>
      <c r="VB12" s="300"/>
      <c r="VC12" s="300"/>
      <c r="VD12" s="300"/>
      <c r="VE12" s="300"/>
      <c r="VF12" s="300"/>
      <c r="VG12" s="300"/>
      <c r="VH12" s="300"/>
      <c r="VI12" s="300"/>
      <c r="VJ12" s="300"/>
      <c r="VK12" s="300"/>
      <c r="VL12" s="300"/>
      <c r="VM12" s="300"/>
      <c r="VN12" s="300"/>
      <c r="VO12" s="300"/>
      <c r="VP12" s="300"/>
      <c r="VQ12" s="300"/>
      <c r="VR12" s="300"/>
      <c r="VS12" s="300"/>
      <c r="VT12" s="300"/>
      <c r="VU12" s="300"/>
      <c r="VV12" s="300"/>
      <c r="VW12" s="300"/>
      <c r="VX12" s="300"/>
      <c r="VY12" s="300"/>
      <c r="VZ12" s="300"/>
      <c r="WA12" s="300"/>
      <c r="WB12" s="300"/>
      <c r="WC12" s="300"/>
      <c r="WD12" s="300"/>
      <c r="WE12" s="300"/>
      <c r="WF12" s="300"/>
      <c r="WG12" s="300"/>
      <c r="WH12" s="300"/>
      <c r="WI12" s="300"/>
      <c r="WJ12" s="300"/>
      <c r="WK12" s="300"/>
      <c r="WL12" s="300"/>
      <c r="WM12" s="300"/>
      <c r="WN12" s="300"/>
      <c r="WO12" s="300"/>
      <c r="WP12" s="300"/>
      <c r="WQ12" s="300"/>
      <c r="WR12" s="300"/>
      <c r="WS12" s="300"/>
      <c r="WT12" s="300"/>
      <c r="WU12" s="300"/>
      <c r="WV12" s="300"/>
      <c r="WW12" s="300"/>
      <c r="WX12" s="300"/>
      <c r="WY12" s="300"/>
      <c r="WZ12" s="300"/>
      <c r="XA12" s="300"/>
      <c r="XB12" s="300"/>
      <c r="XC12" s="300"/>
      <c r="XD12" s="300"/>
      <c r="XE12" s="300"/>
      <c r="XF12" s="300"/>
      <c r="XG12" s="300"/>
      <c r="XH12" s="300"/>
      <c r="XI12" s="300"/>
      <c r="XJ12" s="300"/>
      <c r="XK12" s="300"/>
      <c r="XL12" s="300"/>
      <c r="XM12" s="300"/>
      <c r="XN12" s="300"/>
      <c r="XO12" s="300"/>
      <c r="XP12" s="300"/>
      <c r="XQ12" s="300"/>
      <c r="XR12" s="300"/>
      <c r="XS12" s="300"/>
      <c r="XT12" s="300"/>
      <c r="XU12" s="300"/>
      <c r="XV12" s="300"/>
      <c r="XW12" s="300"/>
      <c r="XX12" s="300"/>
      <c r="XY12" s="300"/>
      <c r="XZ12" s="300"/>
      <c r="YA12" s="300"/>
      <c r="YB12" s="300"/>
      <c r="YC12" s="300"/>
      <c r="YD12" s="300"/>
      <c r="YE12" s="300"/>
      <c r="YF12" s="300"/>
      <c r="YG12" s="300"/>
      <c r="YH12" s="300"/>
      <c r="YI12" s="300"/>
      <c r="YJ12" s="300"/>
      <c r="YK12" s="300"/>
      <c r="YL12" s="300"/>
      <c r="YM12" s="300"/>
      <c r="YN12" s="300"/>
      <c r="YO12" s="300"/>
      <c r="YP12" s="300"/>
      <c r="YQ12" s="300"/>
      <c r="YR12" s="300"/>
      <c r="YS12" s="300"/>
      <c r="YT12" s="300"/>
      <c r="YU12" s="300"/>
      <c r="YV12" s="300"/>
      <c r="YW12" s="300"/>
      <c r="YX12" s="300"/>
      <c r="YY12" s="300"/>
      <c r="YZ12" s="300"/>
      <c r="ZA12" s="300"/>
      <c r="ZB12" s="300"/>
      <c r="ZC12" s="300"/>
      <c r="ZD12" s="300"/>
      <c r="ZE12" s="300"/>
      <c r="ZF12" s="300"/>
      <c r="ZG12" s="300"/>
      <c r="ZH12" s="300"/>
      <c r="ZI12" s="300"/>
      <c r="ZJ12" s="300"/>
      <c r="ZK12" s="300"/>
      <c r="ZL12" s="300"/>
      <c r="ZM12" s="300"/>
      <c r="ZN12" s="300"/>
      <c r="ZO12" s="300"/>
      <c r="ZP12" s="300"/>
      <c r="ZQ12" s="300"/>
      <c r="ZR12" s="300"/>
      <c r="ZS12" s="300"/>
      <c r="ZT12" s="300"/>
      <c r="ZU12" s="300"/>
      <c r="ZV12" s="300"/>
      <c r="ZW12" s="300"/>
      <c r="ZX12" s="300"/>
      <c r="ZY12" s="300"/>
      <c r="ZZ12" s="300"/>
      <c r="AAA12" s="300"/>
      <c r="AAB12" s="300"/>
      <c r="AAC12" s="300"/>
      <c r="AAD12" s="300"/>
      <c r="AAE12" s="300"/>
      <c r="AAF12" s="300"/>
      <c r="AAG12" s="300"/>
      <c r="AAH12" s="300"/>
      <c r="AAI12" s="300"/>
      <c r="AAJ12" s="300"/>
      <c r="AAK12" s="300"/>
      <c r="AAL12" s="300"/>
      <c r="AAM12" s="300"/>
      <c r="AAN12" s="300"/>
      <c r="AAO12" s="300"/>
      <c r="AAP12" s="300"/>
      <c r="AAQ12" s="300"/>
      <c r="AAR12" s="300"/>
      <c r="AAS12" s="300"/>
      <c r="AAT12" s="300"/>
      <c r="AAU12" s="300"/>
      <c r="AAV12" s="300"/>
      <c r="AAW12" s="300"/>
      <c r="AAX12" s="300"/>
      <c r="AAY12" s="300"/>
      <c r="AAZ12" s="300"/>
      <c r="ABA12" s="300"/>
      <c r="ABB12" s="300"/>
      <c r="ABC12" s="300"/>
      <c r="ABD12" s="300"/>
      <c r="ABE12" s="300"/>
      <c r="ABF12" s="300"/>
      <c r="ABG12" s="300"/>
      <c r="ABH12" s="300"/>
      <c r="ABI12" s="300"/>
      <c r="ABJ12" s="300"/>
      <c r="ABK12" s="300"/>
      <c r="ABL12" s="300"/>
      <c r="ABM12" s="300"/>
      <c r="ABN12" s="300"/>
      <c r="ABO12" s="300"/>
      <c r="ABP12" s="300"/>
      <c r="ABQ12" s="300"/>
      <c r="ABR12" s="300"/>
      <c r="ABS12" s="300"/>
      <c r="ABT12" s="300"/>
      <c r="ABU12" s="300"/>
      <c r="ABV12" s="300"/>
      <c r="ABW12" s="300"/>
      <c r="ABX12" s="300"/>
      <c r="ABY12" s="300"/>
      <c r="ABZ12" s="300"/>
      <c r="ACA12" s="300"/>
      <c r="ACB12" s="300"/>
      <c r="ACC12" s="300"/>
      <c r="ACD12" s="300"/>
      <c r="ACE12" s="300"/>
      <c r="ACF12" s="300"/>
      <c r="ACG12" s="300"/>
      <c r="ACH12" s="300"/>
      <c r="ACI12" s="300"/>
      <c r="ACJ12" s="300"/>
      <c r="ACK12" s="300"/>
      <c r="ACL12" s="300"/>
      <c r="ACM12" s="300"/>
      <c r="ACN12" s="300"/>
      <c r="ACO12" s="300"/>
      <c r="ACP12" s="300"/>
      <c r="ACQ12" s="300"/>
      <c r="ACR12" s="300"/>
      <c r="ACS12" s="300"/>
      <c r="ACT12" s="300"/>
      <c r="ACU12" s="300"/>
      <c r="ACV12" s="300"/>
      <c r="ACW12" s="300"/>
      <c r="ACX12" s="300"/>
      <c r="ACY12" s="300"/>
      <c r="ACZ12" s="300"/>
      <c r="ADA12" s="300"/>
      <c r="ADB12" s="300"/>
      <c r="ADC12" s="300"/>
      <c r="ADD12" s="300"/>
      <c r="ADE12" s="300"/>
      <c r="ADF12" s="300"/>
      <c r="ADG12" s="300"/>
      <c r="ADH12" s="300"/>
      <c r="ADI12" s="300"/>
      <c r="ADJ12" s="300"/>
      <c r="ADK12" s="300"/>
      <c r="ADL12" s="300"/>
      <c r="ADM12" s="300"/>
      <c r="ADN12" s="300"/>
      <c r="ADO12" s="300"/>
      <c r="ADP12" s="300"/>
      <c r="ADQ12" s="300"/>
      <c r="ADR12" s="300"/>
      <c r="ADS12" s="300"/>
      <c r="ADT12" s="300"/>
      <c r="ADU12" s="300"/>
      <c r="ADV12" s="300"/>
      <c r="ADW12" s="300"/>
      <c r="ADX12" s="300"/>
      <c r="ADY12" s="300"/>
      <c r="ADZ12" s="300"/>
      <c r="AEA12" s="300"/>
      <c r="AEB12" s="300"/>
      <c r="AEC12" s="300"/>
      <c r="AED12" s="300"/>
      <c r="AEE12" s="300"/>
      <c r="AEF12" s="300"/>
      <c r="AEG12" s="300"/>
      <c r="AEH12" s="300"/>
      <c r="AEI12" s="300"/>
      <c r="AEJ12" s="300"/>
      <c r="AEK12" s="300"/>
      <c r="AEL12" s="300"/>
      <c r="AEM12" s="300"/>
      <c r="AEN12" s="300"/>
      <c r="AEO12" s="300"/>
      <c r="AEP12" s="300"/>
      <c r="AEQ12" s="300"/>
      <c r="AER12" s="300"/>
      <c r="AES12" s="300"/>
      <c r="AET12" s="300"/>
      <c r="AEU12" s="300"/>
      <c r="AEV12" s="300"/>
      <c r="AEW12" s="300"/>
      <c r="AEX12" s="300"/>
      <c r="AEY12" s="300"/>
      <c r="AEZ12" s="300"/>
      <c r="AFA12" s="300"/>
      <c r="AFB12" s="300"/>
      <c r="AFC12" s="300"/>
      <c r="AFD12" s="300"/>
      <c r="AFE12" s="300"/>
      <c r="AFF12" s="300"/>
      <c r="AFG12" s="300"/>
      <c r="AFH12" s="300"/>
      <c r="AFI12" s="300"/>
      <c r="AFJ12" s="300"/>
      <c r="AFK12" s="300"/>
      <c r="AFL12" s="300"/>
      <c r="AFM12" s="300"/>
      <c r="AFN12" s="300"/>
      <c r="AFO12" s="300"/>
      <c r="AFP12" s="300"/>
      <c r="AFQ12" s="300"/>
      <c r="AFR12" s="300"/>
      <c r="AFS12" s="300"/>
      <c r="AFT12" s="300"/>
      <c r="AFU12" s="300"/>
      <c r="AFV12" s="300"/>
      <c r="AFW12" s="300"/>
      <c r="AFX12" s="300"/>
      <c r="AFY12" s="300"/>
      <c r="AFZ12" s="300"/>
      <c r="AGA12" s="300"/>
      <c r="AGB12" s="300"/>
      <c r="AGC12" s="300"/>
      <c r="AGD12" s="300"/>
      <c r="AGE12" s="300"/>
      <c r="AGF12" s="300"/>
      <c r="AGG12" s="300"/>
      <c r="AGH12" s="300"/>
      <c r="AGI12" s="300"/>
      <c r="AGJ12" s="300"/>
      <c r="AGK12" s="300"/>
      <c r="AGL12" s="300"/>
      <c r="AGM12" s="300"/>
      <c r="AGN12" s="300"/>
      <c r="AGO12" s="300"/>
      <c r="AGP12" s="300"/>
      <c r="AGQ12" s="300"/>
      <c r="AGR12" s="300"/>
      <c r="AGS12" s="300"/>
      <c r="AGT12" s="300"/>
      <c r="AGU12" s="300"/>
      <c r="AGV12" s="300"/>
      <c r="AGW12" s="300"/>
      <c r="AGX12" s="300"/>
      <c r="AGY12" s="300"/>
      <c r="AGZ12" s="300"/>
      <c r="AHA12" s="300"/>
      <c r="AHB12" s="300"/>
      <c r="AHC12" s="300"/>
      <c r="AHD12" s="300"/>
      <c r="AHE12" s="300"/>
      <c r="AHF12" s="300"/>
      <c r="AHG12" s="300"/>
      <c r="AHH12" s="300"/>
      <c r="AHI12" s="300"/>
      <c r="AHJ12" s="300"/>
      <c r="AHK12" s="300"/>
      <c r="AHL12" s="300"/>
      <c r="AHM12" s="300"/>
      <c r="AHN12" s="300"/>
      <c r="AHO12" s="300"/>
      <c r="AHP12" s="300"/>
      <c r="AHQ12" s="300"/>
      <c r="AHR12" s="300"/>
      <c r="AHS12" s="300"/>
      <c r="AHT12" s="300"/>
      <c r="AHU12" s="300"/>
      <c r="AHV12" s="300"/>
      <c r="AHW12" s="300"/>
      <c r="AHX12" s="300"/>
      <c r="AHY12" s="300"/>
      <c r="AHZ12" s="300"/>
      <c r="AIA12" s="300"/>
      <c r="AIB12" s="300"/>
      <c r="AIC12" s="300"/>
      <c r="AID12" s="300"/>
      <c r="AIE12" s="300"/>
      <c r="AIF12" s="300"/>
      <c r="AIG12" s="300"/>
      <c r="AIH12" s="300"/>
      <c r="AII12" s="300"/>
      <c r="AIJ12" s="300"/>
      <c r="AIK12" s="300"/>
      <c r="AIL12" s="300"/>
      <c r="AIM12" s="300"/>
      <c r="AIN12" s="300"/>
      <c r="AIO12" s="300"/>
      <c r="AIP12" s="300"/>
      <c r="AIQ12" s="300"/>
      <c r="AIR12" s="300"/>
      <c r="AIS12" s="300"/>
      <c r="AIT12" s="300"/>
      <c r="AIU12" s="300"/>
      <c r="AIV12" s="300"/>
      <c r="AIW12" s="300"/>
      <c r="AIX12" s="300"/>
      <c r="AIY12" s="300"/>
      <c r="AIZ12" s="300"/>
      <c r="AJA12" s="300"/>
      <c r="AJB12" s="300"/>
      <c r="AJC12" s="300"/>
      <c r="AJD12" s="300"/>
      <c r="AJE12" s="300"/>
      <c r="AJF12" s="300"/>
      <c r="AJG12" s="300"/>
      <c r="AJH12" s="300"/>
      <c r="AJI12" s="300"/>
      <c r="AJJ12" s="300"/>
      <c r="AJK12" s="300"/>
      <c r="AJL12" s="300"/>
      <c r="AJM12" s="300"/>
      <c r="AJN12" s="300"/>
      <c r="AJO12" s="300"/>
      <c r="AJP12" s="300"/>
      <c r="AJQ12" s="300"/>
      <c r="AJR12" s="300"/>
      <c r="AJS12" s="300"/>
      <c r="AJT12" s="300"/>
      <c r="AJU12" s="300"/>
      <c r="AJV12" s="300"/>
      <c r="AJW12" s="300"/>
      <c r="AJX12" s="300"/>
      <c r="AJY12" s="300"/>
      <c r="AJZ12" s="300"/>
      <c r="AKA12" s="300"/>
      <c r="AKB12" s="300"/>
      <c r="AKC12" s="300"/>
      <c r="AKD12" s="300"/>
      <c r="AKE12" s="300"/>
      <c r="AKF12" s="300"/>
      <c r="AKG12" s="300"/>
      <c r="AKH12" s="300"/>
      <c r="AKI12" s="300"/>
      <c r="AKJ12" s="300"/>
      <c r="AKK12" s="300"/>
      <c r="AKL12" s="300"/>
      <c r="AKM12" s="300"/>
      <c r="AKN12" s="300"/>
      <c r="AKO12" s="300"/>
      <c r="AKP12" s="300"/>
      <c r="AKQ12" s="300"/>
      <c r="AKR12" s="300"/>
      <c r="AKS12" s="300"/>
      <c r="AKT12" s="300"/>
      <c r="AKU12" s="300"/>
      <c r="AKV12" s="300"/>
      <c r="AKW12" s="300"/>
      <c r="AKX12" s="300"/>
      <c r="AKY12" s="300"/>
      <c r="AKZ12" s="300"/>
      <c r="ALA12" s="300"/>
      <c r="ALB12" s="300"/>
      <c r="ALC12" s="300"/>
      <c r="ALD12" s="300"/>
      <c r="ALE12" s="300"/>
      <c r="ALF12" s="300"/>
      <c r="ALG12" s="300"/>
      <c r="ALH12" s="300"/>
      <c r="ALI12" s="300"/>
      <c r="ALJ12" s="300"/>
      <c r="ALK12" s="300"/>
      <c r="ALL12" s="300"/>
      <c r="ALM12" s="300"/>
      <c r="ALN12" s="300"/>
      <c r="ALO12" s="300"/>
      <c r="ALP12" s="300"/>
      <c r="ALQ12" s="300"/>
      <c r="ALR12" s="300"/>
      <c r="ALS12" s="300"/>
      <c r="ALT12" s="300"/>
      <c r="ALU12" s="300"/>
      <c r="ALV12" s="300"/>
      <c r="ALW12" s="300"/>
      <c r="ALX12" s="300"/>
      <c r="ALY12" s="300"/>
      <c r="ALZ12" s="300"/>
      <c r="AMA12" s="300"/>
      <c r="AMB12" s="300"/>
      <c r="AMC12" s="300"/>
      <c r="AMD12" s="300"/>
      <c r="AME12" s="300"/>
      <c r="AMF12" s="300"/>
      <c r="AMG12" s="300"/>
      <c r="AMH12" s="300"/>
      <c r="AMI12" s="300"/>
      <c r="AMJ12" s="300"/>
      <c r="AMK12" s="300"/>
      <c r="AML12" s="300"/>
      <c r="AMM12" s="300"/>
      <c r="AMN12" s="300"/>
      <c r="AMO12" s="300"/>
      <c r="AMP12" s="300"/>
      <c r="AMQ12" s="300"/>
      <c r="AMR12" s="300"/>
      <c r="AMS12" s="300"/>
      <c r="AMT12" s="300"/>
      <c r="AMU12" s="300"/>
      <c r="AMV12" s="300"/>
      <c r="AMW12" s="300"/>
      <c r="AMX12" s="300"/>
      <c r="AMY12" s="300"/>
      <c r="AMZ12" s="300"/>
      <c r="ANA12" s="300"/>
      <c r="ANB12" s="300"/>
      <c r="ANC12" s="300"/>
      <c r="AND12" s="300"/>
      <c r="ANE12" s="300"/>
      <c r="ANF12" s="300"/>
      <c r="ANG12" s="300"/>
      <c r="ANH12" s="300"/>
      <c r="ANI12" s="300"/>
      <c r="ANJ12" s="300"/>
      <c r="ANK12" s="300"/>
      <c r="ANL12" s="300"/>
      <c r="ANM12" s="300"/>
      <c r="ANN12" s="300"/>
      <c r="ANO12" s="300"/>
      <c r="ANP12" s="300"/>
      <c r="ANQ12" s="300"/>
      <c r="ANR12" s="300"/>
      <c r="ANS12" s="300"/>
      <c r="ANT12" s="300"/>
      <c r="ANU12" s="300"/>
      <c r="ANV12" s="300"/>
      <c r="ANW12" s="300"/>
      <c r="ANX12" s="300"/>
      <c r="ANY12" s="300"/>
      <c r="ANZ12" s="300"/>
      <c r="AOA12" s="300"/>
      <c r="AOB12" s="300"/>
      <c r="AOC12" s="300"/>
      <c r="AOD12" s="300"/>
      <c r="AOE12" s="300"/>
      <c r="AOF12" s="300"/>
      <c r="AOG12" s="300"/>
      <c r="AOH12" s="300"/>
      <c r="AOI12" s="300"/>
      <c r="AOJ12" s="300"/>
      <c r="AOK12" s="300"/>
      <c r="AOL12" s="300"/>
      <c r="AOM12" s="300"/>
      <c r="AON12" s="300"/>
      <c r="AOO12" s="300"/>
      <c r="AOP12" s="300"/>
      <c r="AOQ12" s="300"/>
      <c r="AOR12" s="300"/>
      <c r="AOS12" s="300"/>
      <c r="AOT12" s="300"/>
      <c r="AOU12" s="300"/>
    </row>
    <row r="13" spans="2:1087" s="300" customFormat="1" ht="20.100000000000001" customHeight="1" x14ac:dyDescent="0.2">
      <c r="B13" s="1113" t="s">
        <v>2110</v>
      </c>
      <c r="C13" s="1824"/>
      <c r="D13" s="1825"/>
      <c r="E13" s="1826"/>
      <c r="F13" s="1826"/>
      <c r="G13" s="1826"/>
      <c r="H13" s="1826"/>
      <c r="I13" s="1826"/>
      <c r="J13" s="1826"/>
      <c r="K13" s="1826"/>
      <c r="L13" s="1823"/>
      <c r="M13" s="1826"/>
    </row>
    <row r="14" spans="2:1087" s="300" customFormat="1" ht="20.100000000000001" customHeight="1" x14ac:dyDescent="0.2">
      <c r="B14" s="1113" t="s">
        <v>2111</v>
      </c>
      <c r="C14" s="1824" t="s">
        <v>2113</v>
      </c>
      <c r="D14" s="1825" t="s">
        <v>2114</v>
      </c>
      <c r="E14" s="1826">
        <v>390723</v>
      </c>
      <c r="F14" s="1826">
        <v>146606</v>
      </c>
      <c r="G14" s="1826">
        <v>457894</v>
      </c>
      <c r="H14" s="1826">
        <v>0</v>
      </c>
      <c r="I14" s="1826">
        <v>79435</v>
      </c>
      <c r="J14" s="1826">
        <v>0</v>
      </c>
      <c r="K14" s="1826">
        <v>0</v>
      </c>
      <c r="L14" s="1823">
        <f t="shared" ref="L14:L27" si="0">+G14+I14+K14</f>
        <v>537329</v>
      </c>
      <c r="M14" s="1826">
        <v>537329</v>
      </c>
    </row>
    <row r="15" spans="2:1087" s="300" customFormat="1" ht="20.100000000000001" customHeight="1" x14ac:dyDescent="0.2">
      <c r="B15" s="1113" t="s">
        <v>2112</v>
      </c>
      <c r="C15" s="1824" t="s">
        <v>2113</v>
      </c>
      <c r="D15" s="1825" t="s">
        <v>2115</v>
      </c>
      <c r="E15" s="2036">
        <v>0</v>
      </c>
      <c r="F15" s="2036">
        <v>506384</v>
      </c>
      <c r="G15" s="2036">
        <v>0</v>
      </c>
      <c r="H15" s="2036">
        <v>0</v>
      </c>
      <c r="I15" s="2036">
        <v>522179</v>
      </c>
      <c r="J15" s="2036">
        <v>0</v>
      </c>
      <c r="K15" s="2036">
        <v>0</v>
      </c>
      <c r="L15" s="2037">
        <f t="shared" si="0"/>
        <v>522179</v>
      </c>
      <c r="M15" s="2036">
        <v>594892</v>
      </c>
    </row>
    <row r="16" spans="2:1087" s="1073" customFormat="1" ht="20.100000000000001" customHeight="1" x14ac:dyDescent="0.2">
      <c r="B16" s="2040"/>
      <c r="C16" s="2041"/>
      <c r="D16" s="2042"/>
      <c r="E16" s="2038">
        <f>SUM(E14:E15)</f>
        <v>390723</v>
      </c>
      <c r="F16" s="2038">
        <f t="shared" ref="F16:K16" si="1">SUM(F14:F15)</f>
        <v>652990</v>
      </c>
      <c r="G16" s="2038">
        <f t="shared" si="1"/>
        <v>457894</v>
      </c>
      <c r="H16" s="2038">
        <f t="shared" si="1"/>
        <v>0</v>
      </c>
      <c r="I16" s="2038">
        <f t="shared" si="1"/>
        <v>601614</v>
      </c>
      <c r="J16" s="2038">
        <f t="shared" si="1"/>
        <v>0</v>
      </c>
      <c r="K16" s="2038">
        <f t="shared" si="1"/>
        <v>0</v>
      </c>
      <c r="L16" s="2043">
        <f t="shared" si="0"/>
        <v>1059508</v>
      </c>
      <c r="M16" s="2044"/>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0"/>
      <c r="OF16" s="300"/>
      <c r="OG16" s="300"/>
      <c r="OH16" s="300"/>
      <c r="OI16" s="300"/>
      <c r="OJ16" s="300"/>
      <c r="OK16" s="300"/>
      <c r="OL16" s="300"/>
      <c r="OM16" s="300"/>
      <c r="ON16" s="300"/>
      <c r="OO16" s="300"/>
      <c r="OP16" s="300"/>
      <c r="OQ16" s="300"/>
      <c r="OR16" s="300"/>
      <c r="OS16" s="300"/>
      <c r="OT16" s="300"/>
      <c r="OU16" s="300"/>
      <c r="OV16" s="300"/>
      <c r="OW16" s="300"/>
      <c r="OX16" s="300"/>
      <c r="OY16" s="300"/>
      <c r="OZ16" s="300"/>
      <c r="PA16" s="300"/>
      <c r="PB16" s="300"/>
      <c r="PC16" s="300"/>
      <c r="PD16" s="300"/>
      <c r="PE16" s="300"/>
      <c r="PF16" s="300"/>
      <c r="PG16" s="300"/>
      <c r="PH16" s="300"/>
      <c r="PI16" s="300"/>
      <c r="PJ16" s="300"/>
      <c r="PK16" s="300"/>
      <c r="PL16" s="300"/>
      <c r="PM16" s="300"/>
      <c r="PN16" s="300"/>
      <c r="PO16" s="300"/>
      <c r="PP16" s="300"/>
      <c r="PQ16" s="300"/>
      <c r="PR16" s="300"/>
      <c r="PS16" s="300"/>
      <c r="PT16" s="300"/>
      <c r="PU16" s="300"/>
      <c r="PV16" s="300"/>
      <c r="PW16" s="300"/>
      <c r="PX16" s="300"/>
      <c r="PY16" s="300"/>
      <c r="PZ16" s="300"/>
      <c r="QA16" s="300"/>
      <c r="QB16" s="300"/>
      <c r="QC16" s="300"/>
      <c r="QD16" s="300"/>
      <c r="QE16" s="300"/>
      <c r="QF16" s="300"/>
      <c r="QG16" s="300"/>
      <c r="QH16" s="300"/>
      <c r="QI16" s="300"/>
      <c r="QJ16" s="300"/>
      <c r="QK16" s="300"/>
      <c r="QL16" s="300"/>
      <c r="QM16" s="300"/>
      <c r="QN16" s="300"/>
      <c r="QO16" s="300"/>
      <c r="QP16" s="300"/>
      <c r="QQ16" s="300"/>
      <c r="QR16" s="300"/>
      <c r="QS16" s="300"/>
      <c r="QT16" s="300"/>
      <c r="QU16" s="300"/>
      <c r="QV16" s="300"/>
      <c r="QW16" s="300"/>
      <c r="QX16" s="300"/>
      <c r="QY16" s="300"/>
      <c r="QZ16" s="300"/>
      <c r="RA16" s="300"/>
      <c r="RB16" s="300"/>
      <c r="RC16" s="300"/>
      <c r="RD16" s="300"/>
      <c r="RE16" s="300"/>
      <c r="RF16" s="300"/>
      <c r="RG16" s="300"/>
      <c r="RH16" s="300"/>
      <c r="RI16" s="300"/>
      <c r="RJ16" s="300"/>
      <c r="RK16" s="300"/>
      <c r="RL16" s="300"/>
      <c r="RM16" s="300"/>
      <c r="RN16" s="300"/>
      <c r="RO16" s="300"/>
      <c r="RP16" s="300"/>
      <c r="RQ16" s="300"/>
      <c r="RR16" s="300"/>
      <c r="RS16" s="300"/>
      <c r="RT16" s="300"/>
      <c r="RU16" s="300"/>
      <c r="RV16" s="300"/>
      <c r="RW16" s="300"/>
      <c r="RX16" s="300"/>
      <c r="RY16" s="300"/>
      <c r="RZ16" s="300"/>
      <c r="SA16" s="300"/>
      <c r="SB16" s="300"/>
      <c r="SC16" s="300"/>
      <c r="SD16" s="300"/>
      <c r="SE16" s="300"/>
      <c r="SF16" s="300"/>
      <c r="SG16" s="300"/>
      <c r="SH16" s="300"/>
      <c r="SI16" s="300"/>
      <c r="SJ16" s="300"/>
      <c r="SK16" s="300"/>
      <c r="SL16" s="300"/>
      <c r="SM16" s="300"/>
      <c r="SN16" s="300"/>
      <c r="SO16" s="300"/>
      <c r="SP16" s="300"/>
      <c r="SQ16" s="300"/>
      <c r="SR16" s="300"/>
      <c r="SS16" s="300"/>
      <c r="ST16" s="300"/>
      <c r="SU16" s="300"/>
      <c r="SV16" s="300"/>
      <c r="SW16" s="300"/>
      <c r="SX16" s="300"/>
      <c r="SY16" s="300"/>
      <c r="SZ16" s="300"/>
      <c r="TA16" s="300"/>
      <c r="TB16" s="300"/>
      <c r="TC16" s="300"/>
      <c r="TD16" s="300"/>
      <c r="TE16" s="300"/>
      <c r="TF16" s="300"/>
      <c r="TG16" s="300"/>
      <c r="TH16" s="300"/>
      <c r="TI16" s="300"/>
      <c r="TJ16" s="300"/>
      <c r="TK16" s="300"/>
      <c r="TL16" s="300"/>
      <c r="TM16" s="300"/>
      <c r="TN16" s="300"/>
      <c r="TO16" s="300"/>
      <c r="TP16" s="300"/>
      <c r="TQ16" s="300"/>
      <c r="TR16" s="300"/>
      <c r="TS16" s="300"/>
      <c r="TT16" s="300"/>
      <c r="TU16" s="300"/>
      <c r="TV16" s="300"/>
      <c r="TW16" s="300"/>
      <c r="TX16" s="300"/>
      <c r="TY16" s="300"/>
      <c r="TZ16" s="300"/>
      <c r="UA16" s="300"/>
      <c r="UB16" s="300"/>
      <c r="UC16" s="300"/>
      <c r="UD16" s="300"/>
      <c r="UE16" s="300"/>
      <c r="UF16" s="300"/>
      <c r="UG16" s="300"/>
      <c r="UH16" s="300"/>
      <c r="UI16" s="300"/>
      <c r="UJ16" s="300"/>
      <c r="UK16" s="300"/>
      <c r="UL16" s="300"/>
      <c r="UM16" s="300"/>
      <c r="UN16" s="300"/>
      <c r="UO16" s="300"/>
      <c r="UP16" s="300"/>
      <c r="UQ16" s="300"/>
      <c r="UR16" s="300"/>
      <c r="US16" s="300"/>
      <c r="UT16" s="300"/>
      <c r="UU16" s="300"/>
      <c r="UV16" s="300"/>
      <c r="UW16" s="300"/>
      <c r="UX16" s="300"/>
      <c r="UY16" s="300"/>
      <c r="UZ16" s="300"/>
      <c r="VA16" s="300"/>
      <c r="VB16" s="300"/>
      <c r="VC16" s="300"/>
      <c r="VD16" s="300"/>
      <c r="VE16" s="300"/>
      <c r="VF16" s="300"/>
      <c r="VG16" s="300"/>
      <c r="VH16" s="300"/>
      <c r="VI16" s="300"/>
      <c r="VJ16" s="300"/>
      <c r="VK16" s="300"/>
      <c r="VL16" s="300"/>
      <c r="VM16" s="300"/>
      <c r="VN16" s="300"/>
      <c r="VO16" s="300"/>
      <c r="VP16" s="300"/>
      <c r="VQ16" s="300"/>
      <c r="VR16" s="300"/>
      <c r="VS16" s="300"/>
      <c r="VT16" s="300"/>
      <c r="VU16" s="300"/>
      <c r="VV16" s="300"/>
      <c r="VW16" s="300"/>
      <c r="VX16" s="300"/>
      <c r="VY16" s="300"/>
      <c r="VZ16" s="300"/>
      <c r="WA16" s="300"/>
      <c r="WB16" s="300"/>
      <c r="WC16" s="300"/>
      <c r="WD16" s="300"/>
      <c r="WE16" s="300"/>
      <c r="WF16" s="300"/>
      <c r="WG16" s="300"/>
      <c r="WH16" s="300"/>
      <c r="WI16" s="300"/>
      <c r="WJ16" s="300"/>
      <c r="WK16" s="300"/>
      <c r="WL16" s="300"/>
      <c r="WM16" s="300"/>
      <c r="WN16" s="300"/>
      <c r="WO16" s="300"/>
      <c r="WP16" s="300"/>
      <c r="WQ16" s="300"/>
      <c r="WR16" s="300"/>
      <c r="WS16" s="300"/>
      <c r="WT16" s="300"/>
      <c r="WU16" s="300"/>
      <c r="WV16" s="300"/>
      <c r="WW16" s="300"/>
      <c r="WX16" s="300"/>
      <c r="WY16" s="300"/>
      <c r="WZ16" s="300"/>
      <c r="XA16" s="300"/>
      <c r="XB16" s="300"/>
      <c r="XC16" s="300"/>
      <c r="XD16" s="300"/>
      <c r="XE16" s="300"/>
      <c r="XF16" s="300"/>
      <c r="XG16" s="300"/>
      <c r="XH16" s="300"/>
      <c r="XI16" s="300"/>
      <c r="XJ16" s="300"/>
      <c r="XK16" s="300"/>
      <c r="XL16" s="300"/>
      <c r="XM16" s="300"/>
      <c r="XN16" s="300"/>
      <c r="XO16" s="300"/>
      <c r="XP16" s="300"/>
      <c r="XQ16" s="300"/>
      <c r="XR16" s="300"/>
      <c r="XS16" s="300"/>
      <c r="XT16" s="300"/>
      <c r="XU16" s="300"/>
      <c r="XV16" s="300"/>
      <c r="XW16" s="300"/>
      <c r="XX16" s="300"/>
      <c r="XY16" s="300"/>
      <c r="XZ16" s="300"/>
      <c r="YA16" s="300"/>
      <c r="YB16" s="300"/>
      <c r="YC16" s="300"/>
      <c r="YD16" s="300"/>
      <c r="YE16" s="300"/>
      <c r="YF16" s="300"/>
      <c r="YG16" s="300"/>
      <c r="YH16" s="300"/>
      <c r="YI16" s="300"/>
      <c r="YJ16" s="300"/>
      <c r="YK16" s="300"/>
      <c r="YL16" s="300"/>
      <c r="YM16" s="300"/>
      <c r="YN16" s="300"/>
      <c r="YO16" s="300"/>
      <c r="YP16" s="300"/>
      <c r="YQ16" s="300"/>
      <c r="YR16" s="300"/>
      <c r="YS16" s="300"/>
      <c r="YT16" s="300"/>
      <c r="YU16" s="300"/>
      <c r="YV16" s="300"/>
      <c r="YW16" s="300"/>
      <c r="YX16" s="300"/>
      <c r="YY16" s="300"/>
      <c r="YZ16" s="300"/>
      <c r="ZA16" s="300"/>
      <c r="ZB16" s="300"/>
      <c r="ZC16" s="300"/>
      <c r="ZD16" s="300"/>
      <c r="ZE16" s="300"/>
      <c r="ZF16" s="300"/>
      <c r="ZG16" s="300"/>
      <c r="ZH16" s="300"/>
      <c r="ZI16" s="300"/>
      <c r="ZJ16" s="300"/>
      <c r="ZK16" s="300"/>
      <c r="ZL16" s="300"/>
      <c r="ZM16" s="300"/>
      <c r="ZN16" s="300"/>
      <c r="ZO16" s="300"/>
      <c r="ZP16" s="300"/>
      <c r="ZQ16" s="300"/>
      <c r="ZR16" s="300"/>
      <c r="ZS16" s="300"/>
      <c r="ZT16" s="300"/>
      <c r="ZU16" s="300"/>
      <c r="ZV16" s="300"/>
      <c r="ZW16" s="300"/>
      <c r="ZX16" s="300"/>
      <c r="ZY16" s="300"/>
      <c r="ZZ16" s="300"/>
      <c r="AAA16" s="300"/>
      <c r="AAB16" s="300"/>
      <c r="AAC16" s="300"/>
      <c r="AAD16" s="300"/>
      <c r="AAE16" s="300"/>
      <c r="AAF16" s="300"/>
      <c r="AAG16" s="300"/>
      <c r="AAH16" s="300"/>
      <c r="AAI16" s="300"/>
      <c r="AAJ16" s="300"/>
      <c r="AAK16" s="300"/>
      <c r="AAL16" s="300"/>
      <c r="AAM16" s="300"/>
      <c r="AAN16" s="300"/>
      <c r="AAO16" s="300"/>
      <c r="AAP16" s="300"/>
      <c r="AAQ16" s="300"/>
      <c r="AAR16" s="300"/>
      <c r="AAS16" s="300"/>
      <c r="AAT16" s="300"/>
      <c r="AAU16" s="300"/>
      <c r="AAV16" s="300"/>
      <c r="AAW16" s="300"/>
      <c r="AAX16" s="300"/>
      <c r="AAY16" s="300"/>
      <c r="AAZ16" s="300"/>
      <c r="ABA16" s="300"/>
      <c r="ABB16" s="300"/>
      <c r="ABC16" s="300"/>
      <c r="ABD16" s="300"/>
      <c r="ABE16" s="300"/>
      <c r="ABF16" s="300"/>
      <c r="ABG16" s="300"/>
      <c r="ABH16" s="300"/>
      <c r="ABI16" s="300"/>
      <c r="ABJ16" s="300"/>
      <c r="ABK16" s="300"/>
      <c r="ABL16" s="300"/>
      <c r="ABM16" s="300"/>
      <c r="ABN16" s="300"/>
      <c r="ABO16" s="300"/>
      <c r="ABP16" s="300"/>
      <c r="ABQ16" s="300"/>
      <c r="ABR16" s="300"/>
      <c r="ABS16" s="300"/>
      <c r="ABT16" s="300"/>
      <c r="ABU16" s="300"/>
      <c r="ABV16" s="300"/>
      <c r="ABW16" s="300"/>
      <c r="ABX16" s="300"/>
      <c r="ABY16" s="300"/>
      <c r="ABZ16" s="300"/>
      <c r="ACA16" s="300"/>
      <c r="ACB16" s="300"/>
      <c r="ACC16" s="300"/>
      <c r="ACD16" s="300"/>
      <c r="ACE16" s="300"/>
      <c r="ACF16" s="300"/>
      <c r="ACG16" s="300"/>
      <c r="ACH16" s="300"/>
      <c r="ACI16" s="300"/>
      <c r="ACJ16" s="300"/>
      <c r="ACK16" s="300"/>
      <c r="ACL16" s="300"/>
      <c r="ACM16" s="300"/>
      <c r="ACN16" s="300"/>
      <c r="ACO16" s="300"/>
      <c r="ACP16" s="300"/>
      <c r="ACQ16" s="300"/>
      <c r="ACR16" s="300"/>
      <c r="ACS16" s="300"/>
      <c r="ACT16" s="300"/>
      <c r="ACU16" s="300"/>
      <c r="ACV16" s="300"/>
      <c r="ACW16" s="300"/>
      <c r="ACX16" s="300"/>
      <c r="ACY16" s="300"/>
      <c r="ACZ16" s="300"/>
      <c r="ADA16" s="300"/>
      <c r="ADB16" s="300"/>
      <c r="ADC16" s="300"/>
      <c r="ADD16" s="300"/>
      <c r="ADE16" s="300"/>
      <c r="ADF16" s="300"/>
      <c r="ADG16" s="300"/>
      <c r="ADH16" s="300"/>
      <c r="ADI16" s="300"/>
      <c r="ADJ16" s="300"/>
      <c r="ADK16" s="300"/>
      <c r="ADL16" s="300"/>
      <c r="ADM16" s="300"/>
      <c r="ADN16" s="300"/>
      <c r="ADO16" s="300"/>
      <c r="ADP16" s="300"/>
      <c r="ADQ16" s="300"/>
      <c r="ADR16" s="300"/>
      <c r="ADS16" s="300"/>
      <c r="ADT16" s="300"/>
      <c r="ADU16" s="300"/>
      <c r="ADV16" s="300"/>
      <c r="ADW16" s="300"/>
      <c r="ADX16" s="300"/>
      <c r="ADY16" s="300"/>
      <c r="ADZ16" s="300"/>
      <c r="AEA16" s="300"/>
      <c r="AEB16" s="300"/>
      <c r="AEC16" s="300"/>
      <c r="AED16" s="300"/>
      <c r="AEE16" s="300"/>
      <c r="AEF16" s="300"/>
      <c r="AEG16" s="300"/>
      <c r="AEH16" s="300"/>
      <c r="AEI16" s="300"/>
      <c r="AEJ16" s="300"/>
      <c r="AEK16" s="300"/>
      <c r="AEL16" s="300"/>
      <c r="AEM16" s="300"/>
      <c r="AEN16" s="300"/>
      <c r="AEO16" s="300"/>
      <c r="AEP16" s="300"/>
      <c r="AEQ16" s="300"/>
      <c r="AER16" s="300"/>
      <c r="AES16" s="300"/>
      <c r="AET16" s="300"/>
      <c r="AEU16" s="300"/>
      <c r="AEV16" s="300"/>
      <c r="AEW16" s="300"/>
      <c r="AEX16" s="300"/>
      <c r="AEY16" s="300"/>
      <c r="AEZ16" s="300"/>
      <c r="AFA16" s="300"/>
      <c r="AFB16" s="300"/>
      <c r="AFC16" s="300"/>
      <c r="AFD16" s="300"/>
      <c r="AFE16" s="300"/>
      <c r="AFF16" s="300"/>
      <c r="AFG16" s="300"/>
      <c r="AFH16" s="300"/>
      <c r="AFI16" s="300"/>
      <c r="AFJ16" s="300"/>
      <c r="AFK16" s="300"/>
      <c r="AFL16" s="300"/>
      <c r="AFM16" s="300"/>
      <c r="AFN16" s="300"/>
      <c r="AFO16" s="300"/>
      <c r="AFP16" s="300"/>
      <c r="AFQ16" s="300"/>
      <c r="AFR16" s="300"/>
      <c r="AFS16" s="300"/>
      <c r="AFT16" s="300"/>
      <c r="AFU16" s="300"/>
      <c r="AFV16" s="300"/>
      <c r="AFW16" s="300"/>
      <c r="AFX16" s="300"/>
      <c r="AFY16" s="300"/>
      <c r="AFZ16" s="300"/>
      <c r="AGA16" s="300"/>
      <c r="AGB16" s="300"/>
      <c r="AGC16" s="300"/>
      <c r="AGD16" s="300"/>
      <c r="AGE16" s="300"/>
      <c r="AGF16" s="300"/>
      <c r="AGG16" s="300"/>
      <c r="AGH16" s="300"/>
      <c r="AGI16" s="300"/>
      <c r="AGJ16" s="300"/>
      <c r="AGK16" s="300"/>
      <c r="AGL16" s="300"/>
      <c r="AGM16" s="300"/>
      <c r="AGN16" s="300"/>
      <c r="AGO16" s="300"/>
      <c r="AGP16" s="300"/>
      <c r="AGQ16" s="300"/>
      <c r="AGR16" s="300"/>
      <c r="AGS16" s="300"/>
      <c r="AGT16" s="300"/>
      <c r="AGU16" s="300"/>
      <c r="AGV16" s="300"/>
      <c r="AGW16" s="300"/>
      <c r="AGX16" s="300"/>
      <c r="AGY16" s="300"/>
      <c r="AGZ16" s="300"/>
      <c r="AHA16" s="300"/>
      <c r="AHB16" s="300"/>
      <c r="AHC16" s="300"/>
      <c r="AHD16" s="300"/>
      <c r="AHE16" s="300"/>
      <c r="AHF16" s="300"/>
      <c r="AHG16" s="300"/>
      <c r="AHH16" s="300"/>
      <c r="AHI16" s="300"/>
      <c r="AHJ16" s="300"/>
      <c r="AHK16" s="300"/>
      <c r="AHL16" s="300"/>
      <c r="AHM16" s="300"/>
      <c r="AHN16" s="300"/>
      <c r="AHO16" s="300"/>
      <c r="AHP16" s="300"/>
      <c r="AHQ16" s="300"/>
      <c r="AHR16" s="300"/>
      <c r="AHS16" s="300"/>
      <c r="AHT16" s="300"/>
      <c r="AHU16" s="300"/>
      <c r="AHV16" s="300"/>
      <c r="AHW16" s="300"/>
      <c r="AHX16" s="300"/>
      <c r="AHY16" s="300"/>
      <c r="AHZ16" s="300"/>
      <c r="AIA16" s="300"/>
      <c r="AIB16" s="300"/>
      <c r="AIC16" s="300"/>
      <c r="AID16" s="300"/>
      <c r="AIE16" s="300"/>
      <c r="AIF16" s="300"/>
      <c r="AIG16" s="300"/>
      <c r="AIH16" s="300"/>
      <c r="AII16" s="300"/>
      <c r="AIJ16" s="300"/>
      <c r="AIK16" s="300"/>
      <c r="AIL16" s="300"/>
      <c r="AIM16" s="300"/>
      <c r="AIN16" s="300"/>
      <c r="AIO16" s="300"/>
      <c r="AIP16" s="300"/>
      <c r="AIQ16" s="300"/>
      <c r="AIR16" s="300"/>
      <c r="AIS16" s="300"/>
      <c r="AIT16" s="300"/>
      <c r="AIU16" s="300"/>
      <c r="AIV16" s="300"/>
      <c r="AIW16" s="300"/>
      <c r="AIX16" s="300"/>
      <c r="AIY16" s="300"/>
      <c r="AIZ16" s="300"/>
      <c r="AJA16" s="300"/>
      <c r="AJB16" s="300"/>
      <c r="AJC16" s="300"/>
      <c r="AJD16" s="300"/>
      <c r="AJE16" s="300"/>
      <c r="AJF16" s="300"/>
      <c r="AJG16" s="300"/>
      <c r="AJH16" s="300"/>
      <c r="AJI16" s="300"/>
      <c r="AJJ16" s="300"/>
      <c r="AJK16" s="300"/>
      <c r="AJL16" s="300"/>
      <c r="AJM16" s="300"/>
      <c r="AJN16" s="300"/>
      <c r="AJO16" s="300"/>
      <c r="AJP16" s="300"/>
      <c r="AJQ16" s="300"/>
      <c r="AJR16" s="300"/>
      <c r="AJS16" s="300"/>
      <c r="AJT16" s="300"/>
      <c r="AJU16" s="300"/>
      <c r="AJV16" s="300"/>
      <c r="AJW16" s="300"/>
      <c r="AJX16" s="300"/>
      <c r="AJY16" s="300"/>
      <c r="AJZ16" s="300"/>
      <c r="AKA16" s="300"/>
      <c r="AKB16" s="300"/>
      <c r="AKC16" s="300"/>
      <c r="AKD16" s="300"/>
      <c r="AKE16" s="300"/>
      <c r="AKF16" s="300"/>
      <c r="AKG16" s="300"/>
      <c r="AKH16" s="300"/>
      <c r="AKI16" s="300"/>
      <c r="AKJ16" s="300"/>
      <c r="AKK16" s="300"/>
      <c r="AKL16" s="300"/>
      <c r="AKM16" s="300"/>
      <c r="AKN16" s="300"/>
      <c r="AKO16" s="300"/>
      <c r="AKP16" s="300"/>
      <c r="AKQ16" s="300"/>
      <c r="AKR16" s="300"/>
      <c r="AKS16" s="300"/>
      <c r="AKT16" s="300"/>
      <c r="AKU16" s="300"/>
      <c r="AKV16" s="300"/>
      <c r="AKW16" s="300"/>
      <c r="AKX16" s="300"/>
      <c r="AKY16" s="300"/>
      <c r="AKZ16" s="300"/>
      <c r="ALA16" s="300"/>
      <c r="ALB16" s="300"/>
      <c r="ALC16" s="300"/>
      <c r="ALD16" s="300"/>
      <c r="ALE16" s="300"/>
      <c r="ALF16" s="300"/>
      <c r="ALG16" s="300"/>
      <c r="ALH16" s="300"/>
      <c r="ALI16" s="300"/>
      <c r="ALJ16" s="300"/>
      <c r="ALK16" s="300"/>
      <c r="ALL16" s="300"/>
      <c r="ALM16" s="300"/>
      <c r="ALN16" s="300"/>
      <c r="ALO16" s="300"/>
      <c r="ALP16" s="300"/>
      <c r="ALQ16" s="300"/>
      <c r="ALR16" s="300"/>
      <c r="ALS16" s="300"/>
      <c r="ALT16" s="300"/>
      <c r="ALU16" s="300"/>
      <c r="ALV16" s="300"/>
      <c r="ALW16" s="300"/>
      <c r="ALX16" s="300"/>
      <c r="ALY16" s="300"/>
      <c r="ALZ16" s="300"/>
      <c r="AMA16" s="300"/>
      <c r="AMB16" s="300"/>
      <c r="AMC16" s="300"/>
      <c r="AMD16" s="300"/>
      <c r="AME16" s="300"/>
      <c r="AMF16" s="300"/>
      <c r="AMG16" s="300"/>
      <c r="AMH16" s="300"/>
      <c r="AMI16" s="300"/>
      <c r="AMJ16" s="300"/>
      <c r="AMK16" s="300"/>
      <c r="AML16" s="300"/>
      <c r="AMM16" s="300"/>
      <c r="AMN16" s="300"/>
      <c r="AMO16" s="300"/>
      <c r="AMP16" s="300"/>
      <c r="AMQ16" s="300"/>
      <c r="AMR16" s="300"/>
      <c r="AMS16" s="300"/>
      <c r="AMT16" s="300"/>
      <c r="AMU16" s="300"/>
      <c r="AMV16" s="300"/>
      <c r="AMW16" s="300"/>
      <c r="AMX16" s="300"/>
      <c r="AMY16" s="300"/>
      <c r="AMZ16" s="300"/>
      <c r="ANA16" s="300"/>
      <c r="ANB16" s="300"/>
      <c r="ANC16" s="300"/>
      <c r="AND16" s="300"/>
      <c r="ANE16" s="300"/>
      <c r="ANF16" s="300"/>
      <c r="ANG16" s="300"/>
      <c r="ANH16" s="300"/>
      <c r="ANI16" s="300"/>
      <c r="ANJ16" s="300"/>
      <c r="ANK16" s="300"/>
      <c r="ANL16" s="300"/>
      <c r="ANM16" s="300"/>
      <c r="ANN16" s="300"/>
      <c r="ANO16" s="300"/>
      <c r="ANP16" s="300"/>
      <c r="ANQ16" s="300"/>
      <c r="ANR16" s="300"/>
      <c r="ANS16" s="300"/>
      <c r="ANT16" s="300"/>
      <c r="ANU16" s="300"/>
      <c r="ANV16" s="300"/>
      <c r="ANW16" s="300"/>
      <c r="ANX16" s="300"/>
      <c r="ANY16" s="300"/>
      <c r="ANZ16" s="300"/>
      <c r="AOA16" s="300"/>
      <c r="AOB16" s="300"/>
      <c r="AOC16" s="300"/>
      <c r="AOD16" s="300"/>
      <c r="AOE16" s="300"/>
      <c r="AOF16" s="300"/>
      <c r="AOG16" s="300"/>
      <c r="AOH16" s="300"/>
      <c r="AOI16" s="300"/>
      <c r="AOJ16" s="300"/>
      <c r="AOK16" s="300"/>
      <c r="AOL16" s="300"/>
      <c r="AOM16" s="300"/>
      <c r="AON16" s="300"/>
      <c r="AOO16" s="300"/>
      <c r="AOP16" s="300"/>
      <c r="AOQ16" s="300"/>
      <c r="AOR16" s="300"/>
      <c r="AOS16" s="300"/>
      <c r="AOT16" s="300"/>
      <c r="AOU16" s="300"/>
    </row>
    <row r="17" spans="2:1087" ht="20.100000000000001" customHeight="1" x14ac:dyDescent="0.2">
      <c r="B17" s="2039"/>
      <c r="C17" s="1821"/>
      <c r="D17" s="1822"/>
      <c r="E17" s="1823"/>
      <c r="F17" s="1823"/>
      <c r="G17" s="1823"/>
      <c r="H17" s="1823"/>
      <c r="I17" s="1823"/>
      <c r="J17" s="1823"/>
      <c r="K17" s="1823"/>
      <c r="L17" s="1823"/>
      <c r="M17" s="1823"/>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300"/>
      <c r="BW17" s="300"/>
      <c r="BX17" s="300"/>
      <c r="BY17" s="300"/>
      <c r="BZ17" s="300"/>
      <c r="CA17" s="300"/>
      <c r="CB17" s="300"/>
      <c r="CC17" s="300"/>
      <c r="CD17" s="300"/>
      <c r="CE17" s="300"/>
      <c r="CF17" s="300"/>
      <c r="CG17" s="300"/>
      <c r="CH17" s="300"/>
      <c r="CI17" s="300"/>
      <c r="CJ17" s="300"/>
      <c r="CK17" s="300"/>
      <c r="CL17" s="300"/>
      <c r="CM17" s="300"/>
      <c r="CN17" s="300"/>
      <c r="CO17" s="300"/>
      <c r="CP17" s="300"/>
      <c r="CQ17" s="300"/>
      <c r="CR17" s="300"/>
      <c r="CS17" s="300"/>
      <c r="CT17" s="300"/>
      <c r="CU17" s="300"/>
      <c r="CV17" s="300"/>
      <c r="CW17" s="300"/>
      <c r="CX17" s="300"/>
      <c r="CY17" s="300"/>
      <c r="CZ17" s="300"/>
      <c r="DA17" s="300"/>
      <c r="DB17" s="300"/>
      <c r="DC17" s="300"/>
      <c r="DD17" s="300"/>
      <c r="DE17" s="300"/>
      <c r="DF17" s="300"/>
      <c r="DG17" s="300"/>
      <c r="DH17" s="300"/>
      <c r="DI17" s="300"/>
      <c r="DJ17" s="300"/>
      <c r="DK17" s="300"/>
      <c r="DL17" s="300"/>
      <c r="DM17" s="300"/>
      <c r="DN17" s="300"/>
      <c r="DO17" s="300"/>
      <c r="DP17" s="300"/>
      <c r="DQ17" s="300"/>
      <c r="DR17" s="300"/>
      <c r="DS17" s="300"/>
      <c r="DT17" s="300"/>
      <c r="DU17" s="300"/>
      <c r="DV17" s="300"/>
      <c r="DW17" s="300"/>
      <c r="DX17" s="300"/>
      <c r="DY17" s="300"/>
      <c r="DZ17" s="300"/>
      <c r="EA17" s="300"/>
      <c r="EB17" s="300"/>
      <c r="EC17" s="300"/>
      <c r="ED17" s="300"/>
      <c r="EE17" s="300"/>
      <c r="EF17" s="300"/>
      <c r="EG17" s="300"/>
      <c r="EH17" s="300"/>
      <c r="EI17" s="300"/>
      <c r="EJ17" s="300"/>
      <c r="EK17" s="300"/>
      <c r="EL17" s="300"/>
      <c r="EM17" s="300"/>
      <c r="EN17" s="300"/>
      <c r="EO17" s="300"/>
      <c r="EP17" s="300"/>
      <c r="EQ17" s="300"/>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0"/>
      <c r="HM17" s="300"/>
      <c r="HN17" s="300"/>
      <c r="HO17" s="300"/>
      <c r="HP17" s="300"/>
      <c r="HQ17" s="300"/>
      <c r="HR17" s="300"/>
      <c r="HS17" s="300"/>
      <c r="HT17" s="300"/>
      <c r="HU17" s="300"/>
      <c r="HV17" s="300"/>
      <c r="HW17" s="300"/>
      <c r="HX17" s="300"/>
      <c r="HY17" s="300"/>
      <c r="HZ17" s="300"/>
      <c r="IA17" s="300"/>
      <c r="IB17" s="300"/>
      <c r="IC17" s="300"/>
      <c r="ID17" s="300"/>
      <c r="IE17" s="300"/>
      <c r="IF17" s="300"/>
      <c r="IG17" s="300"/>
      <c r="IH17" s="300"/>
      <c r="II17" s="300"/>
      <c r="IJ17" s="300"/>
      <c r="IK17" s="300"/>
      <c r="IL17" s="300"/>
      <c r="IM17" s="300"/>
      <c r="IN17" s="300"/>
      <c r="IO17" s="300"/>
      <c r="IP17" s="300"/>
      <c r="IQ17" s="300"/>
      <c r="IR17" s="300"/>
      <c r="IS17" s="300"/>
      <c r="IT17" s="300"/>
      <c r="IU17" s="300"/>
      <c r="IV17" s="300"/>
      <c r="IW17" s="300"/>
      <c r="IX17" s="300"/>
      <c r="IY17" s="300"/>
      <c r="IZ17" s="300"/>
      <c r="JA17" s="300"/>
      <c r="JB17" s="300"/>
      <c r="JC17" s="300"/>
      <c r="JD17" s="300"/>
      <c r="JE17" s="300"/>
      <c r="JF17" s="300"/>
      <c r="JG17" s="300"/>
      <c r="JH17" s="300"/>
      <c r="JI17" s="300"/>
      <c r="JJ17" s="300"/>
      <c r="JK17" s="300"/>
      <c r="JL17" s="300"/>
      <c r="JM17" s="300"/>
      <c r="JN17" s="300"/>
      <c r="JO17" s="300"/>
      <c r="JP17" s="300"/>
      <c r="JQ17" s="300"/>
      <c r="JR17" s="300"/>
      <c r="JS17" s="300"/>
      <c r="JT17" s="300"/>
      <c r="JU17" s="300"/>
      <c r="JV17" s="300"/>
      <c r="JW17" s="300"/>
      <c r="JX17" s="300"/>
      <c r="JY17" s="300"/>
      <c r="JZ17" s="300"/>
      <c r="KA17" s="300"/>
      <c r="KB17" s="300"/>
      <c r="KC17" s="300"/>
      <c r="KD17" s="300"/>
      <c r="KE17" s="300"/>
      <c r="KF17" s="300"/>
      <c r="KG17" s="300"/>
      <c r="KH17" s="300"/>
      <c r="KI17" s="300"/>
      <c r="KJ17" s="300"/>
      <c r="KK17" s="300"/>
      <c r="KL17" s="300"/>
      <c r="KM17" s="300"/>
      <c r="KN17" s="300"/>
      <c r="KO17" s="300"/>
      <c r="KP17" s="300"/>
      <c r="KQ17" s="300"/>
      <c r="KR17" s="300"/>
      <c r="KS17" s="300"/>
      <c r="KT17" s="300"/>
      <c r="KU17" s="300"/>
      <c r="KV17" s="300"/>
      <c r="KW17" s="300"/>
      <c r="KX17" s="300"/>
      <c r="KY17" s="300"/>
      <c r="KZ17" s="300"/>
      <c r="LA17" s="300"/>
      <c r="LB17" s="300"/>
      <c r="LC17" s="300"/>
      <c r="LD17" s="300"/>
      <c r="LE17" s="300"/>
      <c r="LF17" s="300"/>
      <c r="LG17" s="300"/>
      <c r="LH17" s="300"/>
      <c r="LI17" s="300"/>
      <c r="LJ17" s="300"/>
      <c r="LK17" s="300"/>
      <c r="LL17" s="300"/>
      <c r="LM17" s="300"/>
      <c r="LN17" s="300"/>
      <c r="LO17" s="300"/>
      <c r="LP17" s="300"/>
      <c r="LQ17" s="300"/>
      <c r="LR17" s="300"/>
      <c r="LS17" s="300"/>
      <c r="LT17" s="300"/>
      <c r="LU17" s="300"/>
      <c r="LV17" s="300"/>
      <c r="LW17" s="300"/>
      <c r="LX17" s="300"/>
      <c r="LY17" s="300"/>
      <c r="LZ17" s="300"/>
      <c r="MA17" s="300"/>
      <c r="MB17" s="300"/>
      <c r="MC17" s="300"/>
      <c r="MD17" s="300"/>
      <c r="ME17" s="300"/>
      <c r="MF17" s="300"/>
      <c r="MG17" s="300"/>
      <c r="MH17" s="300"/>
      <c r="MI17" s="300"/>
      <c r="MJ17" s="300"/>
      <c r="MK17" s="300"/>
      <c r="ML17" s="300"/>
      <c r="MM17" s="300"/>
      <c r="MN17" s="300"/>
      <c r="MO17" s="300"/>
      <c r="MP17" s="300"/>
      <c r="MQ17" s="300"/>
      <c r="MR17" s="300"/>
      <c r="MS17" s="300"/>
      <c r="MT17" s="300"/>
      <c r="MU17" s="300"/>
      <c r="MV17" s="300"/>
      <c r="MW17" s="300"/>
      <c r="MX17" s="300"/>
      <c r="MY17" s="300"/>
      <c r="MZ17" s="300"/>
      <c r="NA17" s="300"/>
      <c r="NB17" s="300"/>
      <c r="NC17" s="300"/>
      <c r="ND17" s="300"/>
      <c r="NE17" s="300"/>
      <c r="NF17" s="300"/>
      <c r="NG17" s="300"/>
      <c r="NH17" s="300"/>
      <c r="NI17" s="300"/>
      <c r="NJ17" s="300"/>
      <c r="NK17" s="300"/>
      <c r="NL17" s="300"/>
      <c r="NM17" s="300"/>
      <c r="NN17" s="300"/>
      <c r="NO17" s="300"/>
      <c r="NP17" s="300"/>
      <c r="NQ17" s="300"/>
      <c r="NR17" s="300"/>
      <c r="NS17" s="300"/>
      <c r="NT17" s="300"/>
      <c r="NU17" s="300"/>
      <c r="NV17" s="300"/>
      <c r="NW17" s="300"/>
      <c r="NX17" s="300"/>
      <c r="NY17" s="300"/>
      <c r="NZ17" s="300"/>
      <c r="OA17" s="300"/>
      <c r="OB17" s="300"/>
      <c r="OC17" s="300"/>
      <c r="OD17" s="300"/>
      <c r="OE17" s="300"/>
      <c r="OF17" s="300"/>
      <c r="OG17" s="300"/>
      <c r="OH17" s="300"/>
      <c r="OI17" s="300"/>
      <c r="OJ17" s="300"/>
      <c r="OK17" s="300"/>
      <c r="OL17" s="300"/>
      <c r="OM17" s="300"/>
      <c r="ON17" s="300"/>
      <c r="OO17" s="300"/>
      <c r="OP17" s="300"/>
      <c r="OQ17" s="300"/>
      <c r="OR17" s="300"/>
      <c r="OS17" s="300"/>
      <c r="OT17" s="300"/>
      <c r="OU17" s="300"/>
      <c r="OV17" s="300"/>
      <c r="OW17" s="300"/>
      <c r="OX17" s="300"/>
      <c r="OY17" s="300"/>
      <c r="OZ17" s="300"/>
      <c r="PA17" s="300"/>
      <c r="PB17" s="300"/>
      <c r="PC17" s="300"/>
      <c r="PD17" s="300"/>
      <c r="PE17" s="300"/>
      <c r="PF17" s="300"/>
      <c r="PG17" s="300"/>
      <c r="PH17" s="300"/>
      <c r="PI17" s="300"/>
      <c r="PJ17" s="300"/>
      <c r="PK17" s="300"/>
      <c r="PL17" s="300"/>
      <c r="PM17" s="300"/>
      <c r="PN17" s="300"/>
      <c r="PO17" s="300"/>
      <c r="PP17" s="300"/>
      <c r="PQ17" s="300"/>
      <c r="PR17" s="300"/>
      <c r="PS17" s="300"/>
      <c r="PT17" s="300"/>
      <c r="PU17" s="300"/>
      <c r="PV17" s="300"/>
      <c r="PW17" s="300"/>
      <c r="PX17" s="300"/>
      <c r="PY17" s="300"/>
      <c r="PZ17" s="300"/>
      <c r="QA17" s="300"/>
      <c r="QB17" s="300"/>
      <c r="QC17" s="300"/>
      <c r="QD17" s="300"/>
      <c r="QE17" s="300"/>
      <c r="QF17" s="300"/>
      <c r="QG17" s="300"/>
      <c r="QH17" s="300"/>
      <c r="QI17" s="300"/>
      <c r="QJ17" s="300"/>
      <c r="QK17" s="300"/>
      <c r="QL17" s="300"/>
      <c r="QM17" s="300"/>
      <c r="QN17" s="300"/>
      <c r="QO17" s="300"/>
      <c r="QP17" s="300"/>
      <c r="QQ17" s="300"/>
      <c r="QR17" s="300"/>
      <c r="QS17" s="300"/>
      <c r="QT17" s="300"/>
      <c r="QU17" s="300"/>
      <c r="QV17" s="300"/>
      <c r="QW17" s="300"/>
      <c r="QX17" s="300"/>
      <c r="QY17" s="300"/>
      <c r="QZ17" s="300"/>
      <c r="RA17" s="300"/>
      <c r="RB17" s="300"/>
      <c r="RC17" s="300"/>
      <c r="RD17" s="300"/>
      <c r="RE17" s="300"/>
      <c r="RF17" s="300"/>
      <c r="RG17" s="300"/>
      <c r="RH17" s="300"/>
      <c r="RI17" s="300"/>
      <c r="RJ17" s="300"/>
      <c r="RK17" s="300"/>
      <c r="RL17" s="300"/>
      <c r="RM17" s="300"/>
      <c r="RN17" s="300"/>
      <c r="RO17" s="300"/>
      <c r="RP17" s="300"/>
      <c r="RQ17" s="300"/>
      <c r="RR17" s="300"/>
      <c r="RS17" s="300"/>
      <c r="RT17" s="300"/>
      <c r="RU17" s="300"/>
      <c r="RV17" s="300"/>
      <c r="RW17" s="300"/>
      <c r="RX17" s="300"/>
      <c r="RY17" s="300"/>
      <c r="RZ17" s="300"/>
      <c r="SA17" s="300"/>
      <c r="SB17" s="300"/>
      <c r="SC17" s="300"/>
      <c r="SD17" s="300"/>
      <c r="SE17" s="300"/>
      <c r="SF17" s="300"/>
      <c r="SG17" s="300"/>
      <c r="SH17" s="300"/>
      <c r="SI17" s="300"/>
      <c r="SJ17" s="300"/>
      <c r="SK17" s="300"/>
      <c r="SL17" s="300"/>
      <c r="SM17" s="300"/>
      <c r="SN17" s="300"/>
      <c r="SO17" s="300"/>
      <c r="SP17" s="300"/>
      <c r="SQ17" s="300"/>
      <c r="SR17" s="300"/>
      <c r="SS17" s="300"/>
      <c r="ST17" s="300"/>
      <c r="SU17" s="300"/>
      <c r="SV17" s="300"/>
      <c r="SW17" s="300"/>
      <c r="SX17" s="300"/>
      <c r="SY17" s="300"/>
      <c r="SZ17" s="300"/>
      <c r="TA17" s="300"/>
      <c r="TB17" s="300"/>
      <c r="TC17" s="300"/>
      <c r="TD17" s="300"/>
      <c r="TE17" s="300"/>
      <c r="TF17" s="300"/>
      <c r="TG17" s="300"/>
      <c r="TH17" s="300"/>
      <c r="TI17" s="300"/>
      <c r="TJ17" s="300"/>
      <c r="TK17" s="300"/>
      <c r="TL17" s="300"/>
      <c r="TM17" s="300"/>
      <c r="TN17" s="300"/>
      <c r="TO17" s="300"/>
      <c r="TP17" s="300"/>
      <c r="TQ17" s="300"/>
      <c r="TR17" s="300"/>
      <c r="TS17" s="300"/>
      <c r="TT17" s="300"/>
      <c r="TU17" s="300"/>
      <c r="TV17" s="300"/>
      <c r="TW17" s="300"/>
      <c r="TX17" s="300"/>
      <c r="TY17" s="300"/>
      <c r="TZ17" s="300"/>
      <c r="UA17" s="300"/>
      <c r="UB17" s="300"/>
      <c r="UC17" s="300"/>
      <c r="UD17" s="300"/>
      <c r="UE17" s="300"/>
      <c r="UF17" s="300"/>
      <c r="UG17" s="300"/>
      <c r="UH17" s="300"/>
      <c r="UI17" s="300"/>
      <c r="UJ17" s="300"/>
      <c r="UK17" s="300"/>
      <c r="UL17" s="300"/>
      <c r="UM17" s="300"/>
      <c r="UN17" s="300"/>
      <c r="UO17" s="300"/>
      <c r="UP17" s="300"/>
      <c r="UQ17" s="300"/>
      <c r="UR17" s="300"/>
      <c r="US17" s="300"/>
      <c r="UT17" s="300"/>
      <c r="UU17" s="300"/>
      <c r="UV17" s="300"/>
      <c r="UW17" s="300"/>
      <c r="UX17" s="300"/>
      <c r="UY17" s="300"/>
      <c r="UZ17" s="300"/>
      <c r="VA17" s="300"/>
      <c r="VB17" s="300"/>
      <c r="VC17" s="300"/>
      <c r="VD17" s="300"/>
      <c r="VE17" s="300"/>
      <c r="VF17" s="300"/>
      <c r="VG17" s="300"/>
      <c r="VH17" s="300"/>
      <c r="VI17" s="300"/>
      <c r="VJ17" s="300"/>
      <c r="VK17" s="300"/>
      <c r="VL17" s="300"/>
      <c r="VM17" s="300"/>
      <c r="VN17" s="300"/>
      <c r="VO17" s="300"/>
      <c r="VP17" s="300"/>
      <c r="VQ17" s="300"/>
      <c r="VR17" s="300"/>
      <c r="VS17" s="300"/>
      <c r="VT17" s="300"/>
      <c r="VU17" s="300"/>
      <c r="VV17" s="300"/>
      <c r="VW17" s="300"/>
      <c r="VX17" s="300"/>
      <c r="VY17" s="300"/>
      <c r="VZ17" s="300"/>
      <c r="WA17" s="300"/>
      <c r="WB17" s="300"/>
      <c r="WC17" s="300"/>
      <c r="WD17" s="300"/>
      <c r="WE17" s="300"/>
      <c r="WF17" s="300"/>
      <c r="WG17" s="300"/>
      <c r="WH17" s="300"/>
      <c r="WI17" s="300"/>
      <c r="WJ17" s="300"/>
      <c r="WK17" s="300"/>
      <c r="WL17" s="300"/>
      <c r="WM17" s="300"/>
      <c r="WN17" s="300"/>
      <c r="WO17" s="300"/>
      <c r="WP17" s="300"/>
      <c r="WQ17" s="300"/>
      <c r="WR17" s="300"/>
      <c r="WS17" s="300"/>
      <c r="WT17" s="300"/>
      <c r="WU17" s="300"/>
      <c r="WV17" s="300"/>
      <c r="WW17" s="300"/>
      <c r="WX17" s="300"/>
      <c r="WY17" s="300"/>
      <c r="WZ17" s="300"/>
      <c r="XA17" s="300"/>
      <c r="XB17" s="300"/>
      <c r="XC17" s="300"/>
      <c r="XD17" s="300"/>
      <c r="XE17" s="300"/>
      <c r="XF17" s="300"/>
      <c r="XG17" s="300"/>
      <c r="XH17" s="300"/>
      <c r="XI17" s="300"/>
      <c r="XJ17" s="300"/>
      <c r="XK17" s="300"/>
      <c r="XL17" s="300"/>
      <c r="XM17" s="300"/>
      <c r="XN17" s="300"/>
      <c r="XO17" s="300"/>
      <c r="XP17" s="300"/>
      <c r="XQ17" s="300"/>
      <c r="XR17" s="300"/>
      <c r="XS17" s="300"/>
      <c r="XT17" s="300"/>
      <c r="XU17" s="300"/>
      <c r="XV17" s="300"/>
      <c r="XW17" s="300"/>
      <c r="XX17" s="300"/>
      <c r="XY17" s="300"/>
      <c r="XZ17" s="300"/>
      <c r="YA17" s="300"/>
      <c r="YB17" s="300"/>
      <c r="YC17" s="300"/>
      <c r="YD17" s="300"/>
      <c r="YE17" s="300"/>
      <c r="YF17" s="300"/>
      <c r="YG17" s="300"/>
      <c r="YH17" s="300"/>
      <c r="YI17" s="300"/>
      <c r="YJ17" s="300"/>
      <c r="YK17" s="300"/>
      <c r="YL17" s="300"/>
      <c r="YM17" s="300"/>
      <c r="YN17" s="300"/>
      <c r="YO17" s="300"/>
      <c r="YP17" s="300"/>
      <c r="YQ17" s="300"/>
      <c r="YR17" s="300"/>
      <c r="YS17" s="300"/>
      <c r="YT17" s="300"/>
      <c r="YU17" s="300"/>
      <c r="YV17" s="300"/>
      <c r="YW17" s="300"/>
      <c r="YX17" s="300"/>
      <c r="YY17" s="300"/>
      <c r="YZ17" s="300"/>
      <c r="ZA17" s="300"/>
      <c r="ZB17" s="300"/>
      <c r="ZC17" s="300"/>
      <c r="ZD17" s="300"/>
      <c r="ZE17" s="300"/>
      <c r="ZF17" s="300"/>
      <c r="ZG17" s="300"/>
      <c r="ZH17" s="300"/>
      <c r="ZI17" s="300"/>
      <c r="ZJ17" s="300"/>
      <c r="ZK17" s="300"/>
      <c r="ZL17" s="300"/>
      <c r="ZM17" s="300"/>
      <c r="ZN17" s="300"/>
      <c r="ZO17" s="300"/>
      <c r="ZP17" s="300"/>
      <c r="ZQ17" s="300"/>
      <c r="ZR17" s="300"/>
      <c r="ZS17" s="300"/>
      <c r="ZT17" s="300"/>
      <c r="ZU17" s="300"/>
      <c r="ZV17" s="300"/>
      <c r="ZW17" s="300"/>
      <c r="ZX17" s="300"/>
      <c r="ZY17" s="300"/>
      <c r="ZZ17" s="300"/>
      <c r="AAA17" s="300"/>
      <c r="AAB17" s="300"/>
      <c r="AAC17" s="300"/>
      <c r="AAD17" s="300"/>
      <c r="AAE17" s="300"/>
      <c r="AAF17" s="300"/>
      <c r="AAG17" s="300"/>
      <c r="AAH17" s="300"/>
      <c r="AAI17" s="300"/>
      <c r="AAJ17" s="300"/>
      <c r="AAK17" s="300"/>
      <c r="AAL17" s="300"/>
      <c r="AAM17" s="300"/>
      <c r="AAN17" s="300"/>
      <c r="AAO17" s="300"/>
      <c r="AAP17" s="300"/>
      <c r="AAQ17" s="300"/>
      <c r="AAR17" s="300"/>
      <c r="AAS17" s="300"/>
      <c r="AAT17" s="300"/>
      <c r="AAU17" s="300"/>
      <c r="AAV17" s="300"/>
      <c r="AAW17" s="300"/>
      <c r="AAX17" s="300"/>
      <c r="AAY17" s="300"/>
      <c r="AAZ17" s="300"/>
      <c r="ABA17" s="300"/>
      <c r="ABB17" s="300"/>
      <c r="ABC17" s="300"/>
      <c r="ABD17" s="300"/>
      <c r="ABE17" s="300"/>
      <c r="ABF17" s="300"/>
      <c r="ABG17" s="300"/>
      <c r="ABH17" s="300"/>
      <c r="ABI17" s="300"/>
      <c r="ABJ17" s="300"/>
      <c r="ABK17" s="300"/>
      <c r="ABL17" s="300"/>
      <c r="ABM17" s="300"/>
      <c r="ABN17" s="300"/>
      <c r="ABO17" s="300"/>
      <c r="ABP17" s="300"/>
      <c r="ABQ17" s="300"/>
      <c r="ABR17" s="300"/>
      <c r="ABS17" s="300"/>
      <c r="ABT17" s="300"/>
      <c r="ABU17" s="300"/>
      <c r="ABV17" s="300"/>
      <c r="ABW17" s="300"/>
      <c r="ABX17" s="300"/>
      <c r="ABY17" s="300"/>
      <c r="ABZ17" s="300"/>
      <c r="ACA17" s="300"/>
      <c r="ACB17" s="300"/>
      <c r="ACC17" s="300"/>
      <c r="ACD17" s="300"/>
      <c r="ACE17" s="300"/>
      <c r="ACF17" s="300"/>
      <c r="ACG17" s="300"/>
      <c r="ACH17" s="300"/>
      <c r="ACI17" s="300"/>
      <c r="ACJ17" s="300"/>
      <c r="ACK17" s="300"/>
      <c r="ACL17" s="300"/>
      <c r="ACM17" s="300"/>
      <c r="ACN17" s="300"/>
      <c r="ACO17" s="300"/>
      <c r="ACP17" s="300"/>
      <c r="ACQ17" s="300"/>
      <c r="ACR17" s="300"/>
      <c r="ACS17" s="300"/>
      <c r="ACT17" s="300"/>
      <c r="ACU17" s="300"/>
      <c r="ACV17" s="300"/>
      <c r="ACW17" s="300"/>
      <c r="ACX17" s="300"/>
      <c r="ACY17" s="300"/>
      <c r="ACZ17" s="300"/>
      <c r="ADA17" s="300"/>
      <c r="ADB17" s="300"/>
      <c r="ADC17" s="300"/>
      <c r="ADD17" s="300"/>
      <c r="ADE17" s="300"/>
      <c r="ADF17" s="300"/>
      <c r="ADG17" s="300"/>
      <c r="ADH17" s="300"/>
      <c r="ADI17" s="300"/>
      <c r="ADJ17" s="300"/>
      <c r="ADK17" s="300"/>
      <c r="ADL17" s="300"/>
      <c r="ADM17" s="300"/>
      <c r="ADN17" s="300"/>
      <c r="ADO17" s="300"/>
      <c r="ADP17" s="300"/>
      <c r="ADQ17" s="300"/>
      <c r="ADR17" s="300"/>
      <c r="ADS17" s="300"/>
      <c r="ADT17" s="300"/>
      <c r="ADU17" s="300"/>
      <c r="ADV17" s="300"/>
      <c r="ADW17" s="300"/>
      <c r="ADX17" s="300"/>
      <c r="ADY17" s="300"/>
      <c r="ADZ17" s="300"/>
      <c r="AEA17" s="300"/>
      <c r="AEB17" s="300"/>
      <c r="AEC17" s="300"/>
      <c r="AED17" s="300"/>
      <c r="AEE17" s="300"/>
      <c r="AEF17" s="300"/>
      <c r="AEG17" s="300"/>
      <c r="AEH17" s="300"/>
      <c r="AEI17" s="300"/>
      <c r="AEJ17" s="300"/>
      <c r="AEK17" s="300"/>
      <c r="AEL17" s="300"/>
      <c r="AEM17" s="300"/>
      <c r="AEN17" s="300"/>
      <c r="AEO17" s="300"/>
      <c r="AEP17" s="300"/>
      <c r="AEQ17" s="300"/>
      <c r="AER17" s="300"/>
      <c r="AES17" s="300"/>
      <c r="AET17" s="300"/>
      <c r="AEU17" s="300"/>
      <c r="AEV17" s="300"/>
      <c r="AEW17" s="300"/>
      <c r="AEX17" s="300"/>
      <c r="AEY17" s="300"/>
      <c r="AEZ17" s="300"/>
      <c r="AFA17" s="300"/>
      <c r="AFB17" s="300"/>
      <c r="AFC17" s="300"/>
      <c r="AFD17" s="300"/>
      <c r="AFE17" s="300"/>
      <c r="AFF17" s="300"/>
      <c r="AFG17" s="300"/>
      <c r="AFH17" s="300"/>
      <c r="AFI17" s="300"/>
      <c r="AFJ17" s="300"/>
      <c r="AFK17" s="300"/>
      <c r="AFL17" s="300"/>
      <c r="AFM17" s="300"/>
      <c r="AFN17" s="300"/>
      <c r="AFO17" s="300"/>
      <c r="AFP17" s="300"/>
      <c r="AFQ17" s="300"/>
      <c r="AFR17" s="300"/>
      <c r="AFS17" s="300"/>
      <c r="AFT17" s="300"/>
      <c r="AFU17" s="300"/>
      <c r="AFV17" s="300"/>
      <c r="AFW17" s="300"/>
      <c r="AFX17" s="300"/>
      <c r="AFY17" s="300"/>
      <c r="AFZ17" s="300"/>
      <c r="AGA17" s="300"/>
      <c r="AGB17" s="300"/>
      <c r="AGC17" s="300"/>
      <c r="AGD17" s="300"/>
      <c r="AGE17" s="300"/>
      <c r="AGF17" s="300"/>
      <c r="AGG17" s="300"/>
      <c r="AGH17" s="300"/>
      <c r="AGI17" s="300"/>
      <c r="AGJ17" s="300"/>
      <c r="AGK17" s="300"/>
      <c r="AGL17" s="300"/>
      <c r="AGM17" s="300"/>
      <c r="AGN17" s="300"/>
      <c r="AGO17" s="300"/>
      <c r="AGP17" s="300"/>
      <c r="AGQ17" s="300"/>
      <c r="AGR17" s="300"/>
      <c r="AGS17" s="300"/>
      <c r="AGT17" s="300"/>
      <c r="AGU17" s="300"/>
      <c r="AGV17" s="300"/>
      <c r="AGW17" s="300"/>
      <c r="AGX17" s="300"/>
      <c r="AGY17" s="300"/>
      <c r="AGZ17" s="300"/>
      <c r="AHA17" s="300"/>
      <c r="AHB17" s="300"/>
      <c r="AHC17" s="300"/>
      <c r="AHD17" s="300"/>
      <c r="AHE17" s="300"/>
      <c r="AHF17" s="300"/>
      <c r="AHG17" s="300"/>
      <c r="AHH17" s="300"/>
      <c r="AHI17" s="300"/>
      <c r="AHJ17" s="300"/>
      <c r="AHK17" s="300"/>
      <c r="AHL17" s="300"/>
      <c r="AHM17" s="300"/>
      <c r="AHN17" s="300"/>
      <c r="AHO17" s="300"/>
      <c r="AHP17" s="300"/>
      <c r="AHQ17" s="300"/>
      <c r="AHR17" s="300"/>
      <c r="AHS17" s="300"/>
      <c r="AHT17" s="300"/>
      <c r="AHU17" s="300"/>
      <c r="AHV17" s="300"/>
      <c r="AHW17" s="300"/>
      <c r="AHX17" s="300"/>
      <c r="AHY17" s="300"/>
      <c r="AHZ17" s="300"/>
      <c r="AIA17" s="300"/>
      <c r="AIB17" s="300"/>
      <c r="AIC17" s="300"/>
      <c r="AID17" s="300"/>
      <c r="AIE17" s="300"/>
      <c r="AIF17" s="300"/>
      <c r="AIG17" s="300"/>
      <c r="AIH17" s="300"/>
      <c r="AII17" s="300"/>
      <c r="AIJ17" s="300"/>
      <c r="AIK17" s="300"/>
      <c r="AIL17" s="300"/>
      <c r="AIM17" s="300"/>
      <c r="AIN17" s="300"/>
      <c r="AIO17" s="300"/>
      <c r="AIP17" s="300"/>
      <c r="AIQ17" s="300"/>
      <c r="AIR17" s="300"/>
      <c r="AIS17" s="300"/>
      <c r="AIT17" s="300"/>
      <c r="AIU17" s="300"/>
      <c r="AIV17" s="300"/>
      <c r="AIW17" s="300"/>
      <c r="AIX17" s="300"/>
      <c r="AIY17" s="300"/>
      <c r="AIZ17" s="300"/>
      <c r="AJA17" s="300"/>
      <c r="AJB17" s="300"/>
      <c r="AJC17" s="300"/>
      <c r="AJD17" s="300"/>
      <c r="AJE17" s="300"/>
      <c r="AJF17" s="300"/>
      <c r="AJG17" s="300"/>
      <c r="AJH17" s="300"/>
      <c r="AJI17" s="300"/>
      <c r="AJJ17" s="300"/>
      <c r="AJK17" s="300"/>
      <c r="AJL17" s="300"/>
      <c r="AJM17" s="300"/>
      <c r="AJN17" s="300"/>
      <c r="AJO17" s="300"/>
      <c r="AJP17" s="300"/>
      <c r="AJQ17" s="300"/>
      <c r="AJR17" s="300"/>
      <c r="AJS17" s="300"/>
      <c r="AJT17" s="300"/>
      <c r="AJU17" s="300"/>
      <c r="AJV17" s="300"/>
      <c r="AJW17" s="300"/>
      <c r="AJX17" s="300"/>
      <c r="AJY17" s="300"/>
      <c r="AJZ17" s="300"/>
      <c r="AKA17" s="300"/>
      <c r="AKB17" s="300"/>
      <c r="AKC17" s="300"/>
      <c r="AKD17" s="300"/>
      <c r="AKE17" s="300"/>
      <c r="AKF17" s="300"/>
      <c r="AKG17" s="300"/>
      <c r="AKH17" s="300"/>
      <c r="AKI17" s="300"/>
      <c r="AKJ17" s="300"/>
      <c r="AKK17" s="300"/>
      <c r="AKL17" s="300"/>
      <c r="AKM17" s="300"/>
      <c r="AKN17" s="300"/>
      <c r="AKO17" s="300"/>
      <c r="AKP17" s="300"/>
      <c r="AKQ17" s="300"/>
      <c r="AKR17" s="300"/>
      <c r="AKS17" s="300"/>
      <c r="AKT17" s="300"/>
      <c r="AKU17" s="300"/>
      <c r="AKV17" s="300"/>
      <c r="AKW17" s="300"/>
      <c r="AKX17" s="300"/>
      <c r="AKY17" s="300"/>
      <c r="AKZ17" s="300"/>
      <c r="ALA17" s="300"/>
      <c r="ALB17" s="300"/>
      <c r="ALC17" s="300"/>
      <c r="ALD17" s="300"/>
      <c r="ALE17" s="300"/>
      <c r="ALF17" s="300"/>
      <c r="ALG17" s="300"/>
      <c r="ALH17" s="300"/>
      <c r="ALI17" s="300"/>
      <c r="ALJ17" s="300"/>
      <c r="ALK17" s="300"/>
      <c r="ALL17" s="300"/>
      <c r="ALM17" s="300"/>
      <c r="ALN17" s="300"/>
      <c r="ALO17" s="300"/>
      <c r="ALP17" s="300"/>
      <c r="ALQ17" s="300"/>
      <c r="ALR17" s="300"/>
      <c r="ALS17" s="300"/>
      <c r="ALT17" s="300"/>
      <c r="ALU17" s="300"/>
      <c r="ALV17" s="300"/>
      <c r="ALW17" s="300"/>
      <c r="ALX17" s="300"/>
      <c r="ALY17" s="300"/>
      <c r="ALZ17" s="300"/>
      <c r="AMA17" s="300"/>
      <c r="AMB17" s="300"/>
      <c r="AMC17" s="300"/>
      <c r="AMD17" s="300"/>
      <c r="AME17" s="300"/>
      <c r="AMF17" s="300"/>
      <c r="AMG17" s="300"/>
      <c r="AMH17" s="300"/>
      <c r="AMI17" s="300"/>
      <c r="AMJ17" s="300"/>
      <c r="AMK17" s="300"/>
      <c r="AML17" s="300"/>
      <c r="AMM17" s="300"/>
      <c r="AMN17" s="300"/>
      <c r="AMO17" s="300"/>
      <c r="AMP17" s="300"/>
      <c r="AMQ17" s="300"/>
      <c r="AMR17" s="300"/>
      <c r="AMS17" s="300"/>
      <c r="AMT17" s="300"/>
      <c r="AMU17" s="300"/>
      <c r="AMV17" s="300"/>
      <c r="AMW17" s="300"/>
      <c r="AMX17" s="300"/>
      <c r="AMY17" s="300"/>
      <c r="AMZ17" s="300"/>
      <c r="ANA17" s="300"/>
      <c r="ANB17" s="300"/>
      <c r="ANC17" s="300"/>
      <c r="AND17" s="300"/>
      <c r="ANE17" s="300"/>
      <c r="ANF17" s="300"/>
      <c r="ANG17" s="300"/>
      <c r="ANH17" s="300"/>
      <c r="ANI17" s="300"/>
      <c r="ANJ17" s="300"/>
      <c r="ANK17" s="300"/>
      <c r="ANL17" s="300"/>
      <c r="ANM17" s="300"/>
      <c r="ANN17" s="300"/>
      <c r="ANO17" s="300"/>
      <c r="ANP17" s="300"/>
      <c r="ANQ17" s="300"/>
      <c r="ANR17" s="300"/>
      <c r="ANS17" s="300"/>
      <c r="ANT17" s="300"/>
      <c r="ANU17" s="300"/>
      <c r="ANV17" s="300"/>
      <c r="ANW17" s="300"/>
      <c r="ANX17" s="300"/>
      <c r="ANY17" s="300"/>
      <c r="ANZ17" s="300"/>
      <c r="AOA17" s="300"/>
      <c r="AOB17" s="300"/>
      <c r="AOC17" s="300"/>
      <c r="AOD17" s="300"/>
      <c r="AOE17" s="300"/>
      <c r="AOF17" s="300"/>
      <c r="AOG17" s="300"/>
      <c r="AOH17" s="300"/>
      <c r="AOI17" s="300"/>
      <c r="AOJ17" s="300"/>
      <c r="AOK17" s="300"/>
      <c r="AOL17" s="300"/>
      <c r="AOM17" s="300"/>
      <c r="AON17" s="300"/>
      <c r="AOO17" s="300"/>
      <c r="AOP17" s="300"/>
      <c r="AOQ17" s="300"/>
      <c r="AOR17" s="300"/>
      <c r="AOS17" s="300"/>
      <c r="AOT17" s="300"/>
      <c r="AOU17" s="300"/>
    </row>
    <row r="18" spans="2:1087" ht="20.100000000000001" customHeight="1" x14ac:dyDescent="0.2">
      <c r="B18" s="1113" t="s">
        <v>2123</v>
      </c>
      <c r="C18" s="1824"/>
      <c r="D18" s="1825"/>
      <c r="E18" s="1826"/>
      <c r="F18" s="1826"/>
      <c r="G18" s="1826"/>
      <c r="H18" s="1826"/>
      <c r="I18" s="1826"/>
      <c r="J18" s="1826"/>
      <c r="K18" s="1826"/>
      <c r="L18" s="1823"/>
      <c r="M18" s="1826"/>
    </row>
    <row r="19" spans="2:1087" ht="20.100000000000001" customHeight="1" x14ac:dyDescent="0.2">
      <c r="B19" s="1113" t="s">
        <v>2116</v>
      </c>
      <c r="C19" s="1824" t="s">
        <v>2118</v>
      </c>
      <c r="D19" s="1825" t="s">
        <v>2119</v>
      </c>
      <c r="E19" s="1826">
        <v>9536</v>
      </c>
      <c r="F19" s="1826">
        <v>6508</v>
      </c>
      <c r="G19" s="1826">
        <v>16044</v>
      </c>
      <c r="H19" s="1826">
        <v>0</v>
      </c>
      <c r="I19" s="1826">
        <v>0</v>
      </c>
      <c r="J19" s="1826">
        <v>0</v>
      </c>
      <c r="K19" s="1826">
        <v>0</v>
      </c>
      <c r="L19" s="1823">
        <f t="shared" si="0"/>
        <v>16044</v>
      </c>
      <c r="M19" s="1826">
        <v>16044</v>
      </c>
    </row>
    <row r="20" spans="2:1087" ht="20.100000000000001" customHeight="1" x14ac:dyDescent="0.2">
      <c r="B20" s="1113" t="s">
        <v>2117</v>
      </c>
      <c r="C20" s="1824" t="s">
        <v>2118</v>
      </c>
      <c r="D20" s="1825" t="s">
        <v>2120</v>
      </c>
      <c r="E20" s="2036">
        <v>0</v>
      </c>
      <c r="F20" s="2036">
        <v>14166</v>
      </c>
      <c r="G20" s="2036">
        <v>0</v>
      </c>
      <c r="H20" s="2036">
        <v>0</v>
      </c>
      <c r="I20" s="2036">
        <v>16189</v>
      </c>
      <c r="J20" s="2036">
        <v>0</v>
      </c>
      <c r="K20" s="2036">
        <v>0</v>
      </c>
      <c r="L20" s="2037">
        <f t="shared" si="0"/>
        <v>16189</v>
      </c>
      <c r="M20" s="2036">
        <v>22289</v>
      </c>
    </row>
    <row r="21" spans="2:1087" ht="20.100000000000001" customHeight="1" x14ac:dyDescent="0.2">
      <c r="B21" s="1113"/>
      <c r="C21" s="1824"/>
      <c r="D21" s="1825"/>
      <c r="E21" s="2038">
        <f>SUM(E19:E20)</f>
        <v>9536</v>
      </c>
      <c r="F21" s="2038">
        <f>SUM(F19:F20)</f>
        <v>20674</v>
      </c>
      <c r="G21" s="2038">
        <f t="shared" ref="G21:K21" si="2">SUM(G19:G20)</f>
        <v>16044</v>
      </c>
      <c r="H21" s="2038">
        <f t="shared" si="2"/>
        <v>0</v>
      </c>
      <c r="I21" s="2038">
        <f t="shared" si="2"/>
        <v>16189</v>
      </c>
      <c r="J21" s="2038">
        <f t="shared" si="2"/>
        <v>0</v>
      </c>
      <c r="K21" s="2038">
        <f t="shared" si="2"/>
        <v>0</v>
      </c>
      <c r="L21" s="2038">
        <f t="shared" si="0"/>
        <v>32233</v>
      </c>
      <c r="M21" s="2038"/>
    </row>
    <row r="22" spans="2:1087" ht="20.100000000000001" customHeight="1" x14ac:dyDescent="0.2">
      <c r="B22" s="1113"/>
      <c r="C22" s="1824"/>
      <c r="D22" s="1825"/>
      <c r="E22" s="1823"/>
      <c r="F22" s="1823"/>
      <c r="G22" s="1823"/>
      <c r="H22" s="1823"/>
      <c r="I22" s="1823"/>
      <c r="J22" s="1823"/>
      <c r="K22" s="1823"/>
      <c r="L22" s="1823">
        <f t="shared" si="0"/>
        <v>0</v>
      </c>
      <c r="M22" s="1823"/>
    </row>
    <row r="23" spans="2:1087" ht="20.100000000000001" customHeight="1" x14ac:dyDescent="0.2">
      <c r="B23" s="1113"/>
      <c r="C23" s="1824"/>
      <c r="D23" s="1825"/>
      <c r="E23" s="1826"/>
      <c r="F23" s="1826"/>
      <c r="G23" s="1826"/>
      <c r="H23" s="1826"/>
      <c r="I23" s="1826"/>
      <c r="J23" s="1826"/>
      <c r="K23" s="1826"/>
      <c r="L23" s="1823">
        <f t="shared" si="0"/>
        <v>0</v>
      </c>
      <c r="M23" s="1826"/>
    </row>
    <row r="24" spans="2:1087" ht="20.100000000000001" customHeight="1" x14ac:dyDescent="0.2">
      <c r="B24" s="1113"/>
      <c r="C24" s="1824"/>
      <c r="D24" s="1825"/>
      <c r="E24" s="1826"/>
      <c r="F24" s="1826"/>
      <c r="G24" s="1826"/>
      <c r="H24" s="1826"/>
      <c r="I24" s="1826"/>
      <c r="J24" s="1826"/>
      <c r="K24" s="1826"/>
      <c r="L24" s="1823">
        <f t="shared" si="0"/>
        <v>0</v>
      </c>
      <c r="M24" s="1826"/>
    </row>
    <row r="25" spans="2:1087" ht="20.100000000000001" customHeight="1" x14ac:dyDescent="0.2">
      <c r="B25" s="1113"/>
      <c r="C25" s="1824"/>
      <c r="D25" s="1825"/>
      <c r="E25" s="1826"/>
      <c r="F25" s="1826"/>
      <c r="G25" s="1826"/>
      <c r="H25" s="1826"/>
      <c r="I25" s="1826"/>
      <c r="J25" s="1826"/>
      <c r="K25" s="1826"/>
      <c r="L25" s="1823">
        <f t="shared" si="0"/>
        <v>0</v>
      </c>
      <c r="M25" s="1826"/>
    </row>
    <row r="26" spans="2:1087" ht="20.100000000000001" customHeight="1" x14ac:dyDescent="0.2">
      <c r="B26" s="1113"/>
      <c r="C26" s="1824"/>
      <c r="D26" s="1825"/>
      <c r="E26" s="2036"/>
      <c r="F26" s="2036"/>
      <c r="G26" s="2036"/>
      <c r="H26" s="2036"/>
      <c r="I26" s="2036"/>
      <c r="J26" s="2036"/>
      <c r="K26" s="2036"/>
      <c r="L26" s="2037">
        <f t="shared" si="0"/>
        <v>0</v>
      </c>
      <c r="M26" s="2036"/>
    </row>
    <row r="27" spans="2:1087" ht="20.100000000000001" customHeight="1" x14ac:dyDescent="0.2">
      <c r="B27" s="2035" t="s">
        <v>2124</v>
      </c>
      <c r="C27" s="1824"/>
      <c r="D27" s="1825"/>
      <c r="E27" s="2038">
        <f>SUM(E16+E21)</f>
        <v>400259</v>
      </c>
      <c r="F27" s="2038">
        <f t="shared" ref="F27:K27" si="3">SUM(F16+F21)</f>
        <v>673664</v>
      </c>
      <c r="G27" s="2038">
        <f t="shared" si="3"/>
        <v>473938</v>
      </c>
      <c r="H27" s="2038">
        <f t="shared" si="3"/>
        <v>0</v>
      </c>
      <c r="I27" s="2038">
        <f t="shared" si="3"/>
        <v>617803</v>
      </c>
      <c r="J27" s="2038">
        <f t="shared" si="3"/>
        <v>0</v>
      </c>
      <c r="K27" s="2038">
        <f t="shared" si="3"/>
        <v>0</v>
      </c>
      <c r="L27" s="2038">
        <f t="shared" si="0"/>
        <v>1091741</v>
      </c>
      <c r="M27" s="2038"/>
      <c r="N27" s="1114"/>
    </row>
    <row r="28" spans="2:1087" ht="12.75" customHeight="1" x14ac:dyDescent="0.2">
      <c r="B28" s="1115"/>
      <c r="C28" s="1116"/>
      <c r="D28" s="1117"/>
      <c r="E28" s="1118"/>
      <c r="F28" s="1118"/>
      <c r="G28" s="1118"/>
      <c r="H28" s="1118"/>
      <c r="I28" s="1118"/>
      <c r="J28" s="1118"/>
      <c r="K28" s="1118"/>
      <c r="L28" s="1118"/>
      <c r="M28" s="1118"/>
      <c r="N28" s="1114"/>
    </row>
    <row r="29" spans="2:1087" x14ac:dyDescent="0.2">
      <c r="B29" s="1033"/>
      <c r="C29" s="1119"/>
      <c r="D29" s="1120"/>
      <c r="E29" s="1033"/>
      <c r="F29" s="1033"/>
      <c r="G29" s="1026"/>
      <c r="H29" s="1026"/>
      <c r="I29" s="1026"/>
      <c r="J29" s="1026"/>
      <c r="K29" s="1026"/>
      <c r="L29" s="1026"/>
      <c r="M29" s="1033"/>
      <c r="N29" s="1114"/>
    </row>
    <row r="30" spans="2:1087" ht="13.5" customHeight="1" x14ac:dyDescent="0.2">
      <c r="B30" s="1058" t="s">
        <v>1710</v>
      </c>
      <c r="C30" s="1119"/>
      <c r="D30" s="1120"/>
      <c r="E30" s="1033"/>
      <c r="F30" s="1033"/>
      <c r="G30" s="1026"/>
      <c r="H30" s="1026"/>
      <c r="I30" s="1026"/>
      <c r="J30" s="1026"/>
      <c r="K30" s="1026"/>
      <c r="L30" s="1026"/>
      <c r="M30" s="1033"/>
      <c r="N30" s="1114"/>
    </row>
    <row r="31" spans="2:1087" ht="8.25" customHeight="1" x14ac:dyDescent="0.2">
      <c r="B31" s="1058"/>
      <c r="C31" s="1119"/>
      <c r="D31" s="1120"/>
      <c r="E31" s="1033"/>
      <c r="F31" s="1033"/>
      <c r="G31" s="1026"/>
      <c r="H31" s="1026"/>
      <c r="I31" s="1026"/>
      <c r="J31" s="1026"/>
      <c r="K31" s="1026"/>
      <c r="L31" s="1026"/>
      <c r="M31" s="1033"/>
      <c r="N31" s="1114"/>
    </row>
    <row r="32" spans="2:1087"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DD1B-C7C9-4A74-B2BA-0F45A8154ADA}">
  <sheetPr>
    <pageSetUpPr fitToPage="1"/>
  </sheetPr>
  <dimension ref="B1:N152"/>
  <sheetViews>
    <sheetView showGridLines="0" topLeftCell="A15"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Mt Vernon Twp HSD 201</v>
      </c>
      <c r="C1" s="2578"/>
      <c r="D1" s="2578"/>
      <c r="E1" s="2578"/>
      <c r="F1" s="2578"/>
      <c r="G1" s="2578"/>
      <c r="H1" s="2578"/>
      <c r="I1" s="2578"/>
      <c r="J1" s="2578"/>
      <c r="K1" s="2578"/>
      <c r="L1" s="2578"/>
      <c r="M1" s="2578"/>
    </row>
    <row r="2" spans="2:14" ht="15" x14ac:dyDescent="0.2">
      <c r="B2" s="2579">
        <f>'Single Audit Cover'!E7</f>
        <v>13041201017</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3"/>
      <c r="J5" s="1913"/>
    </row>
    <row r="6" spans="2:14" x14ac:dyDescent="0.2">
      <c r="B6" s="1079"/>
      <c r="C6" s="1080"/>
      <c r="D6" s="1081" t="s">
        <v>1254</v>
      </c>
      <c r="E6" s="1082" t="s">
        <v>524</v>
      </c>
      <c r="F6" s="1083"/>
      <c r="G6" s="1084" t="s">
        <v>1707</v>
      </c>
      <c r="H6" s="1082"/>
      <c r="I6" s="1082"/>
      <c r="J6" s="1914"/>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2108</v>
      </c>
      <c r="C11" s="1821"/>
      <c r="D11" s="1822"/>
      <c r="E11" s="1823"/>
      <c r="F11" s="1823"/>
      <c r="G11" s="1823"/>
      <c r="H11" s="1823"/>
      <c r="I11" s="1823"/>
      <c r="J11" s="1823"/>
      <c r="K11" s="1823"/>
      <c r="L11" s="1823"/>
      <c r="M11" s="1823"/>
    </row>
    <row r="12" spans="2:14" ht="20.100000000000001" customHeight="1" x14ac:dyDescent="0.2">
      <c r="B12" s="2035" t="s">
        <v>2121</v>
      </c>
      <c r="C12" s="1824"/>
      <c r="D12" s="1825"/>
      <c r="E12" s="1826"/>
      <c r="F12" s="1826"/>
      <c r="G12" s="1826"/>
      <c r="H12" s="1826"/>
      <c r="I12" s="1826"/>
      <c r="J12" s="1826"/>
      <c r="K12" s="1826"/>
      <c r="L12" s="1823"/>
      <c r="M12" s="1826"/>
    </row>
    <row r="13" spans="2:14" ht="20.100000000000001" customHeight="1" x14ac:dyDescent="0.2">
      <c r="B13" s="1113" t="s">
        <v>2122</v>
      </c>
      <c r="C13" s="1824"/>
      <c r="D13" s="1825"/>
      <c r="E13" s="2036"/>
      <c r="F13" s="2036"/>
      <c r="G13" s="2036"/>
      <c r="H13" s="2036"/>
      <c r="I13" s="2036"/>
      <c r="J13" s="2036"/>
      <c r="K13" s="2036"/>
      <c r="L13" s="2037"/>
      <c r="M13" s="2036"/>
    </row>
    <row r="14" spans="2:14" ht="20.100000000000001" customHeight="1" x14ac:dyDescent="0.2">
      <c r="B14" s="1113" t="s">
        <v>2125</v>
      </c>
      <c r="C14" s="1824">
        <v>84.048000000000002</v>
      </c>
      <c r="D14" s="1825" t="s">
        <v>2126</v>
      </c>
      <c r="E14" s="2038">
        <v>0</v>
      </c>
      <c r="F14" s="2038">
        <v>21554</v>
      </c>
      <c r="G14" s="2038">
        <v>0</v>
      </c>
      <c r="H14" s="2038">
        <v>0</v>
      </c>
      <c r="I14" s="2038">
        <v>21554</v>
      </c>
      <c r="J14" s="2038">
        <v>0</v>
      </c>
      <c r="K14" s="2038">
        <v>0</v>
      </c>
      <c r="L14" s="2038">
        <f t="shared" ref="L14:L26" si="0">+G14+I14+K14</f>
        <v>21554</v>
      </c>
      <c r="M14" s="2038">
        <v>24401</v>
      </c>
    </row>
    <row r="15" spans="2:14" ht="20.100000000000001" customHeight="1" x14ac:dyDescent="0.2">
      <c r="B15" s="1113" t="s">
        <v>1159</v>
      </c>
      <c r="C15" s="1824"/>
      <c r="D15" s="1825"/>
      <c r="E15" s="1823"/>
      <c r="F15" s="1823"/>
      <c r="G15" s="1823"/>
      <c r="H15" s="1823"/>
      <c r="I15" s="1823"/>
      <c r="J15" s="1823"/>
      <c r="K15" s="1823"/>
      <c r="L15" s="1823">
        <f t="shared" si="0"/>
        <v>0</v>
      </c>
      <c r="M15" s="1823"/>
    </row>
    <row r="16" spans="2:14" ht="20.100000000000001" customHeight="1" x14ac:dyDescent="0.2">
      <c r="B16" s="2035" t="s">
        <v>2131</v>
      </c>
      <c r="C16" s="1824"/>
      <c r="D16" s="1825"/>
      <c r="E16" s="1826"/>
      <c r="F16" s="1826"/>
      <c r="G16" s="1826"/>
      <c r="H16" s="1826"/>
      <c r="I16" s="1826"/>
      <c r="J16" s="1826"/>
      <c r="K16" s="1826"/>
      <c r="L16" s="1823">
        <f t="shared" si="0"/>
        <v>0</v>
      </c>
      <c r="M16" s="1826"/>
    </row>
    <row r="17" spans="2:14" ht="20.100000000000001" customHeight="1" x14ac:dyDescent="0.2">
      <c r="B17" s="1113" t="s">
        <v>2128</v>
      </c>
      <c r="C17" s="1824"/>
      <c r="D17" s="1825"/>
      <c r="E17" s="1826"/>
      <c r="F17" s="1826"/>
      <c r="G17" s="1826"/>
      <c r="H17" s="1826"/>
      <c r="I17" s="1826"/>
      <c r="J17" s="1826"/>
      <c r="K17" s="1826"/>
      <c r="L17" s="1823">
        <f t="shared" si="0"/>
        <v>0</v>
      </c>
      <c r="M17" s="1826"/>
    </row>
    <row r="18" spans="2:14" ht="20.100000000000001" customHeight="1" x14ac:dyDescent="0.2">
      <c r="B18" s="1113" t="s">
        <v>2127</v>
      </c>
      <c r="C18" s="1824">
        <v>84.126000000000005</v>
      </c>
      <c r="D18" s="1825" t="s">
        <v>2129</v>
      </c>
      <c r="E18" s="1826">
        <v>35394</v>
      </c>
      <c r="F18" s="1826">
        <v>0</v>
      </c>
      <c r="G18" s="1826">
        <v>35394</v>
      </c>
      <c r="H18" s="1826">
        <v>0</v>
      </c>
      <c r="I18" s="1826">
        <v>0</v>
      </c>
      <c r="J18" s="1826">
        <v>0</v>
      </c>
      <c r="K18" s="1826">
        <v>0</v>
      </c>
      <c r="L18" s="1823">
        <f t="shared" si="0"/>
        <v>35394</v>
      </c>
      <c r="M18" s="1826">
        <v>35394</v>
      </c>
    </row>
    <row r="19" spans="2:14" ht="20.100000000000001" customHeight="1" x14ac:dyDescent="0.2">
      <c r="B19" s="1113" t="s">
        <v>2125</v>
      </c>
      <c r="C19" s="1824">
        <v>84.126000000000005</v>
      </c>
      <c r="D19" s="1825" t="s">
        <v>2130</v>
      </c>
      <c r="E19" s="2036">
        <v>0</v>
      </c>
      <c r="F19" s="2036">
        <v>45650</v>
      </c>
      <c r="G19" s="2036">
        <v>0</v>
      </c>
      <c r="H19" s="2036">
        <v>0</v>
      </c>
      <c r="I19" s="2036">
        <v>45650</v>
      </c>
      <c r="J19" s="2036">
        <v>0</v>
      </c>
      <c r="K19" s="2036">
        <v>0</v>
      </c>
      <c r="L19" s="2037">
        <f t="shared" si="0"/>
        <v>45650</v>
      </c>
      <c r="M19" s="2036">
        <v>91300</v>
      </c>
    </row>
    <row r="20" spans="2:14" ht="20.100000000000001" customHeight="1" x14ac:dyDescent="0.2">
      <c r="B20" s="1113"/>
      <c r="C20" s="1824"/>
      <c r="D20" s="1825"/>
      <c r="E20" s="2038">
        <f>SUM(E18:E19)</f>
        <v>35394</v>
      </c>
      <c r="F20" s="2038">
        <f>SUM(F18:F19)</f>
        <v>45650</v>
      </c>
      <c r="G20" s="2038">
        <f t="shared" ref="G20:K20" si="1">SUM(G18:G19)</f>
        <v>35394</v>
      </c>
      <c r="H20" s="2038">
        <f t="shared" si="1"/>
        <v>0</v>
      </c>
      <c r="I20" s="2038">
        <f t="shared" si="1"/>
        <v>45650</v>
      </c>
      <c r="J20" s="2038">
        <f t="shared" si="1"/>
        <v>0</v>
      </c>
      <c r="K20" s="2038">
        <f t="shared" si="1"/>
        <v>0</v>
      </c>
      <c r="L20" s="2038">
        <f t="shared" si="0"/>
        <v>81044</v>
      </c>
      <c r="M20" s="2038"/>
    </row>
    <row r="21" spans="2:14" ht="20.100000000000001" customHeight="1" x14ac:dyDescent="0.2">
      <c r="B21" s="1113"/>
      <c r="C21" s="1824"/>
      <c r="D21" s="1825"/>
      <c r="E21" s="1823"/>
      <c r="F21" s="1823"/>
      <c r="G21" s="1823"/>
      <c r="H21" s="1823"/>
      <c r="I21" s="1823"/>
      <c r="J21" s="1823"/>
      <c r="K21" s="1823"/>
      <c r="L21" s="1823"/>
      <c r="M21" s="1823"/>
    </row>
    <row r="22" spans="2:14" ht="20.100000000000001" customHeight="1" x14ac:dyDescent="0.2">
      <c r="B22" s="2035" t="s">
        <v>2132</v>
      </c>
      <c r="C22" s="1824"/>
      <c r="D22" s="1825"/>
      <c r="E22" s="1826"/>
      <c r="F22" s="1826"/>
      <c r="G22" s="1826"/>
      <c r="H22" s="1826"/>
      <c r="I22" s="1826"/>
      <c r="J22" s="1826"/>
      <c r="K22" s="1826"/>
      <c r="L22" s="1823"/>
      <c r="M22" s="1826"/>
    </row>
    <row r="23" spans="2:14" ht="20.100000000000001" customHeight="1" x14ac:dyDescent="0.2">
      <c r="B23" s="1113" t="s">
        <v>2133</v>
      </c>
      <c r="C23" s="1824"/>
      <c r="D23" s="1825"/>
      <c r="E23" s="2036"/>
      <c r="F23" s="2036"/>
      <c r="G23" s="2036"/>
      <c r="H23" s="2036"/>
      <c r="I23" s="2036"/>
      <c r="J23" s="2036"/>
      <c r="K23" s="2036"/>
      <c r="L23" s="2037"/>
      <c r="M23" s="2036"/>
    </row>
    <row r="24" spans="2:14" ht="20.100000000000001" customHeight="1" x14ac:dyDescent="0.2">
      <c r="B24" s="1113" t="s">
        <v>2125</v>
      </c>
      <c r="C24" s="1824" t="s">
        <v>2134</v>
      </c>
      <c r="D24" s="1825" t="s">
        <v>2135</v>
      </c>
      <c r="E24" s="2038">
        <v>0</v>
      </c>
      <c r="F24" s="2038">
        <v>108989</v>
      </c>
      <c r="G24" s="2038">
        <v>0</v>
      </c>
      <c r="H24" s="2038">
        <v>0</v>
      </c>
      <c r="I24" s="2038">
        <v>108989</v>
      </c>
      <c r="J24" s="2038">
        <v>0</v>
      </c>
      <c r="K24" s="2038">
        <v>0</v>
      </c>
      <c r="L24" s="2038">
        <f t="shared" si="0"/>
        <v>108989</v>
      </c>
      <c r="M24" s="2038">
        <v>108989</v>
      </c>
    </row>
    <row r="25" spans="2:14" ht="20.100000000000001" customHeight="1" x14ac:dyDescent="0.2">
      <c r="B25" s="1113"/>
      <c r="C25" s="1824"/>
      <c r="D25" s="1825"/>
      <c r="E25" s="1823"/>
      <c r="F25" s="1823"/>
      <c r="G25" s="1823"/>
      <c r="H25" s="1823"/>
      <c r="I25" s="1823"/>
      <c r="J25" s="1823"/>
      <c r="K25" s="1823"/>
      <c r="L25" s="1823">
        <f t="shared" si="0"/>
        <v>0</v>
      </c>
      <c r="M25" s="1823"/>
    </row>
    <row r="26" spans="2:14" ht="20.100000000000001" customHeight="1" x14ac:dyDescent="0.2">
      <c r="B26" s="1113"/>
      <c r="C26" s="1824"/>
      <c r="D26" s="1825"/>
      <c r="E26" s="2036"/>
      <c r="F26" s="2036"/>
      <c r="G26" s="2036"/>
      <c r="H26" s="2036"/>
      <c r="I26" s="2036"/>
      <c r="J26" s="2036"/>
      <c r="K26" s="2036"/>
      <c r="L26" s="2037">
        <f t="shared" si="0"/>
        <v>0</v>
      </c>
      <c r="M26" s="2036"/>
    </row>
    <row r="27" spans="2:14" ht="20.100000000000001" customHeight="1" thickBot="1" x14ac:dyDescent="0.25">
      <c r="B27" s="2035" t="s">
        <v>2136</v>
      </c>
      <c r="C27" s="1824"/>
      <c r="D27" s="1825"/>
      <c r="E27" s="2045">
        <f>SUM(E24+E20+E14+' SEFA'!E27)</f>
        <v>435653</v>
      </c>
      <c r="F27" s="2045">
        <f>SUM(F24+F20+F14+' SEFA'!F27)</f>
        <v>849857</v>
      </c>
      <c r="G27" s="2045">
        <f>SUM(G24+G20+G14+' SEFA'!G27)</f>
        <v>509332</v>
      </c>
      <c r="H27" s="2045">
        <f>SUM(H24+H20+H14+' SEFA'!H27)</f>
        <v>0</v>
      </c>
      <c r="I27" s="2045">
        <f>SUM(I24+I20+I14+' SEFA'!I27)</f>
        <v>793996</v>
      </c>
      <c r="J27" s="2045">
        <f>SUM(J24+J20+J14+' SEFA'!J27)</f>
        <v>0</v>
      </c>
      <c r="K27" s="2045">
        <f>SUM(K24+K20+K14+' SEFA'!K27)</f>
        <v>0</v>
      </c>
      <c r="L27" s="2045">
        <f>SUM(L24+L20+L14+' SEFA'!L27)</f>
        <v>1303328</v>
      </c>
      <c r="M27" s="204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M69" sqref="M6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1615</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2046</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2046</v>
      </c>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t="s">
        <v>2067</v>
      </c>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6" t="s">
        <v>1984</v>
      </c>
      <c r="B85" s="2196"/>
      <c r="C85" s="2196"/>
      <c r="D85" s="2197"/>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8" t="s">
        <v>1984</v>
      </c>
      <c r="B88" s="2199"/>
      <c r="C88" s="2199"/>
      <c r="D88" s="2200"/>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t="s">
        <v>2068</v>
      </c>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2055</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1868</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r:id="rId1"/>
  <headerFooter differentOddEven="1" differentFirst="1" alignWithMargins="0">
    <oddHeader>&amp;L&amp;8Page &amp;P&amp;C &amp;R&amp;8Page &amp;P</oddHeader>
    <oddFooter>&amp;L&amp;8Printed: &amp;D  &amp;F</oddFoot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1B8D-51F6-44F8-B1B4-3F68C2522CD7}">
  <sheetPr>
    <pageSetUpPr fitToPage="1"/>
  </sheetPr>
  <dimension ref="B1:N152"/>
  <sheetViews>
    <sheetView showGridLines="0" topLeftCell="A10"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Mt Vernon Twp HSD 201</v>
      </c>
      <c r="C1" s="2578"/>
      <c r="D1" s="2578"/>
      <c r="E1" s="2578"/>
      <c r="F1" s="2578"/>
      <c r="G1" s="2578"/>
      <c r="H1" s="2578"/>
      <c r="I1" s="2578"/>
      <c r="J1" s="2578"/>
      <c r="K1" s="2578"/>
      <c r="L1" s="2578"/>
      <c r="M1" s="2578"/>
    </row>
    <row r="2" spans="2:14" ht="15" x14ac:dyDescent="0.2">
      <c r="B2" s="2579">
        <f>'Single Audit Cover'!E7</f>
        <v>13041201017</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3"/>
      <c r="J5" s="1913"/>
    </row>
    <row r="6" spans="2:14" x14ac:dyDescent="0.2">
      <c r="B6" s="1079"/>
      <c r="C6" s="1080"/>
      <c r="D6" s="1081" t="s">
        <v>1254</v>
      </c>
      <c r="E6" s="1082" t="s">
        <v>524</v>
      </c>
      <c r="F6" s="1083"/>
      <c r="G6" s="1084" t="s">
        <v>1707</v>
      </c>
      <c r="H6" s="1082"/>
      <c r="I6" s="1082"/>
      <c r="J6" s="1914"/>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2137</v>
      </c>
      <c r="C11" s="1821"/>
      <c r="D11" s="1822"/>
      <c r="E11" s="1823"/>
      <c r="F11" s="1823"/>
      <c r="G11" s="1823"/>
      <c r="H11" s="1823"/>
      <c r="I11" s="1823"/>
      <c r="J11" s="1823"/>
      <c r="K11" s="1823"/>
      <c r="L11" s="1823"/>
      <c r="M11" s="1823"/>
    </row>
    <row r="12" spans="2:14" ht="20.100000000000001" customHeight="1" x14ac:dyDescent="0.2">
      <c r="B12" s="2035" t="s">
        <v>2109</v>
      </c>
      <c r="C12" s="1824"/>
      <c r="D12" s="1825"/>
      <c r="E12" s="1826"/>
      <c r="F12" s="1826"/>
      <c r="G12" s="1826"/>
      <c r="H12" s="1826"/>
      <c r="I12" s="1826"/>
      <c r="J12" s="1826"/>
      <c r="K12" s="1826"/>
      <c r="L12" s="1823"/>
      <c r="M12" s="1826"/>
    </row>
    <row r="13" spans="2:14" ht="20.100000000000001" customHeight="1" x14ac:dyDescent="0.2">
      <c r="B13" s="1113" t="s">
        <v>2138</v>
      </c>
      <c r="C13" s="1824"/>
      <c r="D13" s="1825"/>
      <c r="E13" s="1826"/>
      <c r="F13" s="1826"/>
      <c r="G13" s="1826"/>
      <c r="H13" s="1826"/>
      <c r="I13" s="1826"/>
      <c r="J13" s="1826"/>
      <c r="K13" s="1826"/>
      <c r="L13" s="1823"/>
      <c r="M13" s="1826"/>
    </row>
    <row r="14" spans="2:14" ht="20.100000000000001" customHeight="1" x14ac:dyDescent="0.2">
      <c r="B14" s="1113" t="s">
        <v>2127</v>
      </c>
      <c r="C14" s="1824">
        <v>10.555</v>
      </c>
      <c r="D14" s="1825" t="s">
        <v>2139</v>
      </c>
      <c r="E14" s="1826">
        <v>203804</v>
      </c>
      <c r="F14" s="1826">
        <v>75638</v>
      </c>
      <c r="G14" s="1826">
        <v>203804</v>
      </c>
      <c r="H14" s="1826">
        <v>0</v>
      </c>
      <c r="I14" s="1826">
        <v>75638</v>
      </c>
      <c r="J14" s="1826">
        <v>0</v>
      </c>
      <c r="K14" s="1826">
        <v>0</v>
      </c>
      <c r="L14" s="1823">
        <f t="shared" ref="L14:L27" si="0">+G14+I14+K14</f>
        <v>279442</v>
      </c>
      <c r="M14" s="1826">
        <v>279442</v>
      </c>
    </row>
    <row r="15" spans="2:14" ht="20.100000000000001" customHeight="1" x14ac:dyDescent="0.2">
      <c r="B15" s="1113" t="s">
        <v>2125</v>
      </c>
      <c r="C15" s="1824">
        <v>10.555</v>
      </c>
      <c r="D15" s="1825" t="s">
        <v>2140</v>
      </c>
      <c r="E15" s="2036">
        <v>0</v>
      </c>
      <c r="F15" s="2036">
        <v>217813</v>
      </c>
      <c r="G15" s="2036">
        <v>0</v>
      </c>
      <c r="H15" s="2036">
        <v>0</v>
      </c>
      <c r="I15" s="2036">
        <v>217813</v>
      </c>
      <c r="J15" s="2036">
        <v>0</v>
      </c>
      <c r="K15" s="2036">
        <v>0</v>
      </c>
      <c r="L15" s="2037">
        <f t="shared" si="0"/>
        <v>217813</v>
      </c>
      <c r="M15" s="2036" t="s">
        <v>2141</v>
      </c>
    </row>
    <row r="16" spans="2:14" ht="20.100000000000001" customHeight="1" x14ac:dyDescent="0.2">
      <c r="B16" s="1113"/>
      <c r="C16" s="1824"/>
      <c r="D16" s="1825"/>
      <c r="E16" s="2038">
        <f>SUM(E14:E15)</f>
        <v>203804</v>
      </c>
      <c r="F16" s="2038">
        <f t="shared" ref="F16:K16" si="1">SUM(F14:F15)</f>
        <v>293451</v>
      </c>
      <c r="G16" s="2038">
        <f t="shared" si="1"/>
        <v>203804</v>
      </c>
      <c r="H16" s="2038">
        <f t="shared" si="1"/>
        <v>0</v>
      </c>
      <c r="I16" s="2038">
        <f t="shared" si="1"/>
        <v>293451</v>
      </c>
      <c r="J16" s="2038">
        <f t="shared" si="1"/>
        <v>0</v>
      </c>
      <c r="K16" s="2038">
        <f t="shared" si="1"/>
        <v>0</v>
      </c>
      <c r="L16" s="2038">
        <f t="shared" si="0"/>
        <v>497255</v>
      </c>
      <c r="M16" s="2038"/>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2142</v>
      </c>
      <c r="C18" s="1824"/>
      <c r="D18" s="1825"/>
      <c r="E18" s="1826"/>
      <c r="F18" s="1826"/>
      <c r="G18" s="1826"/>
      <c r="H18" s="1826"/>
      <c r="I18" s="1826"/>
      <c r="J18" s="1826"/>
      <c r="K18" s="1826"/>
      <c r="L18" s="1823"/>
      <c r="M18" s="1826"/>
    </row>
    <row r="19" spans="2:14" ht="20.100000000000001" customHeight="1" x14ac:dyDescent="0.2">
      <c r="B19" s="1113" t="s">
        <v>2127</v>
      </c>
      <c r="C19" s="1824">
        <v>10.553000000000001</v>
      </c>
      <c r="D19" s="1825" t="s">
        <v>2143</v>
      </c>
      <c r="E19" s="1826">
        <v>49229</v>
      </c>
      <c r="F19" s="1826">
        <v>12945</v>
      </c>
      <c r="G19" s="1826">
        <v>49229</v>
      </c>
      <c r="H19" s="1826">
        <v>0</v>
      </c>
      <c r="I19" s="1826">
        <v>12945</v>
      </c>
      <c r="J19" s="1826">
        <v>0</v>
      </c>
      <c r="K19" s="1826">
        <v>0</v>
      </c>
      <c r="L19" s="1823">
        <f t="shared" si="0"/>
        <v>62174</v>
      </c>
      <c r="M19" s="1826">
        <v>62174</v>
      </c>
    </row>
    <row r="20" spans="2:14" ht="20.100000000000001" customHeight="1" x14ac:dyDescent="0.2">
      <c r="B20" s="1113" t="s">
        <v>2125</v>
      </c>
      <c r="C20" s="1824">
        <v>10.553000000000001</v>
      </c>
      <c r="D20" s="1825" t="s">
        <v>2144</v>
      </c>
      <c r="E20" s="2036">
        <v>0</v>
      </c>
      <c r="F20" s="2036">
        <f>46957+151</f>
        <v>47108</v>
      </c>
      <c r="G20" s="2036">
        <v>0</v>
      </c>
      <c r="H20" s="2036">
        <v>0</v>
      </c>
      <c r="I20" s="2036">
        <v>47108</v>
      </c>
      <c r="J20" s="2036">
        <v>0</v>
      </c>
      <c r="K20" s="2036">
        <v>0</v>
      </c>
      <c r="L20" s="2037">
        <f t="shared" si="0"/>
        <v>47108</v>
      </c>
      <c r="M20" s="2036" t="s">
        <v>2141</v>
      </c>
    </row>
    <row r="21" spans="2:14" ht="20.100000000000001" customHeight="1" x14ac:dyDescent="0.2">
      <c r="B21" s="1113"/>
      <c r="C21" s="1824"/>
      <c r="D21" s="1825"/>
      <c r="E21" s="2038">
        <f>SUM(E19:E20)</f>
        <v>49229</v>
      </c>
      <c r="F21" s="2038">
        <f t="shared" ref="F21:K21" si="2">SUM(F19:F20)</f>
        <v>60053</v>
      </c>
      <c r="G21" s="2038">
        <f t="shared" si="2"/>
        <v>49229</v>
      </c>
      <c r="H21" s="2038">
        <f t="shared" si="2"/>
        <v>0</v>
      </c>
      <c r="I21" s="2038">
        <f t="shared" si="2"/>
        <v>60053</v>
      </c>
      <c r="J21" s="2038">
        <f t="shared" si="2"/>
        <v>0</v>
      </c>
      <c r="K21" s="2038">
        <f t="shared" si="2"/>
        <v>0</v>
      </c>
      <c r="L21" s="2038">
        <f t="shared" si="0"/>
        <v>109282</v>
      </c>
      <c r="M21" s="2038"/>
    </row>
    <row r="22" spans="2:14" ht="20.100000000000001" customHeight="1" x14ac:dyDescent="0.2">
      <c r="B22" s="1113"/>
      <c r="C22" s="1824"/>
      <c r="D22" s="1825"/>
      <c r="E22" s="2037"/>
      <c r="F22" s="2037"/>
      <c r="G22" s="2037"/>
      <c r="H22" s="2037"/>
      <c r="I22" s="2037"/>
      <c r="J22" s="2037"/>
      <c r="K22" s="2037"/>
      <c r="L22" s="2037"/>
      <c r="M22" s="2037"/>
    </row>
    <row r="23" spans="2:14" ht="20.100000000000001" customHeight="1" x14ac:dyDescent="0.2">
      <c r="B23" s="1113" t="s">
        <v>2145</v>
      </c>
      <c r="C23" s="1824">
        <v>10.565</v>
      </c>
      <c r="D23" s="1825"/>
      <c r="E23" s="2038">
        <v>0</v>
      </c>
      <c r="F23" s="2038">
        <v>29549</v>
      </c>
      <c r="G23" s="2038">
        <v>0</v>
      </c>
      <c r="H23" s="2038">
        <v>0</v>
      </c>
      <c r="I23" s="2038">
        <v>29549</v>
      </c>
      <c r="J23" s="2038">
        <v>0</v>
      </c>
      <c r="K23" s="2038">
        <v>0</v>
      </c>
      <c r="L23" s="2038">
        <f t="shared" si="0"/>
        <v>29549</v>
      </c>
      <c r="M23" s="2038">
        <v>29549</v>
      </c>
    </row>
    <row r="24" spans="2:14" ht="20.100000000000001" customHeight="1" x14ac:dyDescent="0.2">
      <c r="B24" s="1113"/>
      <c r="C24" s="1824"/>
      <c r="D24" s="1825"/>
      <c r="E24" s="2037"/>
      <c r="F24" s="2037"/>
      <c r="G24" s="2037"/>
      <c r="H24" s="2037"/>
      <c r="I24" s="2037"/>
      <c r="J24" s="2037"/>
      <c r="K24" s="2037"/>
      <c r="L24" s="2037"/>
      <c r="M24" s="2037"/>
    </row>
    <row r="25" spans="2:14" ht="20.100000000000001" customHeight="1" x14ac:dyDescent="0.2">
      <c r="B25" s="1113" t="s">
        <v>2146</v>
      </c>
      <c r="C25" s="1824">
        <v>10.582000000000001</v>
      </c>
      <c r="D25" s="1825"/>
      <c r="E25" s="2038">
        <v>0</v>
      </c>
      <c r="F25" s="2038">
        <v>7018</v>
      </c>
      <c r="G25" s="2038">
        <v>0</v>
      </c>
      <c r="H25" s="2038">
        <v>0</v>
      </c>
      <c r="I25" s="2038">
        <v>7018</v>
      </c>
      <c r="J25" s="2038">
        <v>0</v>
      </c>
      <c r="K25" s="2038">
        <v>0</v>
      </c>
      <c r="L25" s="2038">
        <f t="shared" si="0"/>
        <v>7018</v>
      </c>
      <c r="M25" s="2038">
        <v>7019</v>
      </c>
    </row>
    <row r="26" spans="2:14" ht="20.100000000000001" customHeight="1" x14ac:dyDescent="0.2">
      <c r="B26" s="1113"/>
      <c r="C26" s="1824"/>
      <c r="D26" s="1825"/>
      <c r="E26" s="2037"/>
      <c r="F26" s="2037"/>
      <c r="G26" s="2037"/>
      <c r="H26" s="2037"/>
      <c r="I26" s="2037"/>
      <c r="J26" s="2037"/>
      <c r="K26" s="2037"/>
      <c r="L26" s="2037">
        <f t="shared" si="0"/>
        <v>0</v>
      </c>
      <c r="M26" s="2037"/>
    </row>
    <row r="27" spans="2:14" ht="20.100000000000001" customHeight="1" x14ac:dyDescent="0.2">
      <c r="B27" s="2035"/>
      <c r="C27" s="1824"/>
      <c r="D27" s="2047"/>
      <c r="E27" s="2048"/>
      <c r="F27" s="2048"/>
      <c r="G27" s="2048"/>
      <c r="H27" s="2048"/>
      <c r="I27" s="2048"/>
      <c r="J27" s="2048"/>
      <c r="K27" s="2048">
        <f t="shared" ref="K27" si="3">SUM(K25+K23+K21+K16)</f>
        <v>0</v>
      </c>
      <c r="L27" s="2048">
        <f t="shared" si="0"/>
        <v>0</v>
      </c>
      <c r="M27" s="204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FABCC-534F-4E2C-8981-2E575955E7F3}">
  <sheetPr>
    <pageSetUpPr fitToPage="1"/>
  </sheetPr>
  <dimension ref="B1:N152"/>
  <sheetViews>
    <sheetView showGridLines="0"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Mt Vernon Twp HSD 201</v>
      </c>
      <c r="C1" s="2578"/>
      <c r="D1" s="2578"/>
      <c r="E1" s="2578"/>
      <c r="F1" s="2578"/>
      <c r="G1" s="2578"/>
      <c r="H1" s="2578"/>
      <c r="I1" s="2578"/>
      <c r="J1" s="2578"/>
      <c r="K1" s="2578"/>
      <c r="L1" s="2578"/>
      <c r="M1" s="2578"/>
    </row>
    <row r="2" spans="2:14" ht="15" x14ac:dyDescent="0.2">
      <c r="B2" s="2579">
        <f>'Single Audit Cover'!E7</f>
        <v>13041201017</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3"/>
      <c r="J5" s="1913"/>
    </row>
    <row r="6" spans="2:14" x14ac:dyDescent="0.2">
      <c r="B6" s="1079"/>
      <c r="C6" s="1080"/>
      <c r="D6" s="1081" t="s">
        <v>1254</v>
      </c>
      <c r="E6" s="1082" t="s">
        <v>524</v>
      </c>
      <c r="F6" s="1083"/>
      <c r="G6" s="1084" t="s">
        <v>1707</v>
      </c>
      <c r="H6" s="1082"/>
      <c r="I6" s="1082"/>
      <c r="J6" s="1914"/>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2137</v>
      </c>
      <c r="C11" s="1821"/>
      <c r="D11" s="1822"/>
      <c r="E11" s="1823"/>
      <c r="F11" s="1823"/>
      <c r="G11" s="1823"/>
      <c r="H11" s="1823"/>
      <c r="I11" s="1823"/>
      <c r="J11" s="1823"/>
      <c r="K11" s="1823"/>
      <c r="L11" s="1823"/>
      <c r="M11" s="1823"/>
    </row>
    <row r="12" spans="2:14" ht="20.100000000000001" customHeight="1" x14ac:dyDescent="0.2">
      <c r="B12" s="2035" t="s">
        <v>2109</v>
      </c>
      <c r="C12" s="1824"/>
      <c r="D12" s="1825"/>
      <c r="E12" s="1826"/>
      <c r="F12" s="1826"/>
      <c r="G12" s="1826"/>
      <c r="H12" s="1826"/>
      <c r="I12" s="1826"/>
      <c r="J12" s="1826"/>
      <c r="K12" s="1826"/>
      <c r="L12" s="1823"/>
      <c r="M12" s="1826"/>
    </row>
    <row r="13" spans="2:14" ht="20.100000000000001" customHeight="1" x14ac:dyDescent="0.2">
      <c r="B13" s="1113" t="s">
        <v>2154</v>
      </c>
      <c r="C13" s="1824"/>
      <c r="D13" s="1825"/>
      <c r="E13" s="1826"/>
      <c r="F13" s="1826"/>
      <c r="G13" s="1826"/>
      <c r="H13" s="1826"/>
      <c r="I13" s="1826"/>
      <c r="J13" s="1826"/>
      <c r="K13" s="1826"/>
      <c r="L13" s="1823"/>
      <c r="M13" s="1826"/>
    </row>
    <row r="14" spans="2:14" ht="20.100000000000001" customHeight="1" x14ac:dyDescent="0.2">
      <c r="B14" s="1113" t="s">
        <v>2127</v>
      </c>
      <c r="C14" s="1824">
        <v>10.558999999999999</v>
      </c>
      <c r="D14" s="1825" t="s">
        <v>2155</v>
      </c>
      <c r="E14" s="1826">
        <v>0</v>
      </c>
      <c r="F14" s="1826">
        <v>0</v>
      </c>
      <c r="G14" s="1826">
        <v>0</v>
      </c>
      <c r="H14" s="1826">
        <v>0</v>
      </c>
      <c r="I14" s="1826">
        <v>0</v>
      </c>
      <c r="J14" s="1826">
        <v>0</v>
      </c>
      <c r="K14" s="1826">
        <v>0</v>
      </c>
      <c r="L14" s="1823">
        <f t="shared" ref="L14:L27" si="0">+G14+I14+K14</f>
        <v>0</v>
      </c>
      <c r="M14" s="1826">
        <v>0</v>
      </c>
    </row>
    <row r="15" spans="2:14" ht="20.100000000000001" customHeight="1" x14ac:dyDescent="0.2">
      <c r="B15" s="1113" t="s">
        <v>2125</v>
      </c>
      <c r="C15" s="1824">
        <v>10.558999999999999</v>
      </c>
      <c r="D15" s="1825" t="s">
        <v>2156</v>
      </c>
      <c r="E15" s="2036">
        <v>0</v>
      </c>
      <c r="F15" s="2036">
        <v>22089</v>
      </c>
      <c r="G15" s="2036">
        <v>0</v>
      </c>
      <c r="H15" s="2036">
        <v>0</v>
      </c>
      <c r="I15" s="2036">
        <v>22089</v>
      </c>
      <c r="J15" s="2036">
        <v>0</v>
      </c>
      <c r="K15" s="2036">
        <v>0</v>
      </c>
      <c r="L15" s="2037">
        <f t="shared" si="0"/>
        <v>22089</v>
      </c>
      <c r="M15" s="2036" t="s">
        <v>2141</v>
      </c>
    </row>
    <row r="16" spans="2:14" ht="20.100000000000001" customHeight="1" x14ac:dyDescent="0.2">
      <c r="B16" s="1113"/>
      <c r="C16" s="1824"/>
      <c r="D16" s="1825"/>
      <c r="E16" s="2038">
        <f>SUM(E14:E15)</f>
        <v>0</v>
      </c>
      <c r="F16" s="2038">
        <f t="shared" ref="F16:K16" si="1">SUM(F14:F15)</f>
        <v>22089</v>
      </c>
      <c r="G16" s="2038">
        <f t="shared" si="1"/>
        <v>0</v>
      </c>
      <c r="H16" s="2038">
        <f t="shared" si="1"/>
        <v>0</v>
      </c>
      <c r="I16" s="2038">
        <f t="shared" si="1"/>
        <v>22089</v>
      </c>
      <c r="J16" s="2038">
        <f t="shared" si="1"/>
        <v>0</v>
      </c>
      <c r="K16" s="2038">
        <f t="shared" si="1"/>
        <v>0</v>
      </c>
      <c r="L16" s="2038">
        <f t="shared" si="0"/>
        <v>22089</v>
      </c>
      <c r="M16" s="2038"/>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6"/>
      <c r="F26" s="2036"/>
      <c r="G26" s="2036"/>
      <c r="H26" s="2036"/>
      <c r="I26" s="2036"/>
      <c r="J26" s="2036"/>
      <c r="K26" s="2036"/>
      <c r="L26" s="2037">
        <f t="shared" si="0"/>
        <v>0</v>
      </c>
      <c r="M26" s="2036"/>
    </row>
    <row r="27" spans="2:14" ht="20.100000000000001" customHeight="1" thickBot="1" x14ac:dyDescent="0.25">
      <c r="B27" s="2035" t="s">
        <v>2147</v>
      </c>
      <c r="C27" s="1824"/>
      <c r="D27" s="1825"/>
      <c r="E27" s="2045">
        <f>SUM(E16+' SEFA (3)'!E25+' SEFA (3)'!E23+' SEFA (3)'!E21+' SEFA (3)'!E16)</f>
        <v>253033</v>
      </c>
      <c r="F27" s="2045">
        <f>SUM(F16+' SEFA (3)'!F25+' SEFA (3)'!F23+' SEFA (3)'!F21+' SEFA (3)'!F16)</f>
        <v>412160</v>
      </c>
      <c r="G27" s="2045">
        <f>SUM(G16+' SEFA (3)'!G25+' SEFA (3)'!G23+' SEFA (3)'!G21+' SEFA (3)'!G16)</f>
        <v>253033</v>
      </c>
      <c r="H27" s="2045">
        <f>SUM(H16+' SEFA (3)'!H25+' SEFA (3)'!H23+' SEFA (3)'!H21+' SEFA (3)'!H16)</f>
        <v>0</v>
      </c>
      <c r="I27" s="2045">
        <f>SUM(I16+' SEFA (3)'!I25+' SEFA (3)'!I23+' SEFA (3)'!I21+' SEFA (3)'!I16)</f>
        <v>412160</v>
      </c>
      <c r="J27" s="2045">
        <f>SUM(J16+' SEFA (3)'!J25+' SEFA (3)'!J23+' SEFA (3)'!J21+' SEFA (3)'!J16)</f>
        <v>0</v>
      </c>
      <c r="K27" s="2045">
        <f>SUM(K16+' SEFA (3)'!K25+' SEFA (3)'!K23+' SEFA (3)'!K21+' SEFA (3)'!K16)</f>
        <v>0</v>
      </c>
      <c r="L27" s="2045">
        <f t="shared" si="0"/>
        <v>665193</v>
      </c>
      <c r="M27" s="204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E0AC-1ACF-47C3-B4F5-A4C634F384A1}">
  <sheetPr>
    <pageSetUpPr fitToPage="1"/>
  </sheetPr>
  <dimension ref="B1:N152"/>
  <sheetViews>
    <sheetView showGridLines="0" topLeftCell="C16"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Mt Vernon Twp HSD 201</v>
      </c>
      <c r="C1" s="2578"/>
      <c r="D1" s="2578"/>
      <c r="E1" s="2578"/>
      <c r="F1" s="2578"/>
      <c r="G1" s="2578"/>
      <c r="H1" s="2578"/>
      <c r="I1" s="2578"/>
      <c r="J1" s="2578"/>
      <c r="K1" s="2578"/>
      <c r="L1" s="2578"/>
      <c r="M1" s="2578"/>
    </row>
    <row r="2" spans="2:14" ht="15" x14ac:dyDescent="0.2">
      <c r="B2" s="2579">
        <f>'Single Audit Cover'!E7</f>
        <v>13041201017</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3"/>
      <c r="J5" s="1913"/>
    </row>
    <row r="6" spans="2:14" x14ac:dyDescent="0.2">
      <c r="B6" s="1079"/>
      <c r="C6" s="1080"/>
      <c r="D6" s="1081" t="s">
        <v>1254</v>
      </c>
      <c r="E6" s="1082" t="s">
        <v>524</v>
      </c>
      <c r="F6" s="1083"/>
      <c r="G6" s="1084" t="s">
        <v>1707</v>
      </c>
      <c r="H6" s="1082"/>
      <c r="I6" s="1082"/>
      <c r="J6" s="1914"/>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2148</v>
      </c>
      <c r="C11" s="1821"/>
      <c r="D11" s="1822"/>
      <c r="E11" s="1823"/>
      <c r="F11" s="1823"/>
      <c r="G11" s="1823"/>
      <c r="H11" s="1823"/>
      <c r="I11" s="1823"/>
      <c r="J11" s="1823"/>
      <c r="K11" s="1823"/>
      <c r="L11" s="1823">
        <f>+G11+I11+K11</f>
        <v>0</v>
      </c>
      <c r="M11" s="1823"/>
    </row>
    <row r="12" spans="2:14" ht="20.100000000000001" customHeight="1" x14ac:dyDescent="0.2">
      <c r="B12" s="2035" t="s">
        <v>2149</v>
      </c>
      <c r="C12" s="1824"/>
      <c r="D12" s="1825"/>
      <c r="E12" s="1826"/>
      <c r="F12" s="1826"/>
      <c r="G12" s="1826"/>
      <c r="H12" s="1826"/>
      <c r="I12" s="1826"/>
      <c r="J12" s="1826"/>
      <c r="K12" s="1826"/>
      <c r="L12" s="1823">
        <f t="shared" ref="L12:L27" si="0">+G12+I12+K12</f>
        <v>0</v>
      </c>
      <c r="M12" s="1826"/>
    </row>
    <row r="13" spans="2:14" ht="20.100000000000001" customHeight="1" x14ac:dyDescent="0.2">
      <c r="B13" s="1113" t="s">
        <v>2150</v>
      </c>
      <c r="C13" s="1824"/>
      <c r="D13" s="1825"/>
      <c r="E13" s="2036"/>
      <c r="F13" s="2036"/>
      <c r="G13" s="2036"/>
      <c r="H13" s="2036"/>
      <c r="I13" s="2036"/>
      <c r="J13" s="2036"/>
      <c r="K13" s="2036"/>
      <c r="L13" s="2037">
        <f t="shared" si="0"/>
        <v>0</v>
      </c>
      <c r="M13" s="2036"/>
    </row>
    <row r="14" spans="2:14" ht="20.100000000000001" customHeight="1" x14ac:dyDescent="0.2">
      <c r="B14" s="1113" t="s">
        <v>2125</v>
      </c>
      <c r="C14" s="1824">
        <v>93.778000000000006</v>
      </c>
      <c r="D14" s="1825" t="s">
        <v>2151</v>
      </c>
      <c r="E14" s="2038">
        <v>0</v>
      </c>
      <c r="F14" s="2038">
        <v>26071</v>
      </c>
      <c r="G14" s="2038">
        <v>0</v>
      </c>
      <c r="H14" s="2038">
        <v>0</v>
      </c>
      <c r="I14" s="2038">
        <v>26071</v>
      </c>
      <c r="J14" s="2038">
        <v>0</v>
      </c>
      <c r="K14" s="2038">
        <v>0</v>
      </c>
      <c r="L14" s="2038">
        <f t="shared" si="0"/>
        <v>26071</v>
      </c>
      <c r="M14" s="2038"/>
    </row>
    <row r="15" spans="2:14" ht="20.100000000000001" customHeight="1" x14ac:dyDescent="0.2">
      <c r="B15" s="1113" t="s">
        <v>1159</v>
      </c>
      <c r="C15" s="1824"/>
      <c r="D15" s="1825"/>
      <c r="E15" s="1823"/>
      <c r="F15" s="1823"/>
      <c r="G15" s="1823"/>
      <c r="H15" s="1823"/>
      <c r="I15" s="1823"/>
      <c r="J15" s="1823"/>
      <c r="K15" s="1823"/>
      <c r="L15" s="1823">
        <f t="shared" si="0"/>
        <v>0</v>
      </c>
      <c r="M15" s="1823"/>
    </row>
    <row r="16" spans="2:14" ht="20.100000000000001" customHeight="1" x14ac:dyDescent="0.2">
      <c r="B16" s="1113"/>
      <c r="C16" s="1824"/>
      <c r="D16" s="1825"/>
      <c r="E16" s="2036"/>
      <c r="F16" s="2036"/>
      <c r="G16" s="2036"/>
      <c r="H16" s="2036"/>
      <c r="I16" s="2036"/>
      <c r="J16" s="2036"/>
      <c r="K16" s="2036"/>
      <c r="L16" s="2037">
        <f t="shared" si="0"/>
        <v>0</v>
      </c>
      <c r="M16" s="2036"/>
    </row>
    <row r="17" spans="2:14" ht="20.100000000000001" customHeight="1" thickBot="1" x14ac:dyDescent="0.25">
      <c r="B17" s="2035" t="s">
        <v>2152</v>
      </c>
      <c r="C17" s="1824"/>
      <c r="D17" s="1825"/>
      <c r="E17" s="2045">
        <f>SUM(E14)</f>
        <v>0</v>
      </c>
      <c r="F17" s="2045">
        <f t="shared" ref="F17:K17" si="1">SUM(F14)</f>
        <v>26071</v>
      </c>
      <c r="G17" s="2045">
        <f t="shared" si="1"/>
        <v>0</v>
      </c>
      <c r="H17" s="2045">
        <f t="shared" si="1"/>
        <v>0</v>
      </c>
      <c r="I17" s="2045">
        <f t="shared" si="1"/>
        <v>26071</v>
      </c>
      <c r="J17" s="2045">
        <f t="shared" si="1"/>
        <v>0</v>
      </c>
      <c r="K17" s="2045">
        <f t="shared" si="1"/>
        <v>0</v>
      </c>
      <c r="L17" s="2045">
        <f t="shared" si="0"/>
        <v>26071</v>
      </c>
      <c r="M17" s="2045"/>
    </row>
    <row r="18" spans="2:14" ht="20.100000000000001" customHeight="1" x14ac:dyDescent="0.2">
      <c r="B18" s="1113"/>
      <c r="C18" s="1824"/>
      <c r="D18" s="1825"/>
      <c r="E18" s="1823"/>
      <c r="F18" s="1823"/>
      <c r="G18" s="1823"/>
      <c r="H18" s="1823"/>
      <c r="I18" s="1823"/>
      <c r="J18" s="1823"/>
      <c r="K18" s="1823"/>
      <c r="L18" s="1823">
        <f t="shared" si="0"/>
        <v>0</v>
      </c>
      <c r="M18" s="1823"/>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6"/>
      <c r="F26" s="2036"/>
      <c r="G26" s="2036"/>
      <c r="H26" s="2036"/>
      <c r="I26" s="2036"/>
      <c r="J26" s="2036"/>
      <c r="K26" s="2036"/>
      <c r="L26" s="2037">
        <f t="shared" si="0"/>
        <v>0</v>
      </c>
      <c r="M26" s="2036"/>
    </row>
    <row r="27" spans="2:14" ht="20.100000000000001" customHeight="1" thickBot="1" x14ac:dyDescent="0.25">
      <c r="B27" s="2035" t="s">
        <v>2153</v>
      </c>
      <c r="C27" s="1824"/>
      <c r="D27" s="1825"/>
      <c r="E27" s="2046">
        <f>SUM(E17+' SEFA (5)'!E27+' SEFA (2)'!E27)</f>
        <v>688686</v>
      </c>
      <c r="F27" s="2046">
        <f>SUM(F17+' SEFA (5)'!F27+' SEFA (2)'!F27)</f>
        <v>1288088</v>
      </c>
      <c r="G27" s="2046">
        <f>SUM(G17+' SEFA (5)'!G27+' SEFA (2)'!G27)</f>
        <v>762365</v>
      </c>
      <c r="H27" s="2046">
        <f>SUM(H17+' SEFA (5)'!H27+' SEFA (2)'!H27)</f>
        <v>0</v>
      </c>
      <c r="I27" s="2046">
        <f>SUM(I17+' SEFA (5)'!I27+' SEFA (2)'!I27)</f>
        <v>1232227</v>
      </c>
      <c r="J27" s="2046">
        <f>SUM(J17+' SEFA (5)'!J27+' SEFA (2)'!J27)</f>
        <v>0</v>
      </c>
      <c r="K27" s="2046">
        <f>SUM(K17+' SEFA (5)'!K27+' SEFA (2)'!K27)</f>
        <v>0</v>
      </c>
      <c r="L27" s="2046">
        <f t="shared" si="0"/>
        <v>1994592</v>
      </c>
      <c r="M27" s="2046"/>
      <c r="N27" s="1114"/>
    </row>
    <row r="28" spans="2:14" ht="12.75" customHeight="1" thickTop="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43&amp;R&amp;8Page 43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0" sqref="A40:H4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Mt Vernon Twp HSD 201</v>
      </c>
      <c r="B1" s="2591"/>
      <c r="C1" s="2591"/>
      <c r="D1" s="2591"/>
      <c r="E1" s="2591"/>
      <c r="F1" s="2591"/>
    </row>
    <row r="2" spans="1:7" ht="13.5" customHeight="1" x14ac:dyDescent="0.2">
      <c r="A2" s="2579">
        <f>'Single Audit Cover'!E7</f>
        <v>13041201017</v>
      </c>
      <c r="B2" s="2579"/>
      <c r="C2" s="2579"/>
      <c r="D2" s="2579"/>
      <c r="E2" s="2579"/>
      <c r="F2" s="2579"/>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1704</v>
      </c>
      <c r="C6" s="295"/>
      <c r="D6" s="295"/>
    </row>
    <row r="7" spans="1:7" ht="60.95" customHeight="1" x14ac:dyDescent="0.2">
      <c r="A7" s="2590" t="s">
        <v>2158</v>
      </c>
      <c r="B7" s="2590"/>
      <c r="C7" s="2590"/>
      <c r="D7" s="2590"/>
      <c r="E7" s="2590"/>
      <c r="F7" s="259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2046</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1.75" customHeight="1" x14ac:dyDescent="0.2">
      <c r="A13" s="2590" t="s">
        <v>2159</v>
      </c>
      <c r="B13" s="2590"/>
      <c r="C13" s="2590"/>
      <c r="D13" s="2590"/>
      <c r="E13" s="2590"/>
      <c r="F13" s="2590"/>
    </row>
    <row r="14" spans="1:7" ht="9.75" customHeight="1" x14ac:dyDescent="0.2">
      <c r="C14" s="1036"/>
      <c r="D14" s="1036"/>
    </row>
    <row r="15" spans="1:7" ht="13.5" customHeight="1" x14ac:dyDescent="0.2">
      <c r="C15" s="1476" t="s">
        <v>1259</v>
      </c>
      <c r="D15" s="2588" t="s">
        <v>1258</v>
      </c>
      <c r="E15" s="2588"/>
      <c r="F15" s="2588"/>
    </row>
    <row r="16" spans="1:7" ht="13.5" customHeight="1" x14ac:dyDescent="0.2">
      <c r="A16" s="1058"/>
      <c r="B16" s="1052" t="s">
        <v>1257</v>
      </c>
      <c r="C16" s="1476" t="s">
        <v>1256</v>
      </c>
      <c r="D16" s="2589" t="s">
        <v>1570</v>
      </c>
      <c r="E16" s="2589"/>
      <c r="F16" s="2589"/>
    </row>
    <row r="17" spans="1:6" ht="20.45" customHeight="1" x14ac:dyDescent="0.2">
      <c r="A17" s="1059"/>
      <c r="B17" s="1060" t="s">
        <v>2160</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84" t="s">
        <v>2161</v>
      </c>
      <c r="B32" s="2584"/>
      <c r="C32" s="2584"/>
      <c r="D32" s="2584"/>
      <c r="E32" s="2584"/>
      <c r="F32" s="2584"/>
    </row>
    <row r="33" spans="1:6" ht="13.5" customHeight="1" x14ac:dyDescent="0.2">
      <c r="A33" s="306" t="s">
        <v>1417</v>
      </c>
      <c r="B33" s="306"/>
      <c r="C33" s="1064">
        <v>29549</v>
      </c>
      <c r="D33" s="1526"/>
      <c r="E33" s="1062"/>
    </row>
    <row r="34" spans="1:6" ht="13.5" customHeight="1" x14ac:dyDescent="0.2">
      <c r="A34" s="306" t="s">
        <v>1806</v>
      </c>
      <c r="B34" s="306"/>
      <c r="C34" s="1065">
        <v>7018</v>
      </c>
      <c r="D34" s="1526" t="s">
        <v>1571</v>
      </c>
      <c r="E34" s="2585">
        <f>+C33+C34</f>
        <v>36567</v>
      </c>
      <c r="F34" s="258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380</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1572</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2" t="s">
        <v>1533</v>
      </c>
      <c r="C51" s="2582"/>
      <c r="D51" s="2582"/>
    </row>
    <row r="52" spans="1:5" ht="14.25" customHeight="1" x14ac:dyDescent="0.2">
      <c r="A52" s="1077"/>
      <c r="B52" s="2582"/>
      <c r="C52" s="2582"/>
      <c r="D52" s="258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44&amp;R&amp;8Page 44</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5" zoomScale="110" zoomScaleNormal="110" workbookViewId="0">
      <selection activeCell="A40" sqref="A40:H4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Mt Vernon Twp HSD 201</v>
      </c>
      <c r="C1" s="2606"/>
      <c r="D1" s="2606"/>
      <c r="E1" s="2606"/>
      <c r="F1" s="2606"/>
      <c r="G1" s="2606"/>
      <c r="H1" s="2606"/>
      <c r="I1" s="2606"/>
      <c r="J1" s="1178"/>
    </row>
    <row r="2" spans="2:10" s="295" customFormat="1" ht="12.75" customHeight="1" x14ac:dyDescent="0.2">
      <c r="B2" s="2607">
        <f>'Single Audit Cover'!E7</f>
        <v>13041201017</v>
      </c>
      <c r="C2" s="2608"/>
      <c r="D2" s="2608"/>
      <c r="E2" s="2608"/>
      <c r="F2" s="2608"/>
      <c r="G2" s="2608"/>
      <c r="H2" s="2608"/>
      <c r="I2" s="2608"/>
      <c r="J2" s="1178"/>
    </row>
    <row r="3" spans="2:10" s="295" customFormat="1" ht="12.75" customHeight="1" x14ac:dyDescent="0.2">
      <c r="B3" s="2609" t="s">
        <v>1274</v>
      </c>
      <c r="C3" s="2610"/>
      <c r="D3" s="2610"/>
      <c r="E3" s="2610"/>
      <c r="F3" s="2610"/>
      <c r="G3" s="2610"/>
      <c r="H3" s="2610"/>
      <c r="I3" s="2610"/>
      <c r="J3" s="117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9" t="s">
        <v>1273</v>
      </c>
      <c r="C7" s="2610"/>
      <c r="D7" s="2610"/>
      <c r="E7" s="2610"/>
      <c r="F7" s="2610"/>
      <c r="G7" s="2610"/>
      <c r="H7" s="2610"/>
      <c r="I7" s="261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1" t="s">
        <v>1154</v>
      </c>
      <c r="D11" s="261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1425</v>
      </c>
      <c r="C18" s="1193"/>
      <c r="D18" s="1167"/>
      <c r="E18" s="1194" t="s">
        <v>2046</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2046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1425</v>
      </c>
      <c r="C27" s="1193"/>
      <c r="D27" s="1167"/>
      <c r="E27" s="1194"/>
      <c r="F27" s="1076" t="s">
        <v>879</v>
      </c>
      <c r="G27" s="1194" t="s">
        <v>2046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2" t="s">
        <v>2162</v>
      </c>
      <c r="E29" s="2612"/>
      <c r="F29" s="2612"/>
      <c r="G29" s="2612"/>
      <c r="H29" s="2612"/>
      <c r="I29" s="261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c r="F33" s="1076" t="s">
        <v>879</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13" t="s">
        <v>1724</v>
      </c>
      <c r="D37" s="2614"/>
      <c r="E37" s="2614"/>
      <c r="F37" s="2615"/>
      <c r="G37" s="2613" t="s">
        <v>1574</v>
      </c>
      <c r="H37" s="2614"/>
      <c r="I37" s="2615"/>
    </row>
    <row r="38" spans="2:9" ht="16.5" customHeight="1" x14ac:dyDescent="0.2">
      <c r="B38" s="1200" t="s">
        <v>2113</v>
      </c>
      <c r="C38" s="2601" t="s">
        <v>2163</v>
      </c>
      <c r="D38" s="2602"/>
      <c r="E38" s="2602"/>
      <c r="F38" s="2603"/>
      <c r="G38" s="2616">
        <v>601614</v>
      </c>
      <c r="H38" s="2617"/>
      <c r="I38" s="2618"/>
    </row>
    <row r="39" spans="2:9" ht="16.5" customHeight="1" x14ac:dyDescent="0.2">
      <c r="B39" s="1200"/>
      <c r="C39" s="2601"/>
      <c r="D39" s="2602"/>
      <c r="E39" s="2602"/>
      <c r="F39" s="2603"/>
      <c r="G39" s="2604"/>
      <c r="H39" s="2604"/>
      <c r="I39" s="2604"/>
    </row>
    <row r="40" spans="2:9" ht="16.5" customHeight="1" x14ac:dyDescent="0.2">
      <c r="B40" s="1200"/>
      <c r="C40" s="2601"/>
      <c r="D40" s="2602"/>
      <c r="E40" s="2602"/>
      <c r="F40" s="2603"/>
      <c r="G40" s="2604"/>
      <c r="H40" s="2604"/>
      <c r="I40" s="2604"/>
    </row>
    <row r="41" spans="2:9" ht="16.5" customHeight="1" x14ac:dyDescent="0.2">
      <c r="B41" s="1200"/>
      <c r="C41" s="2601"/>
      <c r="D41" s="2602"/>
      <c r="E41" s="2602"/>
      <c r="F41" s="2603"/>
      <c r="G41" s="2604"/>
      <c r="H41" s="2604"/>
      <c r="I41" s="2604"/>
    </row>
    <row r="42" spans="2:9" ht="16.5" customHeight="1" x14ac:dyDescent="0.2">
      <c r="B42" s="1200"/>
      <c r="C42" s="2601"/>
      <c r="D42" s="2602"/>
      <c r="E42" s="2602"/>
      <c r="F42" s="2603"/>
      <c r="G42" s="2604"/>
      <c r="H42" s="2604"/>
      <c r="I42" s="2604"/>
    </row>
    <row r="43" spans="2:9" ht="16.5" customHeight="1" x14ac:dyDescent="0.2">
      <c r="B43" s="1200"/>
      <c r="C43" s="2594" t="s">
        <v>1575</v>
      </c>
      <c r="D43" s="2595"/>
      <c r="E43" s="2595"/>
      <c r="F43" s="2596"/>
      <c r="G43" s="2597">
        <f>SUM(G38:I42)</f>
        <v>601614</v>
      </c>
      <c r="H43" s="2597"/>
      <c r="I43" s="2597"/>
    </row>
    <row r="44" spans="2:9" ht="12.75" customHeight="1" x14ac:dyDescent="0.2"/>
    <row r="45" spans="2:9" ht="12.75" customHeight="1" x14ac:dyDescent="0.2">
      <c r="B45" s="1915" t="str">
        <f>"Total Federal Expenditures for 7/1/"&amp;MID('AFR20'!E2,3,2)-1&amp;"-6/30/"&amp;MID('AFR20'!E2,3,2)</f>
        <v>Total Federal Expenditures for 7/1/19-6/30/20</v>
      </c>
      <c r="C45" s="1916"/>
      <c r="D45" s="2598">
        <v>1232227</v>
      </c>
      <c r="E45" s="2599"/>
    </row>
    <row r="46" spans="2:9" ht="5.25" customHeight="1" x14ac:dyDescent="0.2">
      <c r="B46" s="1201"/>
      <c r="D46" s="1202"/>
      <c r="E46" s="1203"/>
    </row>
    <row r="47" spans="2:9" ht="12.75" customHeight="1" x14ac:dyDescent="0.2">
      <c r="B47" s="1076" t="s">
        <v>1576</v>
      </c>
      <c r="C47" s="1076"/>
      <c r="D47" s="1204">
        <f>+G43/D45</f>
        <v>0.48823309341541776</v>
      </c>
      <c r="E47" s="1205"/>
      <c r="F47" s="1206"/>
      <c r="I47" s="1207"/>
    </row>
    <row r="48" spans="2:9" ht="9.9499999999999993" customHeight="1" x14ac:dyDescent="0.2"/>
    <row r="49" spans="1:9" x14ac:dyDescent="0.2">
      <c r="B49" s="1138" t="s">
        <v>1262</v>
      </c>
      <c r="C49" s="1058"/>
      <c r="D49" s="1058"/>
      <c r="E49" s="2600">
        <v>750000</v>
      </c>
      <c r="F49" s="2600"/>
      <c r="G49" s="2600"/>
      <c r="H49" s="300"/>
    </row>
    <row r="51" spans="1:9" ht="13.5" customHeight="1" x14ac:dyDescent="0.2">
      <c r="B51" s="1138" t="s">
        <v>1261</v>
      </c>
      <c r="C51" s="1058"/>
      <c r="E51" s="1194" t="s">
        <v>2046</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4" zoomScale="110" zoomScaleNormal="110" workbookViewId="0">
      <selection activeCell="A40" sqref="A40:H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Mt Vernon Twp HSD 201</v>
      </c>
      <c r="C1" s="2605"/>
      <c r="D1" s="2605"/>
      <c r="E1" s="2605"/>
      <c r="F1" s="2605"/>
      <c r="G1" s="2605"/>
      <c r="H1" s="2605"/>
      <c r="I1" s="2605"/>
      <c r="J1" s="2605"/>
      <c r="K1" s="2605"/>
      <c r="L1" s="1144"/>
      <c r="M1" s="1144"/>
    </row>
    <row r="2" spans="1:13" ht="12" customHeight="1" x14ac:dyDescent="0.2">
      <c r="B2" s="2607">
        <f>'Single Audit Cover'!E7</f>
        <v>13041201017</v>
      </c>
      <c r="C2" s="2607"/>
      <c r="D2" s="2607"/>
      <c r="E2" s="2607"/>
      <c r="F2" s="2607"/>
      <c r="G2" s="2607"/>
      <c r="H2" s="2607"/>
      <c r="I2" s="2607"/>
      <c r="J2" s="2607"/>
      <c r="K2" s="2607"/>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7" t="str">
        <f>'AFR20'!$E$2&amp;"-"</f>
        <v>2020-</v>
      </c>
      <c r="D10" s="1155">
        <v>1</v>
      </c>
      <c r="E10" s="300"/>
      <c r="F10" s="1156" t="s">
        <v>1284</v>
      </c>
      <c r="G10" s="1157"/>
      <c r="H10" s="1158" t="s">
        <v>1283</v>
      </c>
      <c r="I10" s="1157" t="s">
        <v>2046</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t="s">
        <v>2164</v>
      </c>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t="s">
        <v>2165</v>
      </c>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24" t="s">
        <v>2166</v>
      </c>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t="s">
        <v>2167</v>
      </c>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4.75" customHeight="1" x14ac:dyDescent="0.2">
      <c r="B26" s="2620" t="s">
        <v>2168</v>
      </c>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1.75" customHeight="1" x14ac:dyDescent="0.2">
      <c r="B29" s="2619" t="s">
        <v>2169</v>
      </c>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19" t="s">
        <v>2170</v>
      </c>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1808</v>
      </c>
      <c r="C36" s="1076"/>
      <c r="L36" s="1151"/>
    </row>
    <row r="37" spans="1:13" ht="9.6" customHeight="1" x14ac:dyDescent="0.2">
      <c r="B37" s="1076" t="s">
        <v>1809</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3" zoomScale="110" zoomScaleNormal="110" workbookViewId="0">
      <selection activeCell="A40" sqref="A40:H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Mt Vernon Twp HSD 201</v>
      </c>
      <c r="C1" s="2628"/>
      <c r="D1" s="2628"/>
      <c r="E1" s="2628"/>
      <c r="F1" s="2628"/>
      <c r="G1" s="2628"/>
      <c r="H1" s="2628"/>
      <c r="I1" s="2628"/>
      <c r="J1" s="2628"/>
      <c r="K1" s="2628"/>
      <c r="L1" s="1221"/>
    </row>
    <row r="2" spans="1:12" ht="12.75" customHeight="1" x14ac:dyDescent="0.2">
      <c r="B2" s="2629">
        <f>'Single Audit Cover'!E7</f>
        <v>13041201017</v>
      </c>
      <c r="C2" s="2629"/>
      <c r="D2" s="2629"/>
      <c r="E2" s="2629"/>
      <c r="F2" s="2629"/>
      <c r="G2" s="2629"/>
      <c r="H2" s="2629"/>
      <c r="I2" s="2629"/>
      <c r="J2" s="2629"/>
      <c r="K2" s="2629"/>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7" t="str">
        <f>'AFR20'!$E$2&amp;"-"</f>
        <v>2020-</v>
      </c>
      <c r="D8" s="1223" t="s">
        <v>2171</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2"/>
      <c r="G12" s="2612"/>
      <c r="H12" s="2612"/>
      <c r="I12" s="2612"/>
      <c r="J12" s="2612"/>
      <c r="K12" s="261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0" sqref="A40:H4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 xml:space="preserve">  Mt Vernon Twp HSD 201</v>
      </c>
      <c r="C1" s="2605"/>
      <c r="D1" s="2605"/>
      <c r="E1" s="1240"/>
    </row>
    <row r="2" spans="2:5" s="1058" customFormat="1" ht="12.75" customHeight="1" x14ac:dyDescent="0.2">
      <c r="B2" s="2607">
        <f>'Single Audit Cover'!E7</f>
        <v>13041201017</v>
      </c>
      <c r="C2" s="2607"/>
      <c r="D2" s="2607"/>
      <c r="E2" s="1241"/>
    </row>
    <row r="3" spans="2:5" ht="12.75" customHeight="1" x14ac:dyDescent="0.2">
      <c r="B3" s="2621" t="s">
        <v>1739</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c r="C5" s="306"/>
      <c r="D5" s="306"/>
      <c r="E5" s="306"/>
    </row>
    <row r="6" spans="2:5" s="1058" customFormat="1" ht="13.5" customHeight="1" x14ac:dyDescent="0.2">
      <c r="B6" s="1244" t="s">
        <v>1304</v>
      </c>
      <c r="C6" s="1244" t="s">
        <v>1303</v>
      </c>
      <c r="D6" s="1244" t="s">
        <v>1740</v>
      </c>
    </row>
    <row r="7" spans="2:5" ht="13.5" customHeight="1" x14ac:dyDescent="0.2">
      <c r="B7" s="1245"/>
      <c r="C7" s="302"/>
      <c r="D7" s="302"/>
      <c r="E7" s="302"/>
    </row>
    <row r="8" spans="2:5" ht="13.5" customHeight="1" x14ac:dyDescent="0.2">
      <c r="B8" s="1245" t="s">
        <v>2172</v>
      </c>
      <c r="C8" s="302" t="s">
        <v>2164</v>
      </c>
      <c r="D8" s="302" t="s">
        <v>2173</v>
      </c>
      <c r="E8" s="302"/>
    </row>
    <row r="9" spans="2:5" ht="13.5" customHeight="1" x14ac:dyDescent="0.2">
      <c r="B9" s="1246"/>
      <c r="C9" s="301"/>
      <c r="D9" s="301"/>
      <c r="E9" s="301"/>
    </row>
    <row r="10" spans="2:5" ht="13.5" customHeight="1" x14ac:dyDescent="0.2">
      <c r="B10" s="1245" t="s">
        <v>2174</v>
      </c>
      <c r="C10" s="301" t="s">
        <v>2175</v>
      </c>
      <c r="D10" s="301" t="s">
        <v>2176</v>
      </c>
      <c r="E10" s="301"/>
    </row>
    <row r="11" spans="2:5" ht="13.5" customHeight="1" x14ac:dyDescent="0.2">
      <c r="B11" s="1245"/>
      <c r="C11" s="301"/>
      <c r="D11" s="301"/>
      <c r="E11" s="301"/>
    </row>
    <row r="12" spans="2:5" ht="13.5" customHeight="1" x14ac:dyDescent="0.2">
      <c r="B12" s="1245" t="s">
        <v>2177</v>
      </c>
      <c r="C12" s="301" t="s">
        <v>2178</v>
      </c>
      <c r="D12" s="301" t="s">
        <v>2176</v>
      </c>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1741</v>
      </c>
    </row>
    <row r="46" spans="2:5" ht="12.2" customHeight="1" x14ac:dyDescent="0.2">
      <c r="B46" s="1254" t="s">
        <v>1742</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1962</v>
      </c>
      <c r="F1" s="1543" t="s">
        <v>1963</v>
      </c>
      <c r="G1" s="1898" t="s">
        <v>1973</v>
      </c>
    </row>
    <row r="2" spans="1:7" ht="15.75" x14ac:dyDescent="0.25">
      <c r="A2" t="s">
        <v>260</v>
      </c>
      <c r="B2" s="135">
        <f>COVER!A13</f>
        <v>13041201017</v>
      </c>
      <c r="E2" s="1542">
        <v>2020</v>
      </c>
      <c r="F2" s="1542">
        <v>1</v>
      </c>
      <c r="G2" s="1897">
        <v>101000300</v>
      </c>
    </row>
    <row r="3" spans="1:7" ht="15" x14ac:dyDescent="0.25">
      <c r="A3" t="s">
        <v>950</v>
      </c>
      <c r="B3" s="135" t="str">
        <f>COVER!A15</f>
        <v>Jefferson</v>
      </c>
      <c r="E3" s="1830" t="s">
        <v>1966</v>
      </c>
      <c r="F3" s="1830" t="s">
        <v>1965</v>
      </c>
      <c r="G3" s="1897">
        <v>101000400</v>
      </c>
    </row>
    <row r="4" spans="1:7" ht="15" x14ac:dyDescent="0.25">
      <c r="A4" t="s">
        <v>1000</v>
      </c>
      <c r="B4" s="135" t="str">
        <f>COVER!A17</f>
        <v xml:space="preserve">  Mt Vernon Twp HSD 201</v>
      </c>
      <c r="E4" s="1828">
        <v>44119</v>
      </c>
      <c r="F4" s="1829">
        <v>44151</v>
      </c>
      <c r="G4" s="1897">
        <v>101000600</v>
      </c>
    </row>
    <row r="5" spans="1:7" ht="15" x14ac:dyDescent="0.25">
      <c r="A5" t="s">
        <v>699</v>
      </c>
      <c r="B5" s="135" t="str">
        <f>COVER!A38</f>
        <v>Melanie Andrews</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1525</v>
      </c>
      <c r="B12" s="135" t="str">
        <f>IF(COVER!J29="x","Yes",IF(COVER!L29="X","No",0))</f>
        <v>Yes</v>
      </c>
      <c r="G12" s="1897">
        <v>202100600</v>
      </c>
    </row>
    <row r="13" spans="1:7" ht="15" x14ac:dyDescent="0.25">
      <c r="A13" s="1" t="s">
        <v>1526</v>
      </c>
      <c r="B13" s="135" t="str">
        <f>IF(COVER!J30="x","Yes",IF(COVER!L30="x","No",0))</f>
        <v>Yes</v>
      </c>
      <c r="G13" s="1897">
        <v>202100800</v>
      </c>
    </row>
    <row r="14" spans="1:7" ht="15" x14ac:dyDescent="0.25">
      <c r="A14" t="s">
        <v>473</v>
      </c>
      <c r="B14" s="135" t="str">
        <f>IF(COVER!J31="x","Yes",IF(COVER!L31="x","No",0))</f>
        <v>Yes</v>
      </c>
      <c r="G14" s="1897">
        <v>402100300</v>
      </c>
    </row>
    <row r="15" spans="1:7" ht="15" x14ac:dyDescent="0.25">
      <c r="A15" t="s">
        <v>573</v>
      </c>
      <c r="B15" s="135" t="str">
        <f>COVER!T23</f>
        <v>060-004252</v>
      </c>
      <c r="G15" s="1897">
        <v>402100400</v>
      </c>
    </row>
    <row r="16" spans="1:7" ht="15" x14ac:dyDescent="0.25">
      <c r="A16" t="s">
        <v>419</v>
      </c>
      <c r="B16" s="135" t="str">
        <f>COVER!T13</f>
        <v>Emling &amp; Hoffman, PC</v>
      </c>
      <c r="G16" s="1897">
        <v>402100600</v>
      </c>
    </row>
    <row r="17" spans="1:7" ht="15" x14ac:dyDescent="0.25">
      <c r="A17" t="s">
        <v>878</v>
      </c>
      <c r="B17" s="135" t="str">
        <f>COVER!T15</f>
        <v>Donald L Hoffman</v>
      </c>
      <c r="G17" s="1897">
        <v>402100800</v>
      </c>
    </row>
    <row r="18" spans="1:7" ht="15" x14ac:dyDescent="0.25">
      <c r="A18" t="s">
        <v>1140</v>
      </c>
      <c r="B18" s="135" t="str">
        <f>COVER!T17</f>
        <v>1191 West Saint Louis Street</v>
      </c>
      <c r="G18" s="1897">
        <v>102200300</v>
      </c>
    </row>
    <row r="19" spans="1:7" ht="15" x14ac:dyDescent="0.25">
      <c r="A19" t="s">
        <v>880</v>
      </c>
      <c r="B19" s="135" t="str">
        <f>COVER!T25</f>
        <v>donhoffman@emlingcpa.com</v>
      </c>
      <c r="G19" s="1897">
        <v>102200400</v>
      </c>
    </row>
    <row r="20" spans="1:7" ht="15" x14ac:dyDescent="0.25">
      <c r="A20" t="s">
        <v>881</v>
      </c>
      <c r="B20" s="135" t="str">
        <f>COVER!T19</f>
        <v>Nashville</v>
      </c>
      <c r="G20" s="1897">
        <v>102200600</v>
      </c>
    </row>
    <row r="21" spans="1:7" ht="15" x14ac:dyDescent="0.25">
      <c r="A21" t="s">
        <v>476</v>
      </c>
      <c r="B21" s="135" t="str">
        <f>COVER!X19</f>
        <v>IL</v>
      </c>
      <c r="G21" s="1897">
        <v>102200800</v>
      </c>
    </row>
    <row r="22" spans="1:7" ht="15" x14ac:dyDescent="0.25">
      <c r="A22" t="s">
        <v>882</v>
      </c>
      <c r="B22" s="135">
        <f>COVER!Z19</f>
        <v>62263</v>
      </c>
      <c r="G22" s="1897">
        <v>102300300</v>
      </c>
    </row>
    <row r="23" spans="1:7" ht="15" x14ac:dyDescent="0.25">
      <c r="A23" t="s">
        <v>1142</v>
      </c>
      <c r="B23" s="135" t="str">
        <f>COVER!T21</f>
        <v>618-327-4375</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1463</v>
      </c>
      <c r="B49" s="135" t="str">
        <f>IF('Aud Quest 2'!B53="x","Yes",IF('Aud Quest 2'!B53&lt;&gt;"x","0"))</f>
        <v>0</v>
      </c>
      <c r="G49" s="1897">
        <v>102540800</v>
      </c>
    </row>
    <row r="50" spans="1:7" ht="15" x14ac:dyDescent="0.25">
      <c r="A50" s="1" t="s">
        <v>1462</v>
      </c>
      <c r="B50" s="146">
        <f>'Aud Quest 2'!H53</f>
        <v>0</v>
      </c>
      <c r="G50" s="1897">
        <v>202540300</v>
      </c>
    </row>
    <row r="51" spans="1:7" ht="15" x14ac:dyDescent="0.25">
      <c r="A51" s="1" t="s">
        <v>1464</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5686488</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-113117</v>
      </c>
      <c r="C91" s="2" t="s">
        <v>569</v>
      </c>
      <c r="D91" s="2" t="str">
        <f t="shared" si="0"/>
        <v>Error?</v>
      </c>
      <c r="G91" s="1897">
        <v>102640400</v>
      </c>
    </row>
    <row r="92" spans="1:7" ht="15" x14ac:dyDescent="0.25">
      <c r="A92" s="5">
        <v>31</v>
      </c>
      <c r="B92" s="1832">
        <f>'Assets-Liab 5-6'!C39</f>
        <v>5799605</v>
      </c>
      <c r="D92" s="2" t="str">
        <f t="shared" si="0"/>
        <v>Error?</v>
      </c>
      <c r="G92" s="1897">
        <v>102640600</v>
      </c>
    </row>
    <row r="93" spans="1:7" ht="15" x14ac:dyDescent="0.25">
      <c r="A93" s="5">
        <v>32</v>
      </c>
      <c r="B93" s="1832">
        <f>'Assets-Liab 5-6'!C41</f>
        <v>5686488</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51</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1682433</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1682433</v>
      </c>
      <c r="D123" s="2" t="str">
        <f t="shared" si="0"/>
        <v>Error?</v>
      </c>
      <c r="G123" s="1897">
        <v>203000400</v>
      </c>
    </row>
    <row r="124" spans="1:7" ht="15" x14ac:dyDescent="0.25">
      <c r="A124" s="5">
        <v>63</v>
      </c>
      <c r="B124" s="1832">
        <f>'Assets-Liab 5-6'!D41</f>
        <v>1682433</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36402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36402</v>
      </c>
      <c r="D140" s="2" t="str">
        <f t="shared" si="1"/>
        <v>Error?</v>
      </c>
    </row>
    <row r="141" spans="1:7" x14ac:dyDescent="0.2">
      <c r="A141" s="5">
        <v>80</v>
      </c>
      <c r="B141" s="1832">
        <f>'Assets-Liab 5-6'!E41</f>
        <v>36402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1421687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-36</v>
      </c>
      <c r="C169" s="2" t="s">
        <v>569</v>
      </c>
      <c r="D169" s="2" t="str">
        <f t="shared" si="1"/>
        <v>Error?</v>
      </c>
    </row>
    <row r="170" spans="1:4" x14ac:dyDescent="0.2">
      <c r="A170" s="5">
        <v>109</v>
      </c>
      <c r="B170" s="1832">
        <f>'Assets-Liab 5-6'!F39</f>
        <v>1421723</v>
      </c>
      <c r="D170" s="2" t="str">
        <f t="shared" si="1"/>
        <v>Error?</v>
      </c>
    </row>
    <row r="171" spans="1:4" x14ac:dyDescent="0.2">
      <c r="A171" s="5">
        <v>110</v>
      </c>
      <c r="B171" s="1832">
        <f>'Assets-Liab 5-6'!F41</f>
        <v>1421687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244277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244277</v>
      </c>
      <c r="D189" s="2" t="str">
        <f t="shared" si="1"/>
        <v>Error?</v>
      </c>
    </row>
    <row r="190" spans="1:4" x14ac:dyDescent="0.2">
      <c r="A190" s="5">
        <v>129</v>
      </c>
      <c r="B190" s="1832">
        <f>'Assets-Liab 5-6'!G41</f>
        <v>244277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20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395005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395005</v>
      </c>
      <c r="D212" s="2" t="str">
        <f t="shared" si="2"/>
        <v>Error?</v>
      </c>
    </row>
    <row r="213" spans="1:4" x14ac:dyDescent="0.2">
      <c r="A213" s="12">
        <v>152</v>
      </c>
      <c r="B213" s="1832">
        <f>'Assets-Liab 5-6'!H41</f>
        <v>395005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1859441</v>
      </c>
      <c r="D273" s="2" t="str">
        <f t="shared" si="3"/>
        <v>Error?</v>
      </c>
    </row>
    <row r="274" spans="1:4" x14ac:dyDescent="0.2">
      <c r="A274" s="5">
        <v>213</v>
      </c>
      <c r="B274" s="1832">
        <f>'Assets-Liab 5-6'!M17</f>
        <v>77291365</v>
      </c>
      <c r="D274" s="2" t="str">
        <f t="shared" si="3"/>
        <v>Error?</v>
      </c>
    </row>
    <row r="275" spans="1:4" x14ac:dyDescent="0.2">
      <c r="A275" s="5">
        <v>214</v>
      </c>
      <c r="B275" s="1832">
        <f>'Assets-Liab 5-6'!M18</f>
        <v>1174957</v>
      </c>
      <c r="D275" s="2" t="str">
        <f t="shared" si="3"/>
        <v>Error?</v>
      </c>
    </row>
    <row r="276" spans="1:4" x14ac:dyDescent="0.2">
      <c r="A276" s="5">
        <v>215</v>
      </c>
      <c r="B276" s="1832">
        <f>'Assets-Liab 5-6'!M19</f>
        <v>1384730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81710493</v>
      </c>
      <c r="C279" s="2" t="s">
        <v>569</v>
      </c>
      <c r="D279" s="2" t="str">
        <f t="shared" si="3"/>
        <v>Error?</v>
      </c>
    </row>
    <row r="280" spans="1:4" x14ac:dyDescent="0.2">
      <c r="A280" s="5">
        <v>219</v>
      </c>
      <c r="B280" s="1832">
        <f>'Assets-Liab 5-6'!M40</f>
        <v>81710493</v>
      </c>
      <c r="D280" s="2" t="str">
        <f t="shared" si="3"/>
        <v>Error?</v>
      </c>
    </row>
    <row r="281" spans="1:4" x14ac:dyDescent="0.2">
      <c r="A281" s="5">
        <v>220</v>
      </c>
      <c r="B281" s="1832">
        <f>'Assets-Liab 5-6'!M41</f>
        <v>81710493</v>
      </c>
      <c r="C281" s="2" t="s">
        <v>569</v>
      </c>
      <c r="D281" s="2" t="str">
        <f t="shared" si="3"/>
        <v>Error?</v>
      </c>
    </row>
    <row r="282" spans="1:4" x14ac:dyDescent="0.2">
      <c r="A282" s="5">
        <v>221</v>
      </c>
      <c r="B282" s="1832">
        <f>'Assets-Liab 5-6'!N21</f>
        <v>36402</v>
      </c>
      <c r="D282" s="2" t="str">
        <f t="shared" si="3"/>
        <v>Error?</v>
      </c>
    </row>
    <row r="283" spans="1:4" x14ac:dyDescent="0.2">
      <c r="A283" s="5">
        <v>222</v>
      </c>
      <c r="B283" s="1832">
        <f>'Assets-Liab 5-6'!N22</f>
        <v>17257432</v>
      </c>
      <c r="D283" s="2" t="str">
        <f t="shared" si="3"/>
        <v>Error?</v>
      </c>
    </row>
    <row r="284" spans="1:4" x14ac:dyDescent="0.2">
      <c r="A284" s="5">
        <v>223</v>
      </c>
      <c r="B284" s="1832">
        <f>'Assets-Liab 5-6'!N23</f>
        <v>17293834</v>
      </c>
      <c r="C284" s="2" t="s">
        <v>569</v>
      </c>
      <c r="D284" s="2" t="str">
        <f t="shared" si="3"/>
        <v>Error?</v>
      </c>
    </row>
    <row r="285" spans="1:4" x14ac:dyDescent="0.2">
      <c r="A285" s="5">
        <v>224</v>
      </c>
      <c r="B285" s="1832">
        <f>'Assets-Liab 5-6'!N36</f>
        <v>17293834</v>
      </c>
      <c r="D285" s="2" t="str">
        <f t="shared" si="3"/>
        <v>Error?</v>
      </c>
    </row>
    <row r="286" spans="1:4" x14ac:dyDescent="0.2">
      <c r="A286" s="10">
        <v>225</v>
      </c>
      <c r="B286" s="1832"/>
      <c r="D286" s="2" t="str">
        <f t="shared" si="3"/>
        <v>OK</v>
      </c>
    </row>
    <row r="287" spans="1:4" x14ac:dyDescent="0.2">
      <c r="A287" s="5">
        <v>226</v>
      </c>
      <c r="B287" s="1832">
        <f>'Assets-Liab 5-6'!N37</f>
        <v>17293834</v>
      </c>
      <c r="C287" s="2" t="s">
        <v>569</v>
      </c>
      <c r="D287" s="2" t="str">
        <f t="shared" si="3"/>
        <v>Error?</v>
      </c>
    </row>
    <row r="288" spans="1:4" x14ac:dyDescent="0.2">
      <c r="A288" s="5">
        <v>227</v>
      </c>
      <c r="B288" s="1832">
        <f>'Assets-Liab 5-6'!N41</f>
        <v>17293834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2670845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576251</v>
      </c>
      <c r="D717" s="2" t="str">
        <f t="shared" si="10"/>
        <v>Error?</v>
      </c>
    </row>
    <row r="718" spans="1:4" x14ac:dyDescent="0.2">
      <c r="A718" s="5">
        <v>657</v>
      </c>
      <c r="B718" s="1832">
        <f>'Expenditures 15-22'!C14</f>
        <v>293593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5959672</v>
      </c>
      <c r="C720" s="2" t="s">
        <v>569</v>
      </c>
      <c r="D720" s="2" t="str">
        <f t="shared" si="10"/>
        <v>Error?</v>
      </c>
    </row>
    <row r="721" spans="1:4" x14ac:dyDescent="0.2">
      <c r="A721" s="5">
        <v>660</v>
      </c>
      <c r="B721" s="1832">
        <f>'Expenditures 15-22'!C36</f>
        <v>323926</v>
      </c>
      <c r="D721" s="2" t="str">
        <f t="shared" si="10"/>
        <v>Error?</v>
      </c>
    </row>
    <row r="722" spans="1:4" x14ac:dyDescent="0.2">
      <c r="A722" s="5">
        <v>661</v>
      </c>
      <c r="B722" s="1832">
        <f>'Expenditures 15-22'!C37</f>
        <v>313950</v>
      </c>
      <c r="D722" s="2" t="str">
        <f t="shared" si="10"/>
        <v>Error?</v>
      </c>
    </row>
    <row r="723" spans="1:4" x14ac:dyDescent="0.2">
      <c r="A723" s="5">
        <v>662</v>
      </c>
      <c r="B723" s="1832">
        <f>'Expenditures 15-22'!C38</f>
        <v>99817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30791</v>
      </c>
      <c r="D726" s="2" t="str">
        <f t="shared" si="10"/>
        <v>Error?</v>
      </c>
    </row>
    <row r="727" spans="1:4" x14ac:dyDescent="0.2">
      <c r="A727" s="5">
        <v>666</v>
      </c>
      <c r="B727" s="1832">
        <f>'Expenditures 15-22'!C42</f>
        <v>768484</v>
      </c>
      <c r="C727" s="2" t="s">
        <v>569</v>
      </c>
      <c r="D727" s="2" t="str">
        <f t="shared" si="10"/>
        <v>Error?</v>
      </c>
    </row>
    <row r="728" spans="1:4" x14ac:dyDescent="0.2">
      <c r="A728" s="5">
        <v>667</v>
      </c>
      <c r="B728" s="1832">
        <f>'Expenditures 15-22'!C44</f>
        <v>57315</v>
      </c>
      <c r="D728" s="2" t="str">
        <f t="shared" si="10"/>
        <v>Error?</v>
      </c>
    </row>
    <row r="729" spans="1:4" x14ac:dyDescent="0.2">
      <c r="A729" s="5">
        <v>668</v>
      </c>
      <c r="B729" s="1832">
        <f>'Expenditures 15-22'!C45</f>
        <v>67694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125009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228555</v>
      </c>
      <c r="D733" s="2" t="str">
        <f t="shared" si="10"/>
        <v>Error?</v>
      </c>
    </row>
    <row r="734" spans="1:4" x14ac:dyDescent="0.2">
      <c r="A734" s="5">
        <v>673</v>
      </c>
      <c r="B734" s="1832">
        <f>'Expenditures 15-22'!C53</f>
        <v>229569</v>
      </c>
      <c r="C734" s="2" t="s">
        <v>569</v>
      </c>
      <c r="D734" s="2" t="str">
        <f t="shared" si="10"/>
        <v>Error?</v>
      </c>
    </row>
    <row r="735" spans="1:4" x14ac:dyDescent="0.2">
      <c r="A735" s="5">
        <v>674</v>
      </c>
      <c r="B735" s="1832">
        <f>'Expenditures 15-22'!C55</f>
        <v>584563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584563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129939</v>
      </c>
      <c r="D739" s="2" t="str">
        <f t="shared" si="10"/>
        <v>Error?</v>
      </c>
    </row>
    <row r="740" spans="1:4" x14ac:dyDescent="0.2">
      <c r="A740" s="5">
        <v>679</v>
      </c>
      <c r="B740" s="1832">
        <f>'Expenditures 15-22'!C61</f>
        <v>738473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257953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1126365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138122</v>
      </c>
      <c r="D751" s="2" t="str">
        <f t="shared" si="10"/>
        <v>Error?</v>
      </c>
    </row>
    <row r="752" spans="1:4" x14ac:dyDescent="0.2">
      <c r="A752" s="10">
        <v>691</v>
      </c>
      <c r="B752" s="1832"/>
      <c r="D752" s="2" t="str">
        <f t="shared" si="10"/>
        <v>OK</v>
      </c>
    </row>
    <row r="753" spans="1:4" x14ac:dyDescent="0.2">
      <c r="A753" s="5">
        <v>692</v>
      </c>
      <c r="B753" s="1832">
        <f>'Expenditures 15-22'!C72</f>
        <v>138122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2972112</v>
      </c>
      <c r="C755" s="2" t="s">
        <v>569</v>
      </c>
      <c r="D755" s="2" t="str">
        <f t="shared" si="10"/>
        <v>Error?</v>
      </c>
    </row>
    <row r="756" spans="1:4" x14ac:dyDescent="0.2">
      <c r="A756" s="5">
        <v>695</v>
      </c>
      <c r="B756" s="1832">
        <f>'Expenditures 15-22'!C75</f>
        <v>56347</v>
      </c>
      <c r="D756" s="2" t="str">
        <f t="shared" si="10"/>
        <v>Error?</v>
      </c>
    </row>
    <row r="757" spans="1:4" x14ac:dyDescent="0.2">
      <c r="A757" s="5">
        <v>696</v>
      </c>
      <c r="B757" s="1832">
        <f>'Expenditures 15-22'!C114</f>
        <v>8988131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428803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121800</v>
      </c>
      <c r="D775" s="2" t="str">
        <f t="shared" si="11"/>
        <v>Error?</v>
      </c>
    </row>
    <row r="776" spans="1:4" x14ac:dyDescent="0.2">
      <c r="A776" s="5">
        <v>715</v>
      </c>
      <c r="B776" s="1832">
        <f>'Expenditures 15-22'!D14</f>
        <v>11610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1056369</v>
      </c>
      <c r="C778" s="2" t="s">
        <v>569</v>
      </c>
      <c r="D778" s="2" t="str">
        <f t="shared" si="11"/>
        <v>Error?</v>
      </c>
    </row>
    <row r="779" spans="1:4" x14ac:dyDescent="0.2">
      <c r="A779" s="5">
        <v>718</v>
      </c>
      <c r="B779" s="1832">
        <f>'Expenditures 15-22'!D36</f>
        <v>76140</v>
      </c>
      <c r="D779" s="2" t="str">
        <f t="shared" si="11"/>
        <v>Error?</v>
      </c>
    </row>
    <row r="780" spans="1:4" x14ac:dyDescent="0.2">
      <c r="A780" s="5">
        <v>719</v>
      </c>
      <c r="B780" s="1832">
        <f>'Expenditures 15-22'!D37</f>
        <v>42466</v>
      </c>
      <c r="D780" s="2" t="str">
        <f t="shared" si="11"/>
        <v>Error?</v>
      </c>
    </row>
    <row r="781" spans="1:4" x14ac:dyDescent="0.2">
      <c r="A781" s="5">
        <v>720</v>
      </c>
      <c r="B781" s="1832">
        <f>'Expenditures 15-22'!D38</f>
        <v>26507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14075</v>
      </c>
      <c r="D784" s="2" t="str">
        <f t="shared" si="11"/>
        <v>Error?</v>
      </c>
    </row>
    <row r="785" spans="1:4" x14ac:dyDescent="0.2">
      <c r="A785" s="5">
        <v>724</v>
      </c>
      <c r="B785" s="1832">
        <f>'Expenditures 15-22'!D42</f>
        <v>159188</v>
      </c>
      <c r="C785" s="2" t="s">
        <v>569</v>
      </c>
      <c r="D785" s="2" t="str">
        <f t="shared" si="11"/>
        <v>Error?</v>
      </c>
    </row>
    <row r="786" spans="1:4" x14ac:dyDescent="0.2">
      <c r="A786" s="5">
        <v>725</v>
      </c>
      <c r="B786" s="1832">
        <f>'Expenditures 15-22'!D44</f>
        <v>29634</v>
      </c>
      <c r="D786" s="2" t="str">
        <f t="shared" si="11"/>
        <v>Error?</v>
      </c>
    </row>
    <row r="787" spans="1:4" x14ac:dyDescent="0.2">
      <c r="A787" s="5">
        <v>726</v>
      </c>
      <c r="B787" s="1832">
        <f>'Expenditures 15-22'!D45</f>
        <v>17158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46792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30771</v>
      </c>
      <c r="D791" s="2" t="str">
        <f t="shared" si="11"/>
        <v>Error?</v>
      </c>
    </row>
    <row r="792" spans="1:4" x14ac:dyDescent="0.2">
      <c r="A792" s="5">
        <v>731</v>
      </c>
      <c r="B792" s="1832">
        <f>'Expenditures 15-22'!D53</f>
        <v>30927</v>
      </c>
      <c r="C792" s="2" t="s">
        <v>569</v>
      </c>
      <c r="D792" s="2" t="str">
        <f t="shared" si="11"/>
        <v>Error?</v>
      </c>
    </row>
    <row r="793" spans="1:4" x14ac:dyDescent="0.2">
      <c r="A793" s="5">
        <v>732</v>
      </c>
      <c r="B793" s="1832">
        <f>'Expenditures 15-22'!D55</f>
        <v>65806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65806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20929</v>
      </c>
      <c r="D797" s="2" t="str">
        <f t="shared" si="11"/>
        <v>Error?</v>
      </c>
    </row>
    <row r="798" spans="1:4" x14ac:dyDescent="0.2">
      <c r="A798" s="5">
        <v>737</v>
      </c>
      <c r="B798" s="1832">
        <f>'Expenditures 15-22'!D61</f>
        <v>132718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81235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234882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28438</v>
      </c>
      <c r="D809" s="2" t="str">
        <f t="shared" si="11"/>
        <v>Error?</v>
      </c>
    </row>
    <row r="810" spans="1:4" x14ac:dyDescent="0.2">
      <c r="A810" s="10">
        <v>749</v>
      </c>
      <c r="B810" s="1832"/>
      <c r="D810" s="2" t="str">
        <f t="shared" si="11"/>
        <v>OK</v>
      </c>
    </row>
    <row r="811" spans="1:4" x14ac:dyDescent="0.2">
      <c r="A811" s="5">
        <v>750</v>
      </c>
      <c r="B811" s="1832">
        <f>'Expenditures 15-22'!D72</f>
        <v>28438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566033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1622402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7461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858</v>
      </c>
      <c r="D833" s="2" t="str">
        <f t="shared" si="12"/>
        <v>Error?</v>
      </c>
    </row>
    <row r="834" spans="1:4" x14ac:dyDescent="0.2">
      <c r="A834" s="5">
        <v>773</v>
      </c>
      <c r="B834" s="1832">
        <f>'Expenditures 15-22'!E14</f>
        <v>47906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138360</v>
      </c>
      <c r="C836" s="2" t="s">
        <v>569</v>
      </c>
      <c r="D836" s="2" t="str">
        <f t="shared" si="12"/>
        <v>Error?</v>
      </c>
    </row>
    <row r="837" spans="1:4" x14ac:dyDescent="0.2">
      <c r="A837" s="5">
        <v>776</v>
      </c>
      <c r="B837" s="1832">
        <f>'Expenditures 15-22'!E36</f>
        <v>1310</v>
      </c>
      <c r="D837" s="2" t="str">
        <f t="shared" si="12"/>
        <v>Error?</v>
      </c>
    </row>
    <row r="838" spans="1:4" x14ac:dyDescent="0.2">
      <c r="A838" s="5">
        <v>777</v>
      </c>
      <c r="B838" s="1832">
        <f>'Expenditures 15-22'!E37</f>
        <v>8122</v>
      </c>
      <c r="D838" s="2" t="str">
        <f t="shared" si="12"/>
        <v>Error?</v>
      </c>
    </row>
    <row r="839" spans="1:4" x14ac:dyDescent="0.2">
      <c r="A839" s="5">
        <v>778</v>
      </c>
      <c r="B839" s="1832">
        <f>'Expenditures 15-22'!E38</f>
        <v>209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9641</v>
      </c>
      <c r="C843" s="2" t="s">
        <v>569</v>
      </c>
      <c r="D843" s="2" t="str">
        <f t="shared" si="12"/>
        <v>Error?</v>
      </c>
    </row>
    <row r="844" spans="1:4" x14ac:dyDescent="0.2">
      <c r="A844" s="5">
        <v>783</v>
      </c>
      <c r="B844" s="1832">
        <f>'Expenditures 15-22'!E44</f>
        <v>24506</v>
      </c>
      <c r="D844" s="2" t="str">
        <f t="shared" si="12"/>
        <v>Error?</v>
      </c>
    </row>
    <row r="845" spans="1:4" x14ac:dyDescent="0.2">
      <c r="A845" s="5">
        <v>784</v>
      </c>
      <c r="B845" s="1832">
        <f>'Expenditures 15-22'!E45</f>
        <v>40411</v>
      </c>
      <c r="D845" s="2" t="str">
        <f t="shared" si="12"/>
        <v>Error?</v>
      </c>
    </row>
    <row r="846" spans="1:4" x14ac:dyDescent="0.2">
      <c r="A846" s="5">
        <v>785</v>
      </c>
      <c r="B846" s="1832">
        <f>'Expenditures 15-22'!E46</f>
        <v>15896</v>
      </c>
      <c r="D846" s="2" t="str">
        <f t="shared" si="12"/>
        <v>Error?</v>
      </c>
    </row>
    <row r="847" spans="1:4" x14ac:dyDescent="0.2">
      <c r="A847" s="5">
        <v>786</v>
      </c>
      <c r="B847" s="1832">
        <f>'Expenditures 15-22'!E47</f>
        <v>80813</v>
      </c>
      <c r="C847" s="2" t="s">
        <v>569</v>
      </c>
      <c r="D847" s="2" t="str">
        <f t="shared" si="12"/>
        <v>Error?</v>
      </c>
    </row>
    <row r="848" spans="1:4" x14ac:dyDescent="0.2">
      <c r="A848" s="5">
        <v>787</v>
      </c>
      <c r="B848" s="1832">
        <f>'Expenditures 15-22'!E49</f>
        <v>77552</v>
      </c>
      <c r="D848" s="2" t="str">
        <f t="shared" si="12"/>
        <v>Error?</v>
      </c>
    </row>
    <row r="849" spans="1:4" x14ac:dyDescent="0.2">
      <c r="A849" s="5">
        <v>788</v>
      </c>
      <c r="B849" s="1832">
        <f>'Expenditures 15-22'!E50</f>
        <v>2754</v>
      </c>
      <c r="D849" s="2" t="str">
        <f t="shared" si="12"/>
        <v>Error?</v>
      </c>
    </row>
    <row r="850" spans="1:4" x14ac:dyDescent="0.2">
      <c r="A850" s="5">
        <v>789</v>
      </c>
      <c r="B850" s="1832">
        <f>'Expenditures 15-22'!E53</f>
        <v>80306</v>
      </c>
      <c r="C850" s="2" t="s">
        <v>569</v>
      </c>
      <c r="D850" s="2" t="str">
        <f t="shared" si="12"/>
        <v>Error?</v>
      </c>
    </row>
    <row r="851" spans="1:4" x14ac:dyDescent="0.2">
      <c r="A851" s="5">
        <v>790</v>
      </c>
      <c r="B851" s="1832">
        <f>'Expenditures 15-22'!E55</f>
        <v>16950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16950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12329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2154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14483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380180</v>
      </c>
      <c r="D867" s="2" t="str">
        <f t="shared" si="12"/>
        <v>Error?</v>
      </c>
    </row>
    <row r="868" spans="1:4" x14ac:dyDescent="0.2">
      <c r="A868" s="10">
        <v>807</v>
      </c>
      <c r="B868" s="1832"/>
      <c r="D868" s="2" t="str">
        <f t="shared" si="12"/>
        <v>OK</v>
      </c>
    </row>
    <row r="869" spans="1:4" x14ac:dyDescent="0.2">
      <c r="A869" s="5">
        <v>808</v>
      </c>
      <c r="B869" s="1832">
        <f>'Expenditures 15-22'!E72</f>
        <v>380180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582373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920879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12001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36780</v>
      </c>
      <c r="D891" s="2" t="str">
        <f t="shared" si="12"/>
        <v>Error?</v>
      </c>
    </row>
    <row r="892" spans="1:4" x14ac:dyDescent="0.2">
      <c r="A892" s="5">
        <v>831</v>
      </c>
      <c r="B892" s="1832">
        <f>'Expenditures 15-22'!F14</f>
        <v>70215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235465</v>
      </c>
      <c r="C894" s="2" t="s">
        <v>569</v>
      </c>
      <c r="D894" s="2" t="str">
        <f t="shared" si="12"/>
        <v>Error?</v>
      </c>
    </row>
    <row r="895" spans="1:4" x14ac:dyDescent="0.2">
      <c r="A895" s="5">
        <v>834</v>
      </c>
      <c r="B895" s="1832">
        <f>'Expenditures 15-22'!F36</f>
        <v>1611</v>
      </c>
      <c r="D895" s="2" t="str">
        <f t="shared" ref="D895:D958" si="13">IF(ISBLANK(B895),"OK",IF(A895-B895=0,"OK","Error?"))</f>
        <v>Error?</v>
      </c>
    </row>
    <row r="896" spans="1:4" x14ac:dyDescent="0.2">
      <c r="A896" s="5">
        <v>835</v>
      </c>
      <c r="B896" s="1832">
        <f>'Expenditures 15-22'!F37</f>
        <v>547</v>
      </c>
      <c r="D896" s="2" t="str">
        <f t="shared" si="13"/>
        <v>Error?</v>
      </c>
    </row>
    <row r="897" spans="1:4" x14ac:dyDescent="0.2">
      <c r="A897" s="5">
        <v>836</v>
      </c>
      <c r="B897" s="1832">
        <f>'Expenditures 15-22'!F38</f>
        <v>1739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9678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13575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3446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3446</v>
      </c>
      <c r="C905" s="2" t="s">
        <v>569</v>
      </c>
      <c r="D905" s="2" t="str">
        <f t="shared" si="13"/>
        <v>Error?</v>
      </c>
    </row>
    <row r="906" spans="1:4" x14ac:dyDescent="0.2">
      <c r="A906" s="5">
        <v>845</v>
      </c>
      <c r="B906" s="1832">
        <f>'Expenditures 15-22'!F49</f>
        <v>10608</v>
      </c>
      <c r="D906" s="2" t="str">
        <f t="shared" si="13"/>
        <v>Error?</v>
      </c>
    </row>
    <row r="907" spans="1:4" x14ac:dyDescent="0.2">
      <c r="A907" s="5">
        <v>846</v>
      </c>
      <c r="B907" s="1832">
        <f>'Expenditures 15-22'!F50</f>
        <v>3739</v>
      </c>
      <c r="D907" s="2" t="str">
        <f t="shared" si="13"/>
        <v>Error?</v>
      </c>
    </row>
    <row r="908" spans="1:4" x14ac:dyDescent="0.2">
      <c r="A908" s="5">
        <v>847</v>
      </c>
      <c r="B908" s="1832">
        <f>'Expenditures 15-22'!F53</f>
        <v>14347</v>
      </c>
      <c r="C908" s="2" t="s">
        <v>569</v>
      </c>
      <c r="D908" s="2" t="str">
        <f t="shared" si="13"/>
        <v>Error?</v>
      </c>
    </row>
    <row r="909" spans="1:4" x14ac:dyDescent="0.2">
      <c r="A909" s="5">
        <v>848</v>
      </c>
      <c r="B909" s="1832">
        <f>'Expenditures 15-22'!F55</f>
        <v>16245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16245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2836</v>
      </c>
      <c r="D913" s="2" t="str">
        <f t="shared" si="13"/>
        <v>Error?</v>
      </c>
    </row>
    <row r="914" spans="1:4" x14ac:dyDescent="0.2">
      <c r="A914" s="5">
        <v>853</v>
      </c>
      <c r="B914" s="1832">
        <f>'Expenditures 15-22'!F61</f>
        <v>266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392492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395594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8858</v>
      </c>
      <c r="D925" s="2" t="str">
        <f t="shared" si="13"/>
        <v>Error?</v>
      </c>
    </row>
    <row r="926" spans="1:4" x14ac:dyDescent="0.2">
      <c r="A926" s="10">
        <v>865</v>
      </c>
      <c r="B926" s="1832"/>
      <c r="D926" s="2" t="str">
        <f t="shared" si="13"/>
        <v>OK</v>
      </c>
    </row>
    <row r="927" spans="1:4" x14ac:dyDescent="0.2">
      <c r="A927" s="5">
        <v>866</v>
      </c>
      <c r="B927" s="1832">
        <f>'Expenditures 15-22'!F72</f>
        <v>8858</v>
      </c>
      <c r="C927" s="2" t="s">
        <v>569</v>
      </c>
      <c r="D927" s="2" t="str">
        <f t="shared" si="13"/>
        <v>Error?</v>
      </c>
    </row>
    <row r="928" spans="1:4" x14ac:dyDescent="0.2">
      <c r="A928" s="5">
        <v>867</v>
      </c>
      <c r="B928" s="1832">
        <f>'Expenditures 15-22'!F73</f>
        <v>626</v>
      </c>
      <c r="D928" s="2" t="str">
        <f t="shared" si="13"/>
        <v>Error?</v>
      </c>
    </row>
    <row r="929" spans="1:4" x14ac:dyDescent="0.2">
      <c r="A929" s="5">
        <v>868</v>
      </c>
      <c r="B929" s="1832">
        <f>'Expenditures 15-22'!F74</f>
        <v>452691</v>
      </c>
      <c r="C929" s="2" t="s">
        <v>569</v>
      </c>
      <c r="D929" s="2" t="str">
        <f t="shared" si="13"/>
        <v>Error?</v>
      </c>
    </row>
    <row r="930" spans="1:4" x14ac:dyDescent="0.2">
      <c r="A930" s="5">
        <v>869</v>
      </c>
      <c r="B930" s="1832">
        <f>'Expenditures 15-22'!F75</f>
        <v>943</v>
      </c>
      <c r="D930" s="2" t="str">
        <f t="shared" si="13"/>
        <v>Error?</v>
      </c>
    </row>
    <row r="931" spans="1:4" x14ac:dyDescent="0.2">
      <c r="A931" s="5">
        <v>870</v>
      </c>
      <c r="B931" s="1832">
        <f>'Expenditures 15-22'!F114</f>
        <v>689099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52745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71936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2790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2790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11795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11795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6339</v>
      </c>
      <c r="D983" s="2" t="str">
        <f t="shared" si="14"/>
        <v>Error?</v>
      </c>
    </row>
    <row r="984" spans="1:4" x14ac:dyDescent="0.2">
      <c r="A984" s="10">
        <v>923</v>
      </c>
      <c r="B984" s="1832"/>
      <c r="D984" s="2" t="str">
        <f t="shared" si="14"/>
        <v>OK</v>
      </c>
    </row>
    <row r="985" spans="1:4" x14ac:dyDescent="0.2">
      <c r="A985" s="5">
        <v>924</v>
      </c>
      <c r="B985" s="1832">
        <f>'Expenditures 15-22'!G72</f>
        <v>6339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20924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92860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4792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17227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22049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3325</v>
      </c>
      <c r="D1022" s="2" t="str">
        <f t="shared" si="14"/>
        <v>Error?</v>
      </c>
    </row>
    <row r="1023" spans="1:4" x14ac:dyDescent="0.2">
      <c r="A1023" s="5">
        <v>962</v>
      </c>
      <c r="B1023" s="1832">
        <f>'Expenditures 15-22'!H50</f>
        <v>2007</v>
      </c>
      <c r="D1023" s="2" t="str">
        <f t="shared" ref="D1023:D1086" si="15">IF(ISBLANK(B1023),"OK",IF(A1023-B1023=0,"OK","Error?"))</f>
        <v>Error?</v>
      </c>
    </row>
    <row r="1024" spans="1:4" x14ac:dyDescent="0.2">
      <c r="A1024" s="5">
        <v>963</v>
      </c>
      <c r="B1024" s="1832">
        <f>'Expenditures 15-22'!H53</f>
        <v>5580</v>
      </c>
      <c r="C1024" s="2" t="s">
        <v>569</v>
      </c>
      <c r="D1024" s="2" t="str">
        <f t="shared" si="15"/>
        <v>Error?</v>
      </c>
    </row>
    <row r="1025" spans="1:4" x14ac:dyDescent="0.2">
      <c r="A1025" s="5">
        <v>964</v>
      </c>
      <c r="B1025" s="1832">
        <f>'Expenditures 15-22'!H55</f>
        <v>2765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2765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83</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333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416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8761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280747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311557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1992</v>
      </c>
      <c r="E1056" s="4" t="s">
        <v>1991</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3123902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735689</v>
      </c>
      <c r="C1105" s="2" t="s">
        <v>569</v>
      </c>
      <c r="D1105" s="2" t="str">
        <f t="shared" si="16"/>
        <v>Error?</v>
      </c>
    </row>
    <row r="1106" spans="1:4" x14ac:dyDescent="0.2">
      <c r="A1106" s="5">
        <v>1045</v>
      </c>
      <c r="B1106" s="1832">
        <f>'Expenditures 15-22'!K14</f>
        <v>493296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7483851</v>
      </c>
      <c r="C1108" s="2" t="s">
        <v>569</v>
      </c>
      <c r="D1108" s="2" t="str">
        <f t="shared" si="16"/>
        <v>Error?</v>
      </c>
    </row>
    <row r="1109" spans="1:4" x14ac:dyDescent="0.2">
      <c r="A1109" s="5">
        <v>1048</v>
      </c>
      <c r="B1109" s="1832">
        <f>'Expenditures 15-22'!K36</f>
        <v>402987</v>
      </c>
      <c r="C1109" s="2" t="s">
        <v>569</v>
      </c>
      <c r="D1109" s="2" t="str">
        <f t="shared" si="16"/>
        <v>Error?</v>
      </c>
    </row>
    <row r="1110" spans="1:4" x14ac:dyDescent="0.2">
      <c r="A1110" s="5">
        <v>1049</v>
      </c>
      <c r="B1110" s="1832">
        <f>'Expenditures 15-22'!K37</f>
        <v>365085</v>
      </c>
      <c r="C1110" s="2" t="s">
        <v>569</v>
      </c>
      <c r="D1110" s="2" t="str">
        <f t="shared" si="16"/>
        <v>Error?</v>
      </c>
    </row>
    <row r="1111" spans="1:4" x14ac:dyDescent="0.2">
      <c r="A1111" s="5">
        <v>1050</v>
      </c>
      <c r="B1111" s="1832">
        <f>'Expenditures 15-22'!K38</f>
        <v>128272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9678</v>
      </c>
      <c r="C1113" s="2" t="s">
        <v>569</v>
      </c>
      <c r="D1113" s="2" t="str">
        <f t="shared" si="16"/>
        <v>Error?</v>
      </c>
    </row>
    <row r="1114" spans="1:4" x14ac:dyDescent="0.2">
      <c r="A1114" s="5">
        <v>1053</v>
      </c>
      <c r="B1114" s="1832">
        <f>'Expenditures 15-22'!K41</f>
        <v>44866</v>
      </c>
      <c r="C1114" s="2" t="s">
        <v>569</v>
      </c>
      <c r="D1114" s="2" t="str">
        <f t="shared" si="16"/>
        <v>Error?</v>
      </c>
    </row>
    <row r="1115" spans="1:4" x14ac:dyDescent="0.2">
      <c r="A1115" s="5">
        <v>1054</v>
      </c>
      <c r="B1115" s="1832">
        <f>'Expenditures 15-22'!K42</f>
        <v>950888</v>
      </c>
      <c r="C1115" s="2" t="s">
        <v>569</v>
      </c>
      <c r="D1115" s="2" t="str">
        <f t="shared" si="16"/>
        <v>Error?</v>
      </c>
    </row>
    <row r="1116" spans="1:4" x14ac:dyDescent="0.2">
      <c r="A1116" s="5">
        <v>1055</v>
      </c>
      <c r="B1116" s="1832">
        <f>'Expenditures 15-22'!K44</f>
        <v>111455</v>
      </c>
      <c r="C1116" s="2" t="s">
        <v>569</v>
      </c>
      <c r="D1116" s="2" t="str">
        <f t="shared" si="16"/>
        <v>Error?</v>
      </c>
    </row>
    <row r="1117" spans="1:4" x14ac:dyDescent="0.2">
      <c r="A1117" s="5">
        <v>1056</v>
      </c>
      <c r="B1117" s="1832">
        <f>'Expenditures 15-22'!K45</f>
        <v>128709</v>
      </c>
      <c r="C1117" s="2" t="s">
        <v>569</v>
      </c>
      <c r="D1117" s="2" t="str">
        <f t="shared" si="16"/>
        <v>Error?</v>
      </c>
    </row>
    <row r="1118" spans="1:4" x14ac:dyDescent="0.2">
      <c r="A1118" s="5">
        <v>1057</v>
      </c>
      <c r="B1118" s="1832">
        <f>'Expenditures 15-22'!K46</f>
        <v>15896</v>
      </c>
      <c r="C1118" s="2" t="s">
        <v>569</v>
      </c>
      <c r="D1118" s="2" t="str">
        <f t="shared" si="16"/>
        <v>Error?</v>
      </c>
    </row>
    <row r="1119" spans="1:4" x14ac:dyDescent="0.2">
      <c r="A1119" s="5">
        <v>1058</v>
      </c>
      <c r="B1119" s="1832">
        <f>'Expenditures 15-22'!K47</f>
        <v>256060</v>
      </c>
      <c r="C1119" s="2" t="s">
        <v>569</v>
      </c>
      <c r="D1119" s="2" t="str">
        <f t="shared" si="16"/>
        <v>Error?</v>
      </c>
    </row>
    <row r="1120" spans="1:4" x14ac:dyDescent="0.2">
      <c r="A1120" s="5">
        <v>1059</v>
      </c>
      <c r="B1120" s="1832">
        <f>'Expenditures 15-22'!K49</f>
        <v>94275</v>
      </c>
      <c r="C1120" s="2" t="s">
        <v>569</v>
      </c>
      <c r="D1120" s="2" t="str">
        <f t="shared" si="16"/>
        <v>Error?</v>
      </c>
    </row>
    <row r="1121" spans="1:4" x14ac:dyDescent="0.2">
      <c r="A1121" s="5">
        <v>1060</v>
      </c>
      <c r="B1121" s="1832">
        <f>'Expenditures 15-22'!K50</f>
        <v>267826</v>
      </c>
      <c r="C1121" s="2" t="s">
        <v>569</v>
      </c>
      <c r="D1121" s="2" t="str">
        <f t="shared" si="16"/>
        <v>Error?</v>
      </c>
    </row>
    <row r="1122" spans="1:4" x14ac:dyDescent="0.2">
      <c r="A1122" s="5">
        <v>1061</v>
      </c>
      <c r="B1122" s="1832">
        <f>'Expenditures 15-22'!K53</f>
        <v>363519</v>
      </c>
      <c r="C1122" s="2" t="s">
        <v>569</v>
      </c>
      <c r="D1122" s="2" t="str">
        <f t="shared" si="16"/>
        <v>Error?</v>
      </c>
    </row>
    <row r="1123" spans="1:4" x14ac:dyDescent="0.2">
      <c r="A1123" s="5">
        <v>1062</v>
      </c>
      <c r="B1123" s="1832">
        <f>'Expenditures 15-22'!K55</f>
        <v>686329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686329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166116</v>
      </c>
      <c r="C1127" s="2" t="s">
        <v>569</v>
      </c>
      <c r="D1127" s="2" t="str">
        <f t="shared" si="16"/>
        <v>Error?</v>
      </c>
    </row>
    <row r="1128" spans="1:4" x14ac:dyDescent="0.2">
      <c r="A1128" s="5">
        <v>1067</v>
      </c>
      <c r="B1128" s="1832">
        <f>'Expenditures 15-22'!K61</f>
        <v>871457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745962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1783535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561937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561937</v>
      </c>
      <c r="C1141" s="2" t="s">
        <v>569</v>
      </c>
      <c r="D1141" s="2" t="str">
        <f t="shared" si="16"/>
        <v>Error?</v>
      </c>
    </row>
    <row r="1142" spans="1:4" x14ac:dyDescent="0.2">
      <c r="A1142" s="5">
        <v>1081</v>
      </c>
      <c r="B1142" s="1832">
        <f>'Expenditures 15-22'!K73</f>
        <v>626</v>
      </c>
      <c r="C1142" s="2" t="s">
        <v>569</v>
      </c>
      <c r="D1142" s="2" t="str">
        <f t="shared" si="16"/>
        <v>Error?</v>
      </c>
    </row>
    <row r="1143" spans="1:4" x14ac:dyDescent="0.2">
      <c r="A1143" s="5">
        <v>1082</v>
      </c>
      <c r="B1143" s="1832">
        <f>'Expenditures 15-22'!K74</f>
        <v>4602894</v>
      </c>
      <c r="C1143" s="2" t="s">
        <v>569</v>
      </c>
      <c r="D1143" s="2" t="str">
        <f t="shared" si="16"/>
        <v>Error?</v>
      </c>
    </row>
    <row r="1144" spans="1:4" x14ac:dyDescent="0.2">
      <c r="A1144" s="5">
        <v>1083</v>
      </c>
      <c r="B1144" s="1832">
        <f>'Expenditures 15-22'!K75</f>
        <v>57290</v>
      </c>
      <c r="C1144" s="2" t="s">
        <v>569</v>
      </c>
      <c r="D1144" s="2" t="str">
        <f t="shared" si="16"/>
        <v>Error?</v>
      </c>
    </row>
    <row r="1145" spans="1:4" x14ac:dyDescent="0.2">
      <c r="A1145" s="5">
        <v>1084</v>
      </c>
      <c r="B1145" s="1832">
        <f>'Expenditures 15-22'!K102</f>
        <v>480893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12624928</v>
      </c>
      <c r="C1152" s="2" t="s">
        <v>569</v>
      </c>
      <c r="D1152" s="2" t="str">
        <f t="shared" si="17"/>
        <v>Error?</v>
      </c>
    </row>
    <row r="1153" spans="1:4" x14ac:dyDescent="0.2">
      <c r="A1153" s="5">
        <v>1092</v>
      </c>
      <c r="B1153" s="1832">
        <f>'Expenditures 15-22'!K115</f>
        <v>481564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273157</v>
      </c>
      <c r="D1221" s="2" t="str">
        <f t="shared" si="18"/>
        <v>Error?</v>
      </c>
    </row>
    <row r="1222" spans="1:4" x14ac:dyDescent="0.2">
      <c r="A1222" s="10">
        <v>1161</v>
      </c>
      <c r="B1222" s="1832"/>
      <c r="D1222" s="2" t="str">
        <f t="shared" si="18"/>
        <v>OK</v>
      </c>
    </row>
    <row r="1223" spans="1:4" x14ac:dyDescent="0.2">
      <c r="A1223" s="5">
        <v>1162</v>
      </c>
      <c r="B1223" s="1832">
        <f>'Expenditures 15-22'!C127</f>
        <v>273157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273157</v>
      </c>
      <c r="C1225" s="2" t="s">
        <v>569</v>
      </c>
      <c r="D1225" s="2" t="str">
        <f t="shared" si="18"/>
        <v>Error?</v>
      </c>
    </row>
    <row r="1226" spans="1:4" x14ac:dyDescent="0.2">
      <c r="A1226" s="5">
        <v>1165</v>
      </c>
      <c r="B1226" s="1832">
        <f>'Expenditures 15-22'!C151</f>
        <v>273157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51365</v>
      </c>
      <c r="D1229" s="2" t="str">
        <f t="shared" si="18"/>
        <v>Error?</v>
      </c>
    </row>
    <row r="1230" spans="1:4" x14ac:dyDescent="0.2">
      <c r="A1230" s="10">
        <v>1169</v>
      </c>
      <c r="B1230" s="1832"/>
      <c r="D1230" s="2" t="str">
        <f t="shared" si="18"/>
        <v>OK</v>
      </c>
    </row>
    <row r="1231" spans="1:4" x14ac:dyDescent="0.2">
      <c r="A1231" s="5">
        <v>1170</v>
      </c>
      <c r="B1231" s="1832">
        <f>'Expenditures 15-22'!D127</f>
        <v>51365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51365</v>
      </c>
      <c r="C1233" s="2" t="s">
        <v>569</v>
      </c>
      <c r="D1233" s="2" t="str">
        <f t="shared" si="18"/>
        <v>Error?</v>
      </c>
    </row>
    <row r="1234" spans="1:4" x14ac:dyDescent="0.2">
      <c r="A1234" s="5">
        <v>1173</v>
      </c>
      <c r="B1234" s="1832">
        <f>'Expenditures 15-22'!D151</f>
        <v>51365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225100</v>
      </c>
      <c r="D1237" s="2" t="str">
        <f t="shared" si="18"/>
        <v>Error?</v>
      </c>
    </row>
    <row r="1238" spans="1:4" x14ac:dyDescent="0.2">
      <c r="A1238" s="10">
        <v>1177</v>
      </c>
      <c r="B1238" s="1832"/>
      <c r="D1238" s="2" t="str">
        <f t="shared" si="18"/>
        <v>OK</v>
      </c>
    </row>
    <row r="1239" spans="1:4" x14ac:dyDescent="0.2">
      <c r="A1239" s="5">
        <v>1178</v>
      </c>
      <c r="B1239" s="1832">
        <f>'Expenditures 15-22'!E127</f>
        <v>225100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225100</v>
      </c>
      <c r="C1241" s="2" t="s">
        <v>569</v>
      </c>
      <c r="D1241" s="2" t="str">
        <f t="shared" si="18"/>
        <v>Error?</v>
      </c>
    </row>
    <row r="1242" spans="1:4" x14ac:dyDescent="0.2">
      <c r="A1242" s="5">
        <v>1181</v>
      </c>
      <c r="B1242" s="1832">
        <f>'Expenditures 15-22'!E151</f>
        <v>225100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546010</v>
      </c>
      <c r="D1245" s="2" t="str">
        <f t="shared" si="18"/>
        <v>Error?</v>
      </c>
    </row>
    <row r="1246" spans="1:4" x14ac:dyDescent="0.2">
      <c r="A1246" s="10">
        <v>1185</v>
      </c>
      <c r="B1246" s="1832"/>
      <c r="D1246" s="2" t="str">
        <f t="shared" si="18"/>
        <v>OK</v>
      </c>
    </row>
    <row r="1247" spans="1:4" x14ac:dyDescent="0.2">
      <c r="A1247" s="5">
        <v>1186</v>
      </c>
      <c r="B1247" s="1832">
        <f>'Expenditures 15-22'!F127</f>
        <v>546010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546010</v>
      </c>
      <c r="C1249" s="2" t="s">
        <v>569</v>
      </c>
      <c r="D1249" s="2" t="str">
        <f t="shared" si="18"/>
        <v>Error?</v>
      </c>
    </row>
    <row r="1250" spans="1:4" x14ac:dyDescent="0.2">
      <c r="A1250" s="5">
        <v>1189</v>
      </c>
      <c r="B1250" s="1832">
        <f>'Expenditures 15-22'!F151</f>
        <v>546010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337493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337493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337493</v>
      </c>
      <c r="C1258" s="2" t="s">
        <v>569</v>
      </c>
      <c r="D1258" s="2" t="str">
        <f t="shared" si="18"/>
        <v>Error?</v>
      </c>
    </row>
    <row r="1259" spans="1:4" x14ac:dyDescent="0.2">
      <c r="A1259" s="5">
        <v>1198</v>
      </c>
      <c r="B1259" s="1832">
        <f>'Expenditures 15-22'!G151</f>
        <v>337493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1433125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1433125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1433125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1433125</v>
      </c>
      <c r="C1288" s="2" t="s">
        <v>569</v>
      </c>
      <c r="D1288" s="2" t="str">
        <f t="shared" si="19"/>
        <v>Error?</v>
      </c>
    </row>
    <row r="1289" spans="1:4" x14ac:dyDescent="0.2">
      <c r="A1289" s="5">
        <v>1228</v>
      </c>
      <c r="B1289" s="1832">
        <f>'Expenditures 15-22'!K152</f>
        <v>551170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1063894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1683078</v>
      </c>
      <c r="D1315" s="2" t="str">
        <f t="shared" si="19"/>
        <v>Error?</v>
      </c>
    </row>
    <row r="1316" spans="1:4" x14ac:dyDescent="0.2">
      <c r="A1316" s="5">
        <v>1255</v>
      </c>
      <c r="B1316" s="1832">
        <f>'Expenditures 15-22'!H171</f>
        <v>3184</v>
      </c>
      <c r="D1316" s="2" t="str">
        <f t="shared" si="19"/>
        <v>Error?</v>
      </c>
    </row>
    <row r="1317" spans="1:4" x14ac:dyDescent="0.2">
      <c r="A1317" s="5">
        <v>1256</v>
      </c>
      <c r="B1317" s="1832">
        <f>'Expenditures 15-22'!H172</f>
        <v>2750156</v>
      </c>
      <c r="C1317" s="2" t="s">
        <v>569</v>
      </c>
      <c r="D1317" s="2" t="str">
        <f t="shared" si="19"/>
        <v>Error?</v>
      </c>
    </row>
    <row r="1318" spans="1:4" x14ac:dyDescent="0.2">
      <c r="A1318" s="5">
        <v>1257</v>
      </c>
      <c r="B1318" s="1832">
        <f>'Expenditures 15-22'!H174</f>
        <v>2750156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1063894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1683078</v>
      </c>
      <c r="C1329" s="2" t="s">
        <v>569</v>
      </c>
      <c r="D1329" s="2" t="str">
        <f t="shared" si="19"/>
        <v>Error?</v>
      </c>
    </row>
    <row r="1330" spans="1:4" x14ac:dyDescent="0.2">
      <c r="A1330" s="5">
        <v>1269</v>
      </c>
      <c r="B1330" s="1832">
        <f>'Expenditures 15-22'!K171</f>
        <v>3184</v>
      </c>
      <c r="C1330" s="2" t="s">
        <v>569</v>
      </c>
      <c r="D1330" s="2" t="str">
        <f t="shared" si="19"/>
        <v>Error?</v>
      </c>
    </row>
    <row r="1331" spans="1:4" x14ac:dyDescent="0.2">
      <c r="A1331" s="5">
        <v>1270</v>
      </c>
      <c r="B1331" s="1832">
        <f>'Expenditures 15-22'!K172</f>
        <v>2750156</v>
      </c>
      <c r="C1331" s="2" t="s">
        <v>569</v>
      </c>
      <c r="D1331" s="2" t="str">
        <f t="shared" si="19"/>
        <v>Error?</v>
      </c>
    </row>
    <row r="1332" spans="1:4" x14ac:dyDescent="0.2">
      <c r="A1332" s="5">
        <v>1271</v>
      </c>
      <c r="B1332" s="1832">
        <f>'Expenditures 15-22'!K174</f>
        <v>2750156</v>
      </c>
      <c r="C1332" s="2" t="s">
        <v>569</v>
      </c>
      <c r="D1332" s="2" t="str">
        <f t="shared" si="19"/>
        <v>Error?</v>
      </c>
    </row>
    <row r="1333" spans="1:4" x14ac:dyDescent="0.2">
      <c r="A1333" s="5">
        <v>1272</v>
      </c>
      <c r="B1333" s="1832">
        <f>'Expenditures 15-22'!K175</f>
        <v>-821899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15027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15027</v>
      </c>
      <c r="C1339" s="2" t="s">
        <v>569</v>
      </c>
      <c r="D1339" s="2" t="str">
        <f t="shared" si="19"/>
        <v>Error?</v>
      </c>
    </row>
    <row r="1340" spans="1:4" x14ac:dyDescent="0.2">
      <c r="A1340" s="5">
        <v>1279</v>
      </c>
      <c r="B1340" s="1832">
        <f>'Expenditures 15-22'!C210</f>
        <v>15027</v>
      </c>
      <c r="C1340" s="2" t="s">
        <v>569</v>
      </c>
      <c r="D1340" s="2" t="str">
        <f t="shared" si="19"/>
        <v>Error?</v>
      </c>
    </row>
    <row r="1341" spans="1:4" x14ac:dyDescent="0.2">
      <c r="A1341" s="5">
        <v>1280</v>
      </c>
      <c r="B1341" s="1832">
        <f>'Expenditures 15-22'!D182</f>
        <v>1404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1404</v>
      </c>
      <c r="C1345" s="2" t="s">
        <v>569</v>
      </c>
      <c r="D1345" s="2" t="str">
        <f t="shared" si="20"/>
        <v>Error?</v>
      </c>
    </row>
    <row r="1346" spans="1:4" x14ac:dyDescent="0.2">
      <c r="A1346" s="5">
        <v>1285</v>
      </c>
      <c r="B1346" s="1832">
        <f>'Expenditures 15-22'!D210</f>
        <v>1404</v>
      </c>
      <c r="C1346" s="2" t="s">
        <v>569</v>
      </c>
      <c r="D1346" s="2" t="str">
        <f t="shared" si="20"/>
        <v>Error?</v>
      </c>
    </row>
    <row r="1347" spans="1:4" x14ac:dyDescent="0.2">
      <c r="A1347" s="5">
        <v>1286</v>
      </c>
      <c r="B1347" s="1832">
        <f>'Expenditures 15-22'!E182</f>
        <v>787146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787146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787146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803577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803577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803577</v>
      </c>
      <c r="C1388" s="2" t="s">
        <v>569</v>
      </c>
      <c r="D1388" s="2" t="str">
        <f t="shared" si="20"/>
        <v>Error?</v>
      </c>
    </row>
    <row r="1389" spans="1:4" x14ac:dyDescent="0.2">
      <c r="A1389" s="5">
        <v>1328</v>
      </c>
      <c r="B1389" s="1832">
        <f>'Expenditures 15-22'!K211</f>
        <v>387455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16471</v>
      </c>
      <c r="D1407" s="2" t="str">
        <f t="shared" ref="D1407:D1470" si="21">IF(ISBLANK(B1407),"OK",IF(A1407-B1407=0,"OK","Error?"))</f>
        <v>Error?</v>
      </c>
    </row>
    <row r="1408" spans="1:4" x14ac:dyDescent="0.2">
      <c r="A1408" s="5">
        <v>1347</v>
      </c>
      <c r="B1408" s="1832">
        <f>'Expenditures 15-22'!D223</f>
        <v>15875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184803</v>
      </c>
      <c r="C1410" s="2" t="s">
        <v>569</v>
      </c>
      <c r="D1410" s="2" t="str">
        <f t="shared" si="21"/>
        <v>Error?</v>
      </c>
    </row>
    <row r="1411" spans="1:4" x14ac:dyDescent="0.2">
      <c r="A1411" s="5">
        <v>1350</v>
      </c>
      <c r="B1411" s="1832">
        <f>'Expenditures 15-22'!D232</f>
        <v>20196</v>
      </c>
      <c r="D1411" s="2" t="str">
        <f t="shared" si="21"/>
        <v>Error?</v>
      </c>
    </row>
    <row r="1412" spans="1:4" x14ac:dyDescent="0.2">
      <c r="A1412" s="5">
        <v>1351</v>
      </c>
      <c r="B1412" s="1832">
        <f>'Expenditures 15-22'!D233</f>
        <v>9394</v>
      </c>
      <c r="D1412" s="2" t="str">
        <f t="shared" si="21"/>
        <v>Error?</v>
      </c>
    </row>
    <row r="1413" spans="1:4" x14ac:dyDescent="0.2">
      <c r="A1413" s="5">
        <v>1352</v>
      </c>
      <c r="B1413" s="1832">
        <f>'Expenditures 15-22'!D234</f>
        <v>17253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5364</v>
      </c>
      <c r="D1416" s="2" t="str">
        <f t="shared" si="21"/>
        <v>Error?</v>
      </c>
    </row>
    <row r="1417" spans="1:4" x14ac:dyDescent="0.2">
      <c r="A1417" s="5">
        <v>1356</v>
      </c>
      <c r="B1417" s="1832">
        <f>'Expenditures 15-22'!D238</f>
        <v>52207</v>
      </c>
      <c r="C1417" s="2" t="s">
        <v>569</v>
      </c>
      <c r="D1417" s="2" t="str">
        <f t="shared" si="21"/>
        <v>Error?</v>
      </c>
    </row>
    <row r="1418" spans="1:4" x14ac:dyDescent="0.2">
      <c r="A1418" s="5">
        <v>1357</v>
      </c>
      <c r="B1418" s="1832">
        <f>'Expenditures 15-22'!D240</f>
        <v>925</v>
      </c>
      <c r="D1418" s="2" t="str">
        <f t="shared" si="21"/>
        <v>Error?</v>
      </c>
    </row>
    <row r="1419" spans="1:4" x14ac:dyDescent="0.2">
      <c r="A1419" s="5">
        <v>1358</v>
      </c>
      <c r="B1419" s="1832">
        <f>'Expenditures 15-22'!D241</f>
        <v>8509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9434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14922</v>
      </c>
      <c r="D1423" s="2" t="str">
        <f t="shared" si="21"/>
        <v>Error?</v>
      </c>
    </row>
    <row r="1424" spans="1:4" x14ac:dyDescent="0.2">
      <c r="A1424" s="5">
        <v>1363</v>
      </c>
      <c r="B1424" s="1832">
        <f>'Expenditures 15-22'!D257</f>
        <v>14937</v>
      </c>
      <c r="C1424" s="2" t="s">
        <v>569</v>
      </c>
      <c r="D1424" s="2" t="str">
        <f t="shared" si="21"/>
        <v>Error?</v>
      </c>
    </row>
    <row r="1425" spans="1:4" x14ac:dyDescent="0.2">
      <c r="A1425" s="5">
        <v>1364</v>
      </c>
      <c r="B1425" s="1832">
        <f>'Expenditures 15-22'!D259</f>
        <v>18287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18287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22428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174968</v>
      </c>
      <c r="D1431" s="2" t="str">
        <f t="shared" si="21"/>
        <v>Error?</v>
      </c>
    </row>
    <row r="1432" spans="1:4" x14ac:dyDescent="0.2">
      <c r="A1432" s="5">
        <v>1371</v>
      </c>
      <c r="B1432" s="1832">
        <f>'Expenditures 15-22'!D267</f>
        <v>214</v>
      </c>
      <c r="D1432" s="2" t="str">
        <f t="shared" si="21"/>
        <v>Error?</v>
      </c>
    </row>
    <row r="1433" spans="1:4" x14ac:dyDescent="0.2">
      <c r="A1433" s="5">
        <v>1372</v>
      </c>
      <c r="B1433" s="1832">
        <f>'Expenditures 15-22'!D268</f>
        <v>43251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240861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20595</v>
      </c>
      <c r="D1442" s="2" t="str">
        <f t="shared" si="21"/>
        <v>Error?</v>
      </c>
    </row>
    <row r="1443" spans="1:4" x14ac:dyDescent="0.2">
      <c r="A1443" s="10">
        <v>1382</v>
      </c>
      <c r="B1443" s="1832"/>
      <c r="D1443" s="2" t="str">
        <f t="shared" si="21"/>
        <v>OK</v>
      </c>
    </row>
    <row r="1444" spans="1:4" x14ac:dyDescent="0.2">
      <c r="A1444" s="5">
        <v>1383</v>
      </c>
      <c r="B1444" s="1832">
        <f>'Expenditures 15-22'!D277</f>
        <v>20595</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356321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541124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16471</v>
      </c>
      <c r="C1471" s="2" t="s">
        <v>569</v>
      </c>
      <c r="D1471" s="2" t="str">
        <f t="shared" ref="D1471:D1534" si="22">IF(ISBLANK(B1471),"OK",IF(A1471-B1471=0,"OK","Error?"))</f>
        <v>Error?</v>
      </c>
    </row>
    <row r="1472" spans="1:4" x14ac:dyDescent="0.2">
      <c r="A1472" s="5">
        <v>1411</v>
      </c>
      <c r="B1472" s="1832">
        <f>'Expenditures 15-22'!K223</f>
        <v>15875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184803</v>
      </c>
      <c r="C1474" s="2" t="s">
        <v>569</v>
      </c>
      <c r="D1474" s="2" t="str">
        <f t="shared" si="22"/>
        <v>Error?</v>
      </c>
    </row>
    <row r="1475" spans="1:4" x14ac:dyDescent="0.2">
      <c r="A1475" s="5">
        <v>1414</v>
      </c>
      <c r="B1475" s="1832">
        <f>'Expenditures 15-22'!K232</f>
        <v>20196</v>
      </c>
      <c r="C1475" s="2" t="s">
        <v>569</v>
      </c>
      <c r="D1475" s="2" t="str">
        <f t="shared" si="22"/>
        <v>Error?</v>
      </c>
    </row>
    <row r="1476" spans="1:4" x14ac:dyDescent="0.2">
      <c r="A1476" s="5">
        <v>1415</v>
      </c>
      <c r="B1476" s="1832">
        <f>'Expenditures 15-22'!K233</f>
        <v>9394</v>
      </c>
      <c r="C1476" s="2" t="s">
        <v>569</v>
      </c>
      <c r="D1476" s="2" t="str">
        <f t="shared" si="22"/>
        <v>Error?</v>
      </c>
    </row>
    <row r="1477" spans="1:4" x14ac:dyDescent="0.2">
      <c r="A1477" s="5">
        <v>1416</v>
      </c>
      <c r="B1477" s="1832">
        <f>'Expenditures 15-22'!K234</f>
        <v>17253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5364</v>
      </c>
      <c r="C1480" s="2" t="s">
        <v>569</v>
      </c>
      <c r="D1480" s="2" t="str">
        <f t="shared" si="22"/>
        <v>Error?</v>
      </c>
    </row>
    <row r="1481" spans="1:4" x14ac:dyDescent="0.2">
      <c r="A1481" s="5">
        <v>1420</v>
      </c>
      <c r="B1481" s="1832">
        <f>'Expenditures 15-22'!K238</f>
        <v>52207</v>
      </c>
      <c r="C1481" s="2" t="s">
        <v>569</v>
      </c>
      <c r="D1481" s="2" t="str">
        <f t="shared" si="22"/>
        <v>Error?</v>
      </c>
    </row>
    <row r="1482" spans="1:4" x14ac:dyDescent="0.2">
      <c r="A1482" s="5">
        <v>1421</v>
      </c>
      <c r="B1482" s="1832">
        <f>'Expenditures 15-22'!K240</f>
        <v>925</v>
      </c>
      <c r="C1482" s="2" t="s">
        <v>569</v>
      </c>
      <c r="D1482" s="2" t="str">
        <f t="shared" si="22"/>
        <v>Error?</v>
      </c>
    </row>
    <row r="1483" spans="1:4" x14ac:dyDescent="0.2">
      <c r="A1483" s="5">
        <v>1422</v>
      </c>
      <c r="B1483" s="1832">
        <f>'Expenditures 15-22'!K241</f>
        <v>8509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9434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14922</v>
      </c>
      <c r="C1487" s="2" t="s">
        <v>569</v>
      </c>
      <c r="D1487" s="2" t="str">
        <f t="shared" si="22"/>
        <v>Error?</v>
      </c>
    </row>
    <row r="1488" spans="1:4" x14ac:dyDescent="0.2">
      <c r="A1488" s="5">
        <v>1427</v>
      </c>
      <c r="B1488" s="1832">
        <f>'Expenditures 15-22'!K257</f>
        <v>14937</v>
      </c>
      <c r="C1488" s="2" t="s">
        <v>569</v>
      </c>
      <c r="D1488" s="2" t="str">
        <f t="shared" si="22"/>
        <v>Error?</v>
      </c>
    </row>
    <row r="1489" spans="1:4" x14ac:dyDescent="0.2">
      <c r="A1489" s="5">
        <v>1428</v>
      </c>
      <c r="B1489" s="1832">
        <f>'Expenditures 15-22'!K259</f>
        <v>18287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18287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22428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174968</v>
      </c>
      <c r="C1495" s="2" t="s">
        <v>569</v>
      </c>
      <c r="D1495" s="2" t="str">
        <f t="shared" si="22"/>
        <v>Error?</v>
      </c>
    </row>
    <row r="1496" spans="1:4" x14ac:dyDescent="0.2">
      <c r="A1496" s="5">
        <v>1435</v>
      </c>
      <c r="B1496" s="1832">
        <f>'Expenditures 15-22'!K267</f>
        <v>214</v>
      </c>
      <c r="C1496" s="2" t="s">
        <v>569</v>
      </c>
      <c r="D1496" s="2" t="str">
        <f t="shared" si="22"/>
        <v>Error?</v>
      </c>
    </row>
    <row r="1497" spans="1:4" x14ac:dyDescent="0.2">
      <c r="A1497" s="5">
        <v>1436</v>
      </c>
      <c r="B1497" s="1832">
        <f>'Expenditures 15-22'!K268</f>
        <v>43251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240861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20595</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20595</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356321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541124</v>
      </c>
      <c r="C1517" s="2" t="s">
        <v>569</v>
      </c>
      <c r="D1517" s="2" t="str">
        <f t="shared" si="22"/>
        <v>Error?</v>
      </c>
    </row>
    <row r="1518" spans="1:4" x14ac:dyDescent="0.2">
      <c r="A1518" s="5">
        <v>1457</v>
      </c>
      <c r="B1518" s="1832">
        <f>'Expenditures 15-22'!K296</f>
        <v>-15232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788054</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788054</v>
      </c>
      <c r="C1553" s="2" t="s">
        <v>569</v>
      </c>
      <c r="D1553" s="2" t="str">
        <f t="shared" si="23"/>
        <v>Error?</v>
      </c>
    </row>
    <row r="1554" spans="1:4" x14ac:dyDescent="0.2">
      <c r="A1554" s="5">
        <v>1493</v>
      </c>
      <c r="B1554" s="1832">
        <f>'Expenditures 15-22'!H312</f>
        <v>788054</v>
      </c>
      <c r="C1554" s="2" t="s">
        <v>569</v>
      </c>
      <c r="D1554" s="2" t="str">
        <f t="shared" si="23"/>
        <v>Error?</v>
      </c>
    </row>
    <row r="1555" spans="1:4" x14ac:dyDescent="0.2">
      <c r="A1555" s="5">
        <v>1494</v>
      </c>
      <c r="B1555" s="1832">
        <f>'Expenditures 15-22'!K301</f>
        <v>788054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788054</v>
      </c>
      <c r="C1559" s="2" t="s">
        <v>569</v>
      </c>
      <c r="D1559" s="2" t="str">
        <f t="shared" si="23"/>
        <v>Error?</v>
      </c>
    </row>
    <row r="1560" spans="1:4" x14ac:dyDescent="0.2">
      <c r="A1560" s="5">
        <v>1499</v>
      </c>
      <c r="B1560" s="1832">
        <f>'Expenditures 15-22'!K312</f>
        <v>788054</v>
      </c>
      <c r="C1560" s="2" t="s">
        <v>569</v>
      </c>
      <c r="D1560" s="2" t="str">
        <f t="shared" si="23"/>
        <v>Error?</v>
      </c>
    </row>
    <row r="1561" spans="1:4" x14ac:dyDescent="0.2">
      <c r="A1561" s="5">
        <v>1500</v>
      </c>
      <c r="B1561" s="1832">
        <f>'Expenditures 15-22'!K313</f>
        <v>-274816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5318041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5799605</v>
      </c>
      <c r="C1630" s="2" t="s">
        <v>569</v>
      </c>
      <c r="D1630" s="2" t="str">
        <f t="shared" si="24"/>
        <v>Error?</v>
      </c>
    </row>
    <row r="1631" spans="1:4" x14ac:dyDescent="0.2">
      <c r="A1631" s="5">
        <v>1570</v>
      </c>
      <c r="B1631" s="1832">
        <f>'Acct Summary 7-8'!D79</f>
        <v>1531263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1682433</v>
      </c>
      <c r="C1644" s="2" t="s">
        <v>569</v>
      </c>
      <c r="D1644" s="2" t="str">
        <f t="shared" si="24"/>
        <v>Error?</v>
      </c>
    </row>
    <row r="1645" spans="1:4" x14ac:dyDescent="0.2">
      <c r="A1645" s="5">
        <v>1584</v>
      </c>
      <c r="B1645" s="1832">
        <f>'Acct Summary 7-8'!E79</f>
        <v>27029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36402</v>
      </c>
      <c r="C1658" s="2" t="s">
        <v>569</v>
      </c>
      <c r="D1658" s="2" t="str">
        <f t="shared" si="24"/>
        <v>Error?</v>
      </c>
    </row>
    <row r="1659" spans="1:4" x14ac:dyDescent="0.2">
      <c r="A1659" s="5">
        <v>1598</v>
      </c>
      <c r="B1659" s="1832">
        <f>'Acct Summary 7-8'!F79</f>
        <v>1034268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1421723</v>
      </c>
      <c r="C1672" s="2" t="s">
        <v>569</v>
      </c>
      <c r="D1672" s="2" t="str">
        <f t="shared" si="25"/>
        <v>Error?</v>
      </c>
    </row>
    <row r="1673" spans="1:4" x14ac:dyDescent="0.2">
      <c r="A1673" s="5">
        <v>1612</v>
      </c>
      <c r="B1673" s="1832">
        <f>'Acct Summary 7-8'!G79</f>
        <v>259509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244277</v>
      </c>
      <c r="C1686" s="2" t="s">
        <v>569</v>
      </c>
      <c r="D1686" s="2" t="str">
        <f t="shared" si="25"/>
        <v>Error?</v>
      </c>
    </row>
    <row r="1687" spans="1:4" x14ac:dyDescent="0.2">
      <c r="A1687" s="5">
        <v>1626</v>
      </c>
      <c r="B1687" s="1832">
        <f>'Acct Summary 7-8'!H79</f>
        <v>701093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395005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4871729</v>
      </c>
      <c r="C1744" s="2" t="s">
        <v>569</v>
      </c>
      <c r="D1744" s="2" t="str">
        <f t="shared" si="26"/>
        <v>Error?</v>
      </c>
    </row>
    <row r="1745" spans="1:5" x14ac:dyDescent="0.2">
      <c r="A1745" s="5">
        <v>1684</v>
      </c>
      <c r="B1745" s="1832">
        <f>'Tax Sched 23'!B5</f>
        <v>1208199</v>
      </c>
      <c r="C1745" s="2" t="s">
        <v>569</v>
      </c>
      <c r="D1745" s="2" t="str">
        <f t="shared" si="26"/>
        <v>Error?</v>
      </c>
    </row>
    <row r="1746" spans="1:5" x14ac:dyDescent="0.2">
      <c r="A1746" s="5">
        <v>1685</v>
      </c>
      <c r="B1746" s="1832">
        <f>'Tax Sched 23'!B6</f>
        <v>1925090</v>
      </c>
      <c r="C1746" s="2" t="s">
        <v>569</v>
      </c>
      <c r="D1746" s="2" t="str">
        <f t="shared" si="26"/>
        <v>Error?</v>
      </c>
    </row>
    <row r="1747" spans="1:5" x14ac:dyDescent="0.2">
      <c r="A1747" s="5">
        <v>1686</v>
      </c>
      <c r="B1747" s="1832">
        <f>'Tax Sched 23'!B7</f>
        <v>779511</v>
      </c>
      <c r="C1747" s="2" t="s">
        <v>569</v>
      </c>
      <c r="D1747" s="2" t="str">
        <f t="shared" si="26"/>
        <v>Error?</v>
      </c>
    </row>
    <row r="1748" spans="1:5" x14ac:dyDescent="0.2">
      <c r="A1748" s="5">
        <v>1687</v>
      </c>
      <c r="B1748" s="1832">
        <f>'Tax Sched 23'!B8</f>
        <v>194936</v>
      </c>
      <c r="C1748" s="2" t="s">
        <v>569</v>
      </c>
      <c r="D1748" s="2" t="str">
        <f t="shared" si="26"/>
        <v>Error?</v>
      </c>
    </row>
    <row r="1749" spans="1:5" x14ac:dyDescent="0.2">
      <c r="A1749" s="5">
        <v>1688</v>
      </c>
      <c r="B1749" s="1832">
        <f>'Tax Sched 23'!B10</f>
        <v>188604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292346</v>
      </c>
      <c r="C1752" s="2" t="s">
        <v>569</v>
      </c>
      <c r="D1752" s="2" t="str">
        <f t="shared" si="26"/>
        <v>Error?</v>
      </c>
    </row>
    <row r="1753" spans="1:5" x14ac:dyDescent="0.2">
      <c r="A1753" s="5">
        <v>1692</v>
      </c>
      <c r="B1753" s="1832">
        <f>'Tax Sched 23'!B12</f>
        <v>39011</v>
      </c>
      <c r="C1753" s="2" t="s">
        <v>569</v>
      </c>
      <c r="D1753" s="2" t="str">
        <f t="shared" si="26"/>
        <v>Error?</v>
      </c>
    </row>
    <row r="1754" spans="1:5" x14ac:dyDescent="0.2">
      <c r="A1754" s="5">
        <v>1693</v>
      </c>
      <c r="B1754" s="1832">
        <f>'Tax Sched 23'!B14</f>
        <v>194936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10162217</v>
      </c>
      <c r="C1759" s="2" t="s">
        <v>569</v>
      </c>
      <c r="D1759" s="2" t="str">
        <f t="shared" si="26"/>
        <v>Error?</v>
      </c>
    </row>
    <row r="1760" spans="1:5" x14ac:dyDescent="0.2">
      <c r="A1760" s="5">
        <v>1699</v>
      </c>
      <c r="B1760" s="1832">
        <f>'Tax Sched 23'!D4</f>
        <v>4871729</v>
      </c>
      <c r="C1760" s="2" t="s">
        <v>569</v>
      </c>
      <c r="D1760" s="2" t="str">
        <f t="shared" si="26"/>
        <v>Error?</v>
      </c>
    </row>
    <row r="1761" spans="1:7" x14ac:dyDescent="0.2">
      <c r="A1761" s="5">
        <v>1700</v>
      </c>
      <c r="B1761" s="1832">
        <f>'Tax Sched 23'!D5</f>
        <v>1208199</v>
      </c>
      <c r="C1761" s="2" t="s">
        <v>569</v>
      </c>
      <c r="D1761" s="2" t="str">
        <f t="shared" si="26"/>
        <v>Error?</v>
      </c>
    </row>
    <row r="1762" spans="1:7" s="8" customFormat="1" x14ac:dyDescent="0.2">
      <c r="A1762" s="5">
        <v>1701</v>
      </c>
      <c r="B1762" s="1832">
        <f>'Tax Sched 23'!D6</f>
        <v>1925090</v>
      </c>
      <c r="C1762" s="2" t="s">
        <v>569</v>
      </c>
      <c r="D1762" s="2" t="str">
        <f t="shared" si="26"/>
        <v>Error?</v>
      </c>
      <c r="E1762" s="9"/>
      <c r="G1762"/>
    </row>
    <row r="1763" spans="1:7" x14ac:dyDescent="0.2">
      <c r="A1763" s="5">
        <v>1702</v>
      </c>
      <c r="B1763" s="1832">
        <f>'Tax Sched 23'!D7</f>
        <v>779511</v>
      </c>
      <c r="C1763" s="2" t="s">
        <v>569</v>
      </c>
      <c r="D1763" s="2" t="str">
        <f t="shared" si="26"/>
        <v>Error?</v>
      </c>
    </row>
    <row r="1764" spans="1:7" x14ac:dyDescent="0.2">
      <c r="A1764" s="5">
        <v>1703</v>
      </c>
      <c r="B1764" s="1832">
        <f>'Tax Sched 23'!D8</f>
        <v>194936</v>
      </c>
      <c r="C1764" s="2" t="s">
        <v>569</v>
      </c>
      <c r="D1764" s="2" t="str">
        <f t="shared" si="26"/>
        <v>Error?</v>
      </c>
    </row>
    <row r="1765" spans="1:7" x14ac:dyDescent="0.2">
      <c r="A1765" s="5">
        <v>1704</v>
      </c>
      <c r="B1765" s="1832">
        <f>'Tax Sched 23'!D10</f>
        <v>188604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292346</v>
      </c>
      <c r="C1768" s="2" t="s">
        <v>569</v>
      </c>
      <c r="D1768" s="2" t="str">
        <f t="shared" si="26"/>
        <v>Error?</v>
      </c>
    </row>
    <row r="1769" spans="1:7" x14ac:dyDescent="0.2">
      <c r="A1769" s="5">
        <v>1708</v>
      </c>
      <c r="B1769" s="1832">
        <f>'Tax Sched 23'!D12</f>
        <v>39011</v>
      </c>
      <c r="C1769" s="2" t="s">
        <v>569</v>
      </c>
      <c r="D1769" s="2" t="str">
        <f t="shared" si="26"/>
        <v>Error?</v>
      </c>
    </row>
    <row r="1770" spans="1:7" x14ac:dyDescent="0.2">
      <c r="A1770" s="5">
        <v>1709</v>
      </c>
      <c r="B1770" s="1832">
        <f>'Tax Sched 23'!D14</f>
        <v>194936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10162217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5058180</v>
      </c>
      <c r="C1792" s="2" t="s">
        <v>569</v>
      </c>
      <c r="D1792" s="2" t="str">
        <f t="shared" si="27"/>
        <v>Error?</v>
      </c>
    </row>
    <row r="1793" spans="1:4" x14ac:dyDescent="0.2">
      <c r="A1793" s="5">
        <v>1732</v>
      </c>
      <c r="B1793" s="1832">
        <f>'Tax Sched 23'!F5</f>
        <v>1254439</v>
      </c>
      <c r="C1793" s="2" t="s">
        <v>569</v>
      </c>
      <c r="D1793" s="2" t="str">
        <f t="shared" si="27"/>
        <v>Error?</v>
      </c>
    </row>
    <row r="1794" spans="1:4" x14ac:dyDescent="0.2">
      <c r="A1794" s="5">
        <v>1733</v>
      </c>
      <c r="B1794" s="1832">
        <f>'Tax Sched 23'!F6</f>
        <v>1930804</v>
      </c>
      <c r="C1794" s="2" t="s">
        <v>569</v>
      </c>
      <c r="D1794" s="2" t="str">
        <f t="shared" si="27"/>
        <v>Error?</v>
      </c>
    </row>
    <row r="1795" spans="1:4" x14ac:dyDescent="0.2">
      <c r="A1795" s="5">
        <v>1734</v>
      </c>
      <c r="B1795" s="1832">
        <f>'Tax Sched 23'!F7</f>
        <v>809345</v>
      </c>
      <c r="C1795" s="2" t="s">
        <v>569</v>
      </c>
      <c r="D1795" s="2" t="str">
        <f t="shared" si="27"/>
        <v>Error?</v>
      </c>
    </row>
    <row r="1796" spans="1:4" x14ac:dyDescent="0.2">
      <c r="A1796" s="5">
        <v>1735</v>
      </c>
      <c r="B1796" s="1832">
        <f>'Tax Sched 23'!F8</f>
        <v>202397</v>
      </c>
      <c r="C1796" s="2" t="s">
        <v>569</v>
      </c>
      <c r="D1796" s="2" t="str">
        <f t="shared" si="27"/>
        <v>Error?</v>
      </c>
    </row>
    <row r="1797" spans="1:4" x14ac:dyDescent="0.2">
      <c r="A1797" s="5">
        <v>1736</v>
      </c>
      <c r="B1797" s="1832">
        <f>'Tax Sched 23'!F10</f>
        <v>195822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330853</v>
      </c>
      <c r="C1800" s="2" t="s">
        <v>569</v>
      </c>
      <c r="D1800" s="2" t="str">
        <f t="shared" si="27"/>
        <v>Error?</v>
      </c>
    </row>
    <row r="1801" spans="1:4" x14ac:dyDescent="0.2">
      <c r="A1801" s="5">
        <v>1740</v>
      </c>
      <c r="B1801" s="1832">
        <f>'Tax Sched 23'!F12</f>
        <v>40504</v>
      </c>
      <c r="C1801" s="2" t="s">
        <v>569</v>
      </c>
      <c r="D1801" s="2" t="str">
        <f t="shared" si="27"/>
        <v>Error?</v>
      </c>
    </row>
    <row r="1802" spans="1:4" x14ac:dyDescent="0.2">
      <c r="A1802" s="5">
        <v>1741</v>
      </c>
      <c r="B1802" s="1832">
        <f>'Tax Sched 23'!F14</f>
        <v>202397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10510502</v>
      </c>
      <c r="C1807" s="2" t="s">
        <v>569</v>
      </c>
      <c r="D1807" s="2" t="str">
        <f t="shared" si="27"/>
        <v>Error?</v>
      </c>
    </row>
    <row r="1808" spans="1:4" x14ac:dyDescent="0.2">
      <c r="A1808" s="5">
        <v>1747</v>
      </c>
      <c r="B1808" s="1832">
        <f>'Tax Sched 23'!E4</f>
        <v>5058180</v>
      </c>
      <c r="D1808" s="2" t="str">
        <f t="shared" si="27"/>
        <v>Error?</v>
      </c>
    </row>
    <row r="1809" spans="1:4" x14ac:dyDescent="0.2">
      <c r="A1809" s="5">
        <v>1748</v>
      </c>
      <c r="B1809" s="1832">
        <f>'Tax Sched 23'!E5</f>
        <v>1254439</v>
      </c>
      <c r="D1809" s="2" t="str">
        <f t="shared" si="27"/>
        <v>Error?</v>
      </c>
    </row>
    <row r="1810" spans="1:4" x14ac:dyDescent="0.2">
      <c r="A1810" s="5">
        <v>1749</v>
      </c>
      <c r="B1810" s="1832">
        <f>'Tax Sched 23'!E6</f>
        <v>1930804</v>
      </c>
      <c r="D1810" s="2" t="str">
        <f t="shared" si="27"/>
        <v>Error?</v>
      </c>
    </row>
    <row r="1811" spans="1:4" x14ac:dyDescent="0.2">
      <c r="A1811" s="5">
        <v>1750</v>
      </c>
      <c r="B1811" s="1832">
        <f>'Tax Sched 23'!E7</f>
        <v>809345</v>
      </c>
      <c r="D1811" s="2" t="str">
        <f t="shared" si="27"/>
        <v>Error?</v>
      </c>
    </row>
    <row r="1812" spans="1:4" x14ac:dyDescent="0.2">
      <c r="A1812" s="5">
        <v>1751</v>
      </c>
      <c r="B1812" s="1832">
        <f>'Tax Sched 23'!E8</f>
        <v>202397</v>
      </c>
      <c r="D1812" s="2" t="str">
        <f t="shared" si="27"/>
        <v>Error?</v>
      </c>
    </row>
    <row r="1813" spans="1:4" x14ac:dyDescent="0.2">
      <c r="A1813" s="5">
        <v>1752</v>
      </c>
      <c r="B1813" s="1832">
        <f>'Tax Sched 23'!E10</f>
        <v>195822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330853</v>
      </c>
      <c r="D1816" s="2" t="str">
        <f t="shared" si="27"/>
        <v>Error?</v>
      </c>
    </row>
    <row r="1817" spans="1:4" x14ac:dyDescent="0.2">
      <c r="A1817" s="5">
        <v>1756</v>
      </c>
      <c r="B1817" s="1832">
        <f>'Tax Sched 23'!E12</f>
        <v>40504</v>
      </c>
      <c r="D1817" s="2" t="str">
        <f t="shared" si="27"/>
        <v>Error?</v>
      </c>
    </row>
    <row r="1818" spans="1:4" x14ac:dyDescent="0.2">
      <c r="A1818" s="5">
        <v>1757</v>
      </c>
      <c r="B1818" s="1832">
        <f>'Tax Sched 23'!E14</f>
        <v>202397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10510502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18976912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194936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194936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194936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1859441</v>
      </c>
      <c r="D2008" s="2" t="str">
        <f t="shared" si="30"/>
        <v>Error?</v>
      </c>
    </row>
    <row r="2009" spans="1:4" x14ac:dyDescent="0.2">
      <c r="A2009" s="5">
        <v>1948</v>
      </c>
      <c r="B2009" s="1832">
        <f>'Cap Outlay Deprec 26'!C8</f>
        <v>86212958</v>
      </c>
      <c r="D2009" s="2" t="str">
        <f t="shared" si="30"/>
        <v>Error?</v>
      </c>
    </row>
    <row r="2010" spans="1:4" x14ac:dyDescent="0.2">
      <c r="A2010" s="5">
        <v>1949</v>
      </c>
      <c r="B2010" s="1832">
        <f>'Cap Outlay Deprec 26'!C10</f>
        <v>384388</v>
      </c>
      <c r="D2010" s="2" t="str">
        <f t="shared" si="30"/>
        <v>Error?</v>
      </c>
    </row>
    <row r="2011" spans="1:4" x14ac:dyDescent="0.2">
      <c r="A2011" s="5">
        <v>1950</v>
      </c>
      <c r="B2011" s="1832">
        <f>'Cap Outlay Deprec 26'!C12</f>
        <v>804053</v>
      </c>
      <c r="D2011" s="2" t="str">
        <f t="shared" si="30"/>
        <v>Error?</v>
      </c>
    </row>
    <row r="2012" spans="1:4" x14ac:dyDescent="0.2">
      <c r="A2012" s="5">
        <v>1951</v>
      </c>
      <c r="B2012" s="1832">
        <f>'Cap Outlay Deprec 26'!C13</f>
        <v>148839</v>
      </c>
      <c r="D2012" s="2" t="str">
        <f t="shared" si="30"/>
        <v>Error?</v>
      </c>
    </row>
    <row r="2013" spans="1:4" x14ac:dyDescent="0.2">
      <c r="A2013" s="5">
        <v>1952</v>
      </c>
      <c r="B2013" s="1832">
        <f>'Cap Outlay Deprec 26'!C16</f>
        <v>93370965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3961286</v>
      </c>
      <c r="D2015" s="2" t="str">
        <f t="shared" si="30"/>
        <v>Error?</v>
      </c>
    </row>
    <row r="2016" spans="1:4" x14ac:dyDescent="0.2">
      <c r="A2016" s="5">
        <v>1955</v>
      </c>
      <c r="B2016" s="1832">
        <f>'Cap Outlay Deprec 26'!D10</f>
        <v>790569</v>
      </c>
      <c r="D2016" s="2" t="str">
        <f t="shared" si="30"/>
        <v>Error?</v>
      </c>
    </row>
    <row r="2017" spans="1:4" x14ac:dyDescent="0.2">
      <c r="A2017" s="5">
        <v>1956</v>
      </c>
      <c r="B2017" s="1832">
        <f>'Cap Outlay Deprec 26'!D12</f>
        <v>431838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5183693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12882879</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16844165</v>
      </c>
      <c r="C2025" s="2" t="s">
        <v>569</v>
      </c>
      <c r="D2025" s="2" t="str">
        <f t="shared" si="30"/>
        <v>Error?</v>
      </c>
    </row>
    <row r="2026" spans="1:4" x14ac:dyDescent="0.2">
      <c r="A2026" s="5">
        <v>1965</v>
      </c>
      <c r="B2026" s="1832">
        <f>'Cap Outlay Deprec 26'!F5</f>
        <v>1859441</v>
      </c>
      <c r="C2026" s="2" t="s">
        <v>569</v>
      </c>
      <c r="D2026" s="2" t="str">
        <f t="shared" si="30"/>
        <v>Error?</v>
      </c>
    </row>
    <row r="2027" spans="1:4" x14ac:dyDescent="0.2">
      <c r="A2027" s="5">
        <v>1966</v>
      </c>
      <c r="B2027" s="1832">
        <f>'Cap Outlay Deprec 26'!F8</f>
        <v>77291365</v>
      </c>
      <c r="C2027" s="2" t="s">
        <v>569</v>
      </c>
      <c r="D2027" s="2" t="str">
        <f t="shared" si="30"/>
        <v>Error?</v>
      </c>
    </row>
    <row r="2028" spans="1:4" x14ac:dyDescent="0.2">
      <c r="A2028" s="5">
        <v>1967</v>
      </c>
      <c r="B2028" s="1832">
        <f>'Cap Outlay Deprec 26'!F10</f>
        <v>1174957</v>
      </c>
      <c r="C2028" s="2" t="s">
        <v>569</v>
      </c>
      <c r="D2028" s="2" t="str">
        <f t="shared" si="30"/>
        <v>Error?</v>
      </c>
    </row>
    <row r="2029" spans="1:4" x14ac:dyDescent="0.2">
      <c r="A2029" s="5">
        <v>1968</v>
      </c>
      <c r="B2029" s="1832">
        <f>'Cap Outlay Deprec 26'!F12</f>
        <v>1235891</v>
      </c>
      <c r="C2029" s="2" t="s">
        <v>569</v>
      </c>
      <c r="D2029" s="2" t="str">
        <f t="shared" si="30"/>
        <v>Error?</v>
      </c>
    </row>
    <row r="2030" spans="1:4" x14ac:dyDescent="0.2">
      <c r="A2030" s="5">
        <v>1969</v>
      </c>
      <c r="B2030" s="1832">
        <f>'Cap Outlay Deprec 26'!F13</f>
        <v>148839</v>
      </c>
      <c r="C2030" s="2" t="s">
        <v>569</v>
      </c>
      <c r="D2030" s="2" t="str">
        <f t="shared" si="30"/>
        <v>Error?</v>
      </c>
    </row>
    <row r="2031" spans="1:4" x14ac:dyDescent="0.2">
      <c r="A2031" s="5">
        <v>1970</v>
      </c>
      <c r="B2031" s="1832">
        <f>'Cap Outlay Deprec 26'!F16</f>
        <v>81710493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13920737</v>
      </c>
      <c r="D2033" s="2" t="str">
        <f t="shared" si="30"/>
        <v>Error?</v>
      </c>
    </row>
    <row r="2034" spans="1:4" x14ac:dyDescent="0.2">
      <c r="A2034" s="5">
        <v>1973</v>
      </c>
      <c r="B2034" s="1832">
        <f>'Cap Outlay Deprec 26'!H10</f>
        <v>212867</v>
      </c>
      <c r="D2034" s="2" t="str">
        <f t="shared" si="30"/>
        <v>Error?</v>
      </c>
    </row>
    <row r="2035" spans="1:4" x14ac:dyDescent="0.2">
      <c r="A2035" s="5">
        <v>1974</v>
      </c>
      <c r="B2035" s="1832">
        <f>'Cap Outlay Deprec 26'!H12</f>
        <v>235865</v>
      </c>
      <c r="D2035" s="2" t="str">
        <f t="shared" si="30"/>
        <v>Error?</v>
      </c>
    </row>
    <row r="2036" spans="1:4" x14ac:dyDescent="0.2">
      <c r="A2036" s="5">
        <v>1975</v>
      </c>
      <c r="B2036" s="1832">
        <f>'Cap Outlay Deprec 26'!H13</f>
        <v>144594</v>
      </c>
      <c r="D2036" s="2" t="str">
        <f t="shared" si="30"/>
        <v>Error?</v>
      </c>
    </row>
    <row r="2037" spans="1:4" x14ac:dyDescent="0.2">
      <c r="A2037" s="5">
        <v>1976</v>
      </c>
      <c r="B2037" s="1832">
        <f>'Cap Outlay Deprec 26'!H16</f>
        <v>14514063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1611633</v>
      </c>
      <c r="D2039" s="2" t="str">
        <f t="shared" si="30"/>
        <v>Error?</v>
      </c>
    </row>
    <row r="2040" spans="1:4" x14ac:dyDescent="0.2">
      <c r="A2040" s="5">
        <v>1979</v>
      </c>
      <c r="B2040" s="1832">
        <f>'Cap Outlay Deprec 26'!I10</f>
        <v>34417</v>
      </c>
      <c r="D2040" s="2" t="str">
        <f t="shared" si="30"/>
        <v>Error?</v>
      </c>
    </row>
    <row r="2041" spans="1:4" x14ac:dyDescent="0.2">
      <c r="A2041" s="5">
        <v>1980</v>
      </c>
      <c r="B2041" s="1832">
        <f>'Cap Outlay Deprec 26'!I12</f>
        <v>99868</v>
      </c>
      <c r="D2041" s="2" t="str">
        <f t="shared" si="30"/>
        <v>Error?</v>
      </c>
    </row>
    <row r="2042" spans="1:4" x14ac:dyDescent="0.2">
      <c r="A2042" s="5">
        <v>1981</v>
      </c>
      <c r="B2042" s="1832">
        <f>'Cap Outlay Deprec 26'!I13</f>
        <v>4245</v>
      </c>
      <c r="D2042" s="2" t="str">
        <f t="shared" si="30"/>
        <v>Error?</v>
      </c>
    </row>
    <row r="2043" spans="1:4" x14ac:dyDescent="0.2">
      <c r="A2043" s="5">
        <v>1982</v>
      </c>
      <c r="B2043" s="1832">
        <f>'Cap Outlay Deprec 26'!I16</f>
        <v>1750163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9546942</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9546942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5985428</v>
      </c>
      <c r="C2051" s="2" t="s">
        <v>569</v>
      </c>
      <c r="D2051" s="2" t="str">
        <f t="shared" si="31"/>
        <v>Error?</v>
      </c>
    </row>
    <row r="2052" spans="1:4" x14ac:dyDescent="0.2">
      <c r="A2052" s="5">
        <v>1991</v>
      </c>
      <c r="B2052" s="1832">
        <f>'Cap Outlay Deprec 26'!K10</f>
        <v>247284</v>
      </c>
      <c r="C2052" s="2" t="s">
        <v>569</v>
      </c>
      <c r="D2052" s="2" t="str">
        <f t="shared" si="31"/>
        <v>Error?</v>
      </c>
    </row>
    <row r="2053" spans="1:4" x14ac:dyDescent="0.2">
      <c r="A2053" s="5">
        <v>1992</v>
      </c>
      <c r="B2053" s="1832">
        <f>'Cap Outlay Deprec 26'!K12</f>
        <v>335733</v>
      </c>
      <c r="C2053" s="2" t="s">
        <v>569</v>
      </c>
      <c r="D2053" s="2" t="str">
        <f t="shared" si="31"/>
        <v>Error?</v>
      </c>
    </row>
    <row r="2054" spans="1:4" x14ac:dyDescent="0.2">
      <c r="A2054" s="5">
        <v>1993</v>
      </c>
      <c r="B2054" s="1832">
        <f>'Cap Outlay Deprec 26'!K13</f>
        <v>148839</v>
      </c>
      <c r="C2054" s="2" t="s">
        <v>569</v>
      </c>
      <c r="D2054" s="2" t="str">
        <f t="shared" si="31"/>
        <v>Error?</v>
      </c>
    </row>
    <row r="2055" spans="1:4" x14ac:dyDescent="0.2">
      <c r="A2055" s="5">
        <v>1994</v>
      </c>
      <c r="B2055" s="1832">
        <f>'Cap Outlay Deprec 26'!K16</f>
        <v>6717284</v>
      </c>
      <c r="C2055" s="2" t="s">
        <v>569</v>
      </c>
      <c r="D2055" s="2" t="str">
        <f t="shared" si="31"/>
        <v>Error?</v>
      </c>
    </row>
    <row r="2056" spans="1:4" x14ac:dyDescent="0.2">
      <c r="A2056" s="5">
        <v>1995</v>
      </c>
      <c r="B2056" s="1832">
        <f>'Cap Outlay Deprec 26'!L5</f>
        <v>1859441</v>
      </c>
      <c r="C2056" s="2" t="s">
        <v>569</v>
      </c>
      <c r="D2056" s="2" t="str">
        <f t="shared" si="31"/>
        <v>Error?</v>
      </c>
    </row>
    <row r="2057" spans="1:4" x14ac:dyDescent="0.2">
      <c r="A2057" s="5">
        <v>1996</v>
      </c>
      <c r="B2057" s="1832">
        <f>'Cap Outlay Deprec 26'!L8</f>
        <v>71305937</v>
      </c>
      <c r="C2057" s="2" t="s">
        <v>569</v>
      </c>
      <c r="D2057" s="2" t="str">
        <f t="shared" si="31"/>
        <v>Error?</v>
      </c>
    </row>
    <row r="2058" spans="1:4" x14ac:dyDescent="0.2">
      <c r="A2058" s="5">
        <v>1997</v>
      </c>
      <c r="B2058" s="1832">
        <f>'Cap Outlay Deprec 26'!L10</f>
        <v>927673</v>
      </c>
      <c r="C2058" s="2" t="s">
        <v>569</v>
      </c>
      <c r="D2058" s="2" t="str">
        <f t="shared" si="31"/>
        <v>Error?</v>
      </c>
    </row>
    <row r="2059" spans="1:4" x14ac:dyDescent="0.2">
      <c r="A2059" s="5">
        <v>1998</v>
      </c>
      <c r="B2059" s="1832">
        <f>'Cap Outlay Deprec 26'!L12</f>
        <v>900158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74993209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200146</v>
      </c>
      <c r="C2088" s="2" t="s">
        <v>569</v>
      </c>
      <c r="D2088" s="2" t="str">
        <f t="shared" si="31"/>
        <v>Error?</v>
      </c>
    </row>
    <row r="2089" spans="1:4" x14ac:dyDescent="0.2">
      <c r="A2089" s="5">
        <v>2028</v>
      </c>
      <c r="B2089" s="1832">
        <f>'Expenditures 15-22'!K92</f>
        <v>280747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6357235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5319748</v>
      </c>
      <c r="C2553" s="2" t="s">
        <v>569</v>
      </c>
      <c r="D2553" s="2" t="str">
        <f t="shared" si="38"/>
        <v>Error?</v>
      </c>
    </row>
    <row r="2554" spans="1:4" x14ac:dyDescent="0.2">
      <c r="A2554" s="5">
        <v>2493</v>
      </c>
      <c r="B2554" s="1832">
        <f>'Acct Summary 7-8'!C7</f>
        <v>1429509</v>
      </c>
      <c r="C2554" s="2" t="s">
        <v>569</v>
      </c>
      <c r="D2554" s="2" t="str">
        <f t="shared" si="38"/>
        <v>Error?</v>
      </c>
    </row>
    <row r="2555" spans="1:4" x14ac:dyDescent="0.2">
      <c r="A2555" s="5">
        <v>2494</v>
      </c>
      <c r="B2555" s="1832">
        <f>'Acct Summary 7-8'!C8</f>
        <v>13106492</v>
      </c>
      <c r="C2555" s="2" t="s">
        <v>569</v>
      </c>
      <c r="D2555" s="2" t="str">
        <f t="shared" si="38"/>
        <v>Error?</v>
      </c>
    </row>
    <row r="2556" spans="1:4" x14ac:dyDescent="0.2">
      <c r="A2556" s="5">
        <v>2495</v>
      </c>
      <c r="B2556" s="1832">
        <f>'Acct Summary 7-8'!C12</f>
        <v>7483851</v>
      </c>
      <c r="C2556" s="2" t="s">
        <v>569</v>
      </c>
      <c r="D2556" s="2" t="str">
        <f t="shared" si="38"/>
        <v>Error?</v>
      </c>
    </row>
    <row r="2557" spans="1:4" x14ac:dyDescent="0.2">
      <c r="A2557" s="5">
        <v>2496</v>
      </c>
      <c r="B2557" s="1832">
        <f>'Acct Summary 7-8'!C13</f>
        <v>4602894</v>
      </c>
      <c r="C2557" s="2" t="s">
        <v>569</v>
      </c>
      <c r="D2557" s="2" t="str">
        <f t="shared" si="38"/>
        <v>Error?</v>
      </c>
    </row>
    <row r="2558" spans="1:4" x14ac:dyDescent="0.2">
      <c r="A2558" s="5">
        <v>2497</v>
      </c>
      <c r="B2558" s="1832">
        <f>'Acct Summary 7-8'!C14</f>
        <v>57290</v>
      </c>
      <c r="C2558" s="2" t="s">
        <v>569</v>
      </c>
      <c r="D2558" s="2" t="str">
        <f t="shared" si="38"/>
        <v>Error?</v>
      </c>
    </row>
    <row r="2559" spans="1:4" x14ac:dyDescent="0.2">
      <c r="A2559" s="5">
        <v>2498</v>
      </c>
      <c r="B2559" s="1832">
        <f>'Acct Summary 7-8'!C15</f>
        <v>480893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12624928</v>
      </c>
      <c r="C2561" s="2" t="s">
        <v>569</v>
      </c>
      <c r="D2561" s="2" t="str">
        <f t="shared" si="39"/>
        <v>Error?</v>
      </c>
    </row>
    <row r="2562" spans="1:4" x14ac:dyDescent="0.2">
      <c r="A2562" s="5">
        <v>2501</v>
      </c>
      <c r="B2562" s="1832">
        <f>'Acct Summary 7-8'!C20</f>
        <v>481564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1729210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255085</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1984295</v>
      </c>
      <c r="C2568" s="2" t="s">
        <v>569</v>
      </c>
      <c r="D2568" s="2" t="str">
        <f t="shared" si="39"/>
        <v>Error?</v>
      </c>
    </row>
    <row r="2569" spans="1:4" x14ac:dyDescent="0.2">
      <c r="A2569" s="5">
        <v>2508</v>
      </c>
      <c r="B2569" s="1832">
        <f>'Acct Summary 7-8'!D13</f>
        <v>1433125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1433125</v>
      </c>
      <c r="C2573" s="2" t="s">
        <v>569</v>
      </c>
      <c r="D2573" s="2" t="str">
        <f t="shared" si="39"/>
        <v>Error?</v>
      </c>
    </row>
    <row r="2574" spans="1:4" x14ac:dyDescent="0.2">
      <c r="A2574" s="5">
        <v>2513</v>
      </c>
      <c r="B2574" s="1832">
        <f>'Acct Summary 7-8'!D20</f>
        <v>551170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820613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370419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1191032</v>
      </c>
      <c r="C2595" s="2" t="s">
        <v>569</v>
      </c>
      <c r="D2595" s="2" t="str">
        <f t="shared" si="39"/>
        <v>Error?</v>
      </c>
    </row>
    <row r="2596" spans="1:4" x14ac:dyDescent="0.2">
      <c r="A2596" s="5">
        <v>2535</v>
      </c>
      <c r="B2596" s="1832">
        <f>'Acct Summary 7-8'!F13</f>
        <v>803577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803577</v>
      </c>
      <c r="C2600" s="2" t="s">
        <v>569</v>
      </c>
      <c r="D2600" s="2" t="str">
        <f t="shared" si="39"/>
        <v>Error?</v>
      </c>
    </row>
    <row r="2601" spans="1:4" x14ac:dyDescent="0.2">
      <c r="A2601" s="5">
        <v>2540</v>
      </c>
      <c r="B2601" s="1832">
        <f>'Acct Summary 7-8'!F20</f>
        <v>387455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525892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525892</v>
      </c>
      <c r="C2606" s="2" t="s">
        <v>569</v>
      </c>
      <c r="D2606" s="2" t="str">
        <f t="shared" si="39"/>
        <v>Error?</v>
      </c>
    </row>
    <row r="2607" spans="1:4" x14ac:dyDescent="0.2">
      <c r="A2607" s="5">
        <v>2546</v>
      </c>
      <c r="B2607" s="1832">
        <f>'Acct Summary 7-8'!G12</f>
        <v>184803</v>
      </c>
      <c r="C2607" s="2" t="s">
        <v>569</v>
      </c>
      <c r="D2607" s="2" t="str">
        <f t="shared" si="39"/>
        <v>Error?</v>
      </c>
    </row>
    <row r="2608" spans="1:4" x14ac:dyDescent="0.2">
      <c r="A2608" s="5">
        <v>2547</v>
      </c>
      <c r="B2608" s="1832">
        <f>'Acct Summary 7-8'!G13</f>
        <v>356321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541124</v>
      </c>
      <c r="C2612" s="2" t="s">
        <v>569</v>
      </c>
      <c r="D2612" s="2" t="str">
        <f t="shared" si="39"/>
        <v>Error?</v>
      </c>
    </row>
    <row r="2613" spans="1:4" x14ac:dyDescent="0.2">
      <c r="A2613" s="5">
        <v>2552</v>
      </c>
      <c r="B2613" s="1832">
        <f>'Acct Summary 7-8'!G20</f>
        <v>-15232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1928257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1928257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2750156</v>
      </c>
      <c r="C2634" s="2" t="s">
        <v>569</v>
      </c>
      <c r="D2634" s="2" t="str">
        <f t="shared" si="40"/>
        <v>Error?</v>
      </c>
    </row>
    <row r="2635" spans="1:4" x14ac:dyDescent="0.2">
      <c r="A2635" s="5">
        <v>2574</v>
      </c>
      <c r="B2635" s="1832">
        <f>'Acct Summary 7-8'!E17</f>
        <v>2750156</v>
      </c>
      <c r="C2635" s="2" t="s">
        <v>569</v>
      </c>
      <c r="D2635" s="2" t="str">
        <f t="shared" si="40"/>
        <v>Error?</v>
      </c>
    </row>
    <row r="2636" spans="1:4" x14ac:dyDescent="0.2">
      <c r="A2636" s="5">
        <v>2575</v>
      </c>
      <c r="B2636" s="1832">
        <f>'Acct Summary 7-8'!E20</f>
        <v>-821899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13238</v>
      </c>
      <c r="C2655" s="2" t="s">
        <v>569</v>
      </c>
      <c r="D2655" s="2" t="str">
        <f t="shared" si="40"/>
        <v>Error?</v>
      </c>
    </row>
    <row r="2656" spans="1:4" x14ac:dyDescent="0.2">
      <c r="A2656" s="5">
        <v>2595</v>
      </c>
      <c r="B2656" s="1832">
        <f>'Acct Summary 7-8'!H6</f>
        <v>500000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513238</v>
      </c>
      <c r="C2658" s="2" t="s">
        <v>569</v>
      </c>
      <c r="D2658" s="2" t="str">
        <f t="shared" si="40"/>
        <v>Error?</v>
      </c>
    </row>
    <row r="2659" spans="1:4" x14ac:dyDescent="0.2">
      <c r="A2659" s="5">
        <v>2598</v>
      </c>
      <c r="B2659" s="1832">
        <f>'Acct Summary 7-8'!H13</f>
        <v>788054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788054</v>
      </c>
      <c r="C2661" s="2" t="s">
        <v>569</v>
      </c>
      <c r="D2661" s="2" t="str">
        <f t="shared" si="40"/>
        <v>Error?</v>
      </c>
    </row>
    <row r="2662" spans="1:4" x14ac:dyDescent="0.2">
      <c r="A2662" s="5">
        <v>2601</v>
      </c>
      <c r="B2662" s="1832">
        <f>'Acct Summary 7-8'!H20</f>
        <v>-274816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1014</v>
      </c>
      <c r="D2718" s="2" t="str">
        <f t="shared" si="41"/>
        <v>Error?</v>
      </c>
    </row>
    <row r="2719" spans="1:4" x14ac:dyDescent="0.2">
      <c r="A2719" s="5">
        <v>2658</v>
      </c>
      <c r="B2719" s="1832">
        <f>'Expenditures 15-22'!D51</f>
        <v>156</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248</v>
      </c>
      <c r="D2723" s="2" t="str">
        <f t="shared" si="41"/>
        <v>Error?</v>
      </c>
    </row>
    <row r="2724" spans="1:4" x14ac:dyDescent="0.2">
      <c r="A2724" s="5">
        <v>2663</v>
      </c>
      <c r="B2724" s="1832">
        <f>'Expenditures 15-22'!K51</f>
        <v>1418</v>
      </c>
      <c r="C2724" s="2" t="s">
        <v>569</v>
      </c>
      <c r="D2724" s="2" t="str">
        <f t="shared" si="41"/>
        <v>Error?</v>
      </c>
    </row>
    <row r="2725" spans="1:4" x14ac:dyDescent="0.2">
      <c r="A2725" s="5">
        <v>2664</v>
      </c>
      <c r="B2725" s="1832">
        <f>'Expenditures 15-22'!D247</f>
        <v>15</v>
      </c>
      <c r="D2725" s="2" t="str">
        <f t="shared" si="41"/>
        <v>Error?</v>
      </c>
    </row>
    <row r="2726" spans="1:4" x14ac:dyDescent="0.2">
      <c r="A2726" s="5">
        <v>2665</v>
      </c>
      <c r="B2726" s="1832">
        <f>'Expenditures 15-22'!K247</f>
        <v>15</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1992</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200146</v>
      </c>
      <c r="C2789" s="2" t="s">
        <v>569</v>
      </c>
      <c r="D2789" s="2" t="str">
        <f t="shared" si="42"/>
        <v>Error?</v>
      </c>
    </row>
    <row r="2790" spans="1:4" x14ac:dyDescent="0.2">
      <c r="A2790" s="5">
        <v>2729</v>
      </c>
      <c r="B2790" s="1832">
        <f>'Expenditures 15-22'!E102</f>
        <v>200146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40002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1329747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324822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1329747</v>
      </c>
      <c r="D2912" s="2" t="str">
        <f t="shared" si="44"/>
        <v>Error?</v>
      </c>
    </row>
    <row r="2913" spans="1:4" x14ac:dyDescent="0.2">
      <c r="A2913" s="5">
        <v>2852</v>
      </c>
      <c r="B2913" s="1832">
        <f>'Assets-Liab 5-6'!I41</f>
        <v>1329747</v>
      </c>
      <c r="C2913" s="2" t="s">
        <v>569</v>
      </c>
      <c r="D2913" s="2" t="str">
        <f t="shared" si="44"/>
        <v>Error?</v>
      </c>
    </row>
    <row r="2914" spans="1:4" x14ac:dyDescent="0.2">
      <c r="A2914" s="5">
        <v>2853</v>
      </c>
      <c r="B2914" s="1832">
        <f>'Assets-Liab 5-6'!L33</f>
        <v>324822</v>
      </c>
      <c r="D2914" s="2" t="str">
        <f t="shared" si="44"/>
        <v>Error?</v>
      </c>
    </row>
    <row r="2915" spans="1:4" x14ac:dyDescent="0.2">
      <c r="A2915" s="10">
        <v>2854</v>
      </c>
      <c r="B2915" s="1832"/>
      <c r="D2915" s="2" t="str">
        <f t="shared" si="44"/>
        <v>OK</v>
      </c>
    </row>
    <row r="2916" spans="1:4" x14ac:dyDescent="0.2">
      <c r="A2916" s="5">
        <v>2855</v>
      </c>
      <c r="B2916" s="1832">
        <f>'Assets-Liab 5-6'!L34</f>
        <v>324822</v>
      </c>
      <c r="C2916" s="2" t="s">
        <v>569</v>
      </c>
      <c r="D2916" s="2" t="str">
        <f t="shared" si="44"/>
        <v>Error?</v>
      </c>
    </row>
    <row r="2917" spans="1:4" x14ac:dyDescent="0.2">
      <c r="A2917" s="5">
        <v>2856</v>
      </c>
      <c r="B2917" s="1832">
        <f>'Assets-Liab 5-6'!L41</f>
        <v>324822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57595</v>
      </c>
      <c r="D2949" s="2" t="str">
        <f t="shared" si="45"/>
        <v>Error?</v>
      </c>
    </row>
    <row r="2950" spans="1:4" x14ac:dyDescent="0.2">
      <c r="A2950" s="5">
        <v>2889</v>
      </c>
      <c r="B2950" s="1832">
        <f>'Expenditures 15-22'!E79</f>
        <v>142551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57595</v>
      </c>
      <c r="C2973" s="2" t="s">
        <v>569</v>
      </c>
      <c r="D2973" s="2" t="str">
        <f t="shared" si="45"/>
        <v>Error?</v>
      </c>
    </row>
    <row r="2974" spans="1:4" x14ac:dyDescent="0.2">
      <c r="A2974" s="5">
        <v>2913</v>
      </c>
      <c r="B2974" s="1832">
        <f>'Expenditures 15-22'!K79</f>
        <v>142551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1992</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34065</v>
      </c>
      <c r="D3055" s="2" t="str">
        <f t="shared" si="46"/>
        <v>Error?</v>
      </c>
    </row>
    <row r="3056" spans="1:4" x14ac:dyDescent="0.2">
      <c r="A3056" s="5">
        <v>2995</v>
      </c>
      <c r="B3056" s="1832">
        <f>'Expenditures 15-22'!D10</f>
        <v>18183</v>
      </c>
      <c r="D3056" s="2" t="str">
        <f t="shared" si="46"/>
        <v>Error?</v>
      </c>
    </row>
    <row r="3057" spans="1:4" x14ac:dyDescent="0.2">
      <c r="A3057" s="5">
        <v>2996</v>
      </c>
      <c r="B3057" s="1832">
        <f>'Expenditures 15-22'!E10</f>
        <v>70455</v>
      </c>
      <c r="D3057" s="2" t="str">
        <f t="shared" si="46"/>
        <v>Error?</v>
      </c>
    </row>
    <row r="3058" spans="1:4" x14ac:dyDescent="0.2">
      <c r="A3058" s="5">
        <v>2997</v>
      </c>
      <c r="B3058" s="1832">
        <f>'Expenditures 15-22'!F10</f>
        <v>109644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232347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5961</v>
      </c>
      <c r="D3064" s="2" t="str">
        <f t="shared" si="46"/>
        <v>Error?</v>
      </c>
    </row>
    <row r="3065" spans="1:4" x14ac:dyDescent="0.2">
      <c r="A3065" s="5">
        <v>3004</v>
      </c>
      <c r="B3065" s="1832">
        <f>'Expenditures 15-22'!K219</f>
        <v>5961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216763</v>
      </c>
      <c r="C3225" s="2" t="s">
        <v>569</v>
      </c>
      <c r="D3225" s="2" t="str">
        <f t="shared" si="49"/>
        <v>Error?</v>
      </c>
    </row>
    <row r="3226" spans="1:4" x14ac:dyDescent="0.2">
      <c r="A3226" s="5">
        <v>3165</v>
      </c>
      <c r="B3226" s="1832">
        <f>'Acct Summary 7-8'!I8</f>
        <v>216763</v>
      </c>
      <c r="C3226" s="2" t="s">
        <v>569</v>
      </c>
      <c r="D3226" s="2" t="str">
        <f t="shared" si="49"/>
        <v>Error?</v>
      </c>
    </row>
    <row r="3227" spans="1:4" x14ac:dyDescent="0.2">
      <c r="A3227" s="5">
        <v>3166</v>
      </c>
      <c r="B3227" s="1832">
        <f>'Acct Summary 7-8'!I20</f>
        <v>216763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481564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800000</v>
      </c>
      <c r="C3237" s="2" t="s">
        <v>569</v>
      </c>
      <c r="D3237" s="2" t="str">
        <f t="shared" si="49"/>
        <v>Error?</v>
      </c>
    </row>
    <row r="3238" spans="1:4" x14ac:dyDescent="0.2">
      <c r="A3238" s="5">
        <v>3177</v>
      </c>
      <c r="B3238" s="1832">
        <f>'Acct Summary 7-8'!D77</f>
        <v>-400000</v>
      </c>
      <c r="C3238" s="2" t="s">
        <v>569</v>
      </c>
      <c r="D3238" s="2" t="str">
        <f t="shared" si="49"/>
        <v>Error?</v>
      </c>
    </row>
    <row r="3239" spans="1:4" x14ac:dyDescent="0.2">
      <c r="A3239" s="5">
        <v>3178</v>
      </c>
      <c r="B3239" s="1832">
        <f>'Acct Summary 7-8'!D78</f>
        <v>151170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387455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-15232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831272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831272</v>
      </c>
      <c r="C3277" s="2" t="s">
        <v>569</v>
      </c>
      <c r="D3277" s="2" t="str">
        <f t="shared" si="50"/>
        <v>Error?</v>
      </c>
    </row>
    <row r="3278" spans="1:4" x14ac:dyDescent="0.2">
      <c r="A3278" s="5">
        <v>3217</v>
      </c>
      <c r="B3278" s="1832">
        <f>'Acct Summary 7-8'!E78</f>
        <v>9373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31272</v>
      </c>
      <c r="C3298" s="2" t="s">
        <v>569</v>
      </c>
      <c r="D3298" s="2" t="str">
        <f t="shared" si="50"/>
        <v>Error?</v>
      </c>
    </row>
    <row r="3299" spans="1:4" x14ac:dyDescent="0.2">
      <c r="A3299" s="5">
        <v>3238</v>
      </c>
      <c r="B3299" s="1832">
        <f>'Acct Summary 7-8'!H77</f>
        <v>-31272</v>
      </c>
      <c r="C3299" s="2" t="s">
        <v>569</v>
      </c>
      <c r="D3299" s="2" t="str">
        <f t="shared" si="50"/>
        <v>Error?</v>
      </c>
    </row>
    <row r="3300" spans="1:4" x14ac:dyDescent="0.2">
      <c r="A3300" s="5">
        <v>3239</v>
      </c>
      <c r="B3300" s="1832">
        <f>'Acct Summary 7-8'!H78</f>
        <v>-306088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400000</v>
      </c>
      <c r="C3318" s="2" t="s">
        <v>569</v>
      </c>
      <c r="D3318" s="2" t="str">
        <f t="shared" si="50"/>
        <v>Error?</v>
      </c>
    </row>
    <row r="3319" spans="1:4" x14ac:dyDescent="0.2">
      <c r="A3319" s="5">
        <v>3258</v>
      </c>
      <c r="B3319" s="1832">
        <f>'Acct Summary 7-8'!I77</f>
        <v>-400000</v>
      </c>
      <c r="C3319" s="2" t="s">
        <v>569</v>
      </c>
      <c r="D3319" s="2" t="str">
        <f t="shared" si="50"/>
        <v>Error?</v>
      </c>
    </row>
    <row r="3320" spans="1:4" x14ac:dyDescent="0.2">
      <c r="A3320" s="5">
        <v>3259</v>
      </c>
      <c r="B3320" s="1832">
        <f>'Acct Summary 7-8'!I78</f>
        <v>-183237</v>
      </c>
      <c r="C3320" s="2" t="s">
        <v>569</v>
      </c>
      <c r="D3320" s="2" t="str">
        <f t="shared" si="50"/>
        <v>Error?</v>
      </c>
    </row>
    <row r="3321" spans="1:4" x14ac:dyDescent="0.2">
      <c r="A3321" s="5">
        <v>3260</v>
      </c>
      <c r="B3321" s="1832">
        <f>'Acct Summary 7-8'!I79</f>
        <v>1512984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1329747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2107219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439749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11680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4743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2563391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38258</v>
      </c>
      <c r="D3387" s="2" t="str">
        <f t="shared" si="51"/>
        <v>Error?</v>
      </c>
    </row>
    <row r="3388" spans="1:4" x14ac:dyDescent="0.2">
      <c r="A3388" s="5">
        <v>3327</v>
      </c>
      <c r="B3388" s="1832">
        <f>'Expenditures 15-22'!D217</f>
        <v>104365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38258</v>
      </c>
      <c r="C3390" s="2" t="s">
        <v>569</v>
      </c>
      <c r="D3390" s="2" t="str">
        <f t="shared" si="51"/>
        <v>Error?</v>
      </c>
    </row>
    <row r="3391" spans="1:4" x14ac:dyDescent="0.2">
      <c r="A3391" s="5">
        <v>3330</v>
      </c>
      <c r="B3391" s="1832">
        <f>'Expenditures 15-22'!K217</f>
        <v>104365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5630798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1682382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36402</v>
      </c>
      <c r="D3417" s="2" t="str">
        <f t="shared" si="52"/>
        <v>Error?</v>
      </c>
    </row>
    <row r="3418" spans="1:4" x14ac:dyDescent="0.2">
      <c r="A3418" s="10">
        <v>3357</v>
      </c>
      <c r="B3418" s="1832"/>
      <c r="D3418" s="2" t="str">
        <f t="shared" si="52"/>
        <v>OK</v>
      </c>
    </row>
    <row r="3419" spans="1:4" x14ac:dyDescent="0.2">
      <c r="A3419" s="5">
        <v>3358</v>
      </c>
      <c r="B3419" s="1832">
        <f>'Assets-Liab 5-6'!F4</f>
        <v>1421687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244277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394985</v>
      </c>
      <c r="D3425" s="2" t="str">
        <f t="shared" si="52"/>
        <v>Error?</v>
      </c>
    </row>
    <row r="3426" spans="1:4" x14ac:dyDescent="0.2">
      <c r="A3426" s="10">
        <v>3365</v>
      </c>
      <c r="B3426" s="1832"/>
      <c r="D3426" s="2" t="str">
        <f t="shared" si="52"/>
        <v>OK</v>
      </c>
    </row>
    <row r="3427" spans="1:4" x14ac:dyDescent="0.2">
      <c r="A3427" s="5">
        <v>3366</v>
      </c>
      <c r="B3427" s="1832">
        <f>'Assets-Liab 5-6'!I4</f>
        <v>1289745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324822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272655</v>
      </c>
      <c r="C3446" s="2" t="s">
        <v>569</v>
      </c>
      <c r="D3446" s="2" t="str">
        <f t="shared" si="52"/>
        <v>Error?</v>
      </c>
    </row>
    <row r="3447" spans="1:4" x14ac:dyDescent="0.2">
      <c r="A3447" s="5">
        <v>3386</v>
      </c>
      <c r="B3447" s="1832">
        <f>'Tax Sched 23'!D16</f>
        <v>272655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283364</v>
      </c>
      <c r="C3449" s="2" t="s">
        <v>569</v>
      </c>
      <c r="D3449" s="2" t="str">
        <f t="shared" si="52"/>
        <v>Error?</v>
      </c>
    </row>
    <row r="3450" spans="1:4" x14ac:dyDescent="0.2">
      <c r="A3450" s="5">
        <v>3389</v>
      </c>
      <c r="B3450" s="1832">
        <f>'Tax Sched 23'!E16</f>
        <v>283364</v>
      </c>
      <c r="D3450" s="2" t="str">
        <f t="shared" si="52"/>
        <v>Error?</v>
      </c>
    </row>
    <row r="3451" spans="1:4" x14ac:dyDescent="0.2">
      <c r="A3451" s="5">
        <v>3390</v>
      </c>
      <c r="B3451" s="1832">
        <f>'Cap Outlay Deprec 26'!C15</f>
        <v>3961286</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3961286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1992</v>
      </c>
      <c r="E3521" s="4" t="s">
        <v>134</v>
      </c>
    </row>
    <row r="3522" spans="1:5" x14ac:dyDescent="0.2">
      <c r="A3522" s="10">
        <v>3461</v>
      </c>
      <c r="B3522" s="1832"/>
      <c r="D3522" s="4" t="s">
        <v>1992</v>
      </c>
      <c r="E3522" s="4" t="s">
        <v>134</v>
      </c>
    </row>
    <row r="3523" spans="1:5" x14ac:dyDescent="0.2">
      <c r="A3523" s="10">
        <v>3462</v>
      </c>
      <c r="B3523" s="1832"/>
      <c r="D3523" s="4" t="s">
        <v>1992</v>
      </c>
      <c r="E3523" s="4" t="s">
        <v>134</v>
      </c>
    </row>
    <row r="3524" spans="1:5" x14ac:dyDescent="0.2">
      <c r="A3524" s="10">
        <v>3463</v>
      </c>
      <c r="B3524" s="1832"/>
      <c r="D3524" s="4" t="s">
        <v>1992</v>
      </c>
      <c r="E3524" s="4" t="s">
        <v>134</v>
      </c>
    </row>
    <row r="3525" spans="1:5" x14ac:dyDescent="0.2">
      <c r="A3525" s="10">
        <v>3464</v>
      </c>
      <c r="B3525" s="1832"/>
      <c r="D3525" s="4" t="s">
        <v>1992</v>
      </c>
      <c r="E3525" s="4" t="s">
        <v>134</v>
      </c>
    </row>
    <row r="3526" spans="1:5" x14ac:dyDescent="0.2">
      <c r="A3526" s="10">
        <v>3465</v>
      </c>
      <c r="B3526" s="1832"/>
      <c r="D3526" s="4" t="s">
        <v>1992</v>
      </c>
      <c r="E3526" s="4" t="s">
        <v>134</v>
      </c>
    </row>
    <row r="3527" spans="1:5" x14ac:dyDescent="0.2">
      <c r="A3527" s="10">
        <v>3466</v>
      </c>
      <c r="B3527" s="1832"/>
      <c r="D3527" s="4" t="s">
        <v>1992</v>
      </c>
      <c r="E3527" s="4" t="s">
        <v>134</v>
      </c>
    </row>
    <row r="3528" spans="1:5" x14ac:dyDescent="0.2">
      <c r="A3528" s="10">
        <v>3467</v>
      </c>
      <c r="B3528" s="1832"/>
      <c r="D3528" s="4" t="s">
        <v>1992</v>
      </c>
      <c r="E3528" s="4" t="s">
        <v>134</v>
      </c>
    </row>
    <row r="3529" spans="1:5" x14ac:dyDescent="0.2">
      <c r="A3529" s="10">
        <v>3468</v>
      </c>
      <c r="B3529" s="1832"/>
      <c r="D3529" s="4" t="s">
        <v>1992</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150351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150351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150351</v>
      </c>
      <c r="D3567" s="2" t="str">
        <f t="shared" si="54"/>
        <v>Error?</v>
      </c>
    </row>
    <row r="3568" spans="1:4" x14ac:dyDescent="0.2">
      <c r="A3568" s="5">
        <v>3507</v>
      </c>
      <c r="B3568" s="1832">
        <f>'Assets-Liab 5-6'!K41</f>
        <v>150351</v>
      </c>
      <c r="C3568" s="2" t="s">
        <v>569</v>
      </c>
      <c r="D3568" s="2" t="str">
        <f t="shared" si="54"/>
        <v>Error?</v>
      </c>
    </row>
    <row r="3569" spans="1:4" x14ac:dyDescent="0.2">
      <c r="A3569" s="5">
        <v>3508</v>
      </c>
      <c r="B3569" s="1832">
        <f>'Acct Summary 7-8'!K4</f>
        <v>40351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40351</v>
      </c>
      <c r="C3571" s="2" t="s">
        <v>569</v>
      </c>
      <c r="D3571" s="2" t="str">
        <f t="shared" si="54"/>
        <v>Error?</v>
      </c>
    </row>
    <row r="3572" spans="1:4" x14ac:dyDescent="0.2">
      <c r="A3572" s="5">
        <v>3511</v>
      </c>
      <c r="B3572" s="1832">
        <f>'Acct Summary 7-8'!K13</f>
        <v>17999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17999</v>
      </c>
      <c r="C3575" s="2" t="s">
        <v>569</v>
      </c>
      <c r="D3575" s="2" t="str">
        <f t="shared" si="54"/>
        <v>Error?</v>
      </c>
    </row>
    <row r="3576" spans="1:4" x14ac:dyDescent="0.2">
      <c r="A3576" s="5">
        <v>3515</v>
      </c>
      <c r="B3576" s="1832">
        <f>'Acct Summary 7-8'!K20</f>
        <v>22352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22352</v>
      </c>
      <c r="C3588" s="2" t="s">
        <v>569</v>
      </c>
      <c r="D3588" s="2" t="str">
        <f t="shared" si="55"/>
        <v>Error?</v>
      </c>
    </row>
    <row r="3589" spans="1:4" x14ac:dyDescent="0.2">
      <c r="A3589" s="5">
        <v>3528</v>
      </c>
      <c r="B3589" s="1832">
        <f>'Acct Summary 7-8'!K79</f>
        <v>127999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150351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9048</v>
      </c>
      <c r="D3632" s="2" t="str">
        <f t="shared" si="55"/>
        <v>Error?</v>
      </c>
    </row>
    <row r="3633" spans="1:4" x14ac:dyDescent="0.2">
      <c r="A3633" s="5">
        <v>3572</v>
      </c>
      <c r="B3633" s="1832">
        <f>'Expenditures 15-22'!E350</f>
        <v>9048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9048</v>
      </c>
      <c r="C3635" s="2" t="s">
        <v>569</v>
      </c>
      <c r="D3635" s="2" t="str">
        <f t="shared" si="55"/>
        <v>Error?</v>
      </c>
    </row>
    <row r="3636" spans="1:4" x14ac:dyDescent="0.2">
      <c r="A3636" s="5">
        <v>3575</v>
      </c>
      <c r="B3636" s="1832">
        <f>'Expenditures 15-22'!E367</f>
        <v>9048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6436</v>
      </c>
      <c r="D3639" s="2" t="str">
        <f t="shared" si="55"/>
        <v>Error?</v>
      </c>
    </row>
    <row r="3640" spans="1:4" x14ac:dyDescent="0.2">
      <c r="A3640" s="5">
        <v>3579</v>
      </c>
      <c r="B3640" s="1832">
        <f>'Expenditures 15-22'!F350</f>
        <v>6436</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6436</v>
      </c>
      <c r="C3642" s="2" t="s">
        <v>569</v>
      </c>
      <c r="D3642" s="2" t="str">
        <f t="shared" si="55"/>
        <v>Error?</v>
      </c>
    </row>
    <row r="3643" spans="1:4" x14ac:dyDescent="0.2">
      <c r="A3643" s="5">
        <v>3582</v>
      </c>
      <c r="B3643" s="1832">
        <f>'Expenditures 15-22'!F367</f>
        <v>6436</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2515</v>
      </c>
      <c r="D3646" s="2" t="str">
        <f t="shared" si="55"/>
        <v>Error?</v>
      </c>
    </row>
    <row r="3647" spans="1:4" x14ac:dyDescent="0.2">
      <c r="A3647" s="5">
        <v>3586</v>
      </c>
      <c r="B3647" s="1832">
        <f>'Expenditures 15-22'!G350</f>
        <v>2515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2515</v>
      </c>
      <c r="C3649" s="2" t="s">
        <v>569</v>
      </c>
      <c r="D3649" s="2" t="str">
        <f t="shared" si="56"/>
        <v>Error?</v>
      </c>
    </row>
    <row r="3650" spans="1:4" x14ac:dyDescent="0.2">
      <c r="A3650" s="5">
        <v>3589</v>
      </c>
      <c r="B3650" s="1832">
        <f>'Expenditures 15-22'!G367</f>
        <v>2515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17999</v>
      </c>
      <c r="C3669" s="2" t="s">
        <v>569</v>
      </c>
      <c r="D3669" s="2" t="str">
        <f t="shared" si="56"/>
        <v>Error?</v>
      </c>
    </row>
    <row r="3670" spans="1:4" x14ac:dyDescent="0.2">
      <c r="A3670" s="5">
        <v>3609</v>
      </c>
      <c r="B3670" s="1832">
        <f>'Expenditures 15-22'!K350</f>
        <v>17999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17999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17999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22352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195200</v>
      </c>
      <c r="C3725" s="2" t="s">
        <v>569</v>
      </c>
      <c r="D3725" s="2" t="str">
        <f t="shared" si="57"/>
        <v>Error?</v>
      </c>
    </row>
    <row r="3726" spans="1:4" x14ac:dyDescent="0.2">
      <c r="A3726" s="5">
        <v>3665</v>
      </c>
      <c r="B3726" s="1832">
        <f>'Tax Sched 23'!D13</f>
        <v>195200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202397</v>
      </c>
      <c r="C3728" s="2" t="s">
        <v>569</v>
      </c>
      <c r="D3728" s="2" t="str">
        <f t="shared" si="57"/>
        <v>Error?</v>
      </c>
    </row>
    <row r="3729" spans="1:4" x14ac:dyDescent="0.2">
      <c r="A3729" s="5">
        <v>3668</v>
      </c>
      <c r="B3729" s="1832">
        <f>'Tax Sched 23'!E13</f>
        <v>202397</v>
      </c>
      <c r="D3729" s="2" t="str">
        <f t="shared" si="57"/>
        <v>Error?</v>
      </c>
    </row>
    <row r="3730" spans="1:4" x14ac:dyDescent="0.2">
      <c r="A3730" s="5">
        <v>3669</v>
      </c>
      <c r="B3730" s="1832">
        <f>'ICR Computation 30'!E10</f>
        <v>394646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5197142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18303634</v>
      </c>
      <c r="C4122" s="2" t="s">
        <v>569</v>
      </c>
      <c r="D4122" s="2" t="str">
        <f t="shared" si="63"/>
        <v>Error?</v>
      </c>
    </row>
    <row r="4123" spans="1:4" x14ac:dyDescent="0.2">
      <c r="A4123" s="5">
        <v>4062</v>
      </c>
      <c r="B4123" s="1832">
        <f>'Acct Summary 7-8'!D10</f>
        <v>1984295</v>
      </c>
      <c r="C4123" s="2" t="s">
        <v>569</v>
      </c>
      <c r="D4123" s="2" t="str">
        <f t="shared" si="63"/>
        <v>Error?</v>
      </c>
    </row>
    <row r="4124" spans="1:4" x14ac:dyDescent="0.2">
      <c r="A4124" s="5">
        <v>4063</v>
      </c>
      <c r="B4124" s="1832">
        <f>'Acct Summary 7-8'!E10</f>
        <v>1928257</v>
      </c>
      <c r="C4124" s="2" t="s">
        <v>569</v>
      </c>
      <c r="D4124" s="2" t="str">
        <f t="shared" si="63"/>
        <v>Error?</v>
      </c>
    </row>
    <row r="4125" spans="1:4" x14ac:dyDescent="0.2">
      <c r="A4125" s="5">
        <v>4064</v>
      </c>
      <c r="B4125" s="1832">
        <f>'Acct Summary 7-8'!F10</f>
        <v>1191032</v>
      </c>
      <c r="C4125" s="2" t="s">
        <v>569</v>
      </c>
      <c r="D4125" s="2" t="str">
        <f t="shared" si="63"/>
        <v>Error?</v>
      </c>
    </row>
    <row r="4126" spans="1:4" x14ac:dyDescent="0.2">
      <c r="A4126" s="5">
        <v>4065</v>
      </c>
      <c r="B4126" s="1832">
        <f>'Acct Summary 7-8'!G10</f>
        <v>525892</v>
      </c>
      <c r="C4126" s="2" t="s">
        <v>569</v>
      </c>
      <c r="D4126" s="2" t="str">
        <f t="shared" si="63"/>
        <v>Error?</v>
      </c>
    </row>
    <row r="4127" spans="1:4" x14ac:dyDescent="0.2">
      <c r="A4127" s="5">
        <v>4066</v>
      </c>
      <c r="B4127" s="1832">
        <f>'Acct Summary 7-8'!H10</f>
        <v>513238</v>
      </c>
      <c r="C4127" s="2" t="s">
        <v>569</v>
      </c>
      <c r="D4127" s="2" t="str">
        <f t="shared" si="63"/>
        <v>Error?</v>
      </c>
    </row>
    <row r="4128" spans="1:4" x14ac:dyDescent="0.2">
      <c r="A4128" s="5">
        <v>4067</v>
      </c>
      <c r="B4128" s="1832">
        <f>'Acct Summary 7-8'!I10</f>
        <v>216763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40351</v>
      </c>
      <c r="C4130" s="2" t="s">
        <v>569</v>
      </c>
      <c r="D4130" s="2" t="str">
        <f t="shared" si="63"/>
        <v>Error?</v>
      </c>
    </row>
    <row r="4131" spans="1:4" x14ac:dyDescent="0.2">
      <c r="A4131" s="5">
        <v>4070</v>
      </c>
      <c r="B4131" s="1832">
        <f>'Acct Summary 7-8'!C18</f>
        <v>5197142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17822070</v>
      </c>
      <c r="C4136" s="2" t="s">
        <v>569</v>
      </c>
      <c r="D4136" s="2" t="str">
        <f t="shared" si="63"/>
        <v>Error?</v>
      </c>
    </row>
    <row r="4137" spans="1:4" x14ac:dyDescent="0.2">
      <c r="A4137" s="5">
        <v>4076</v>
      </c>
      <c r="B4137" s="1832">
        <f>'Acct Summary 7-8'!D19</f>
        <v>1433125</v>
      </c>
      <c r="C4137" s="2" t="s">
        <v>569</v>
      </c>
      <c r="D4137" s="2" t="str">
        <f t="shared" si="63"/>
        <v>Error?</v>
      </c>
    </row>
    <row r="4138" spans="1:4" x14ac:dyDescent="0.2">
      <c r="A4138" s="5">
        <v>4077</v>
      </c>
      <c r="B4138" s="1832">
        <f>'Acct Summary 7-8'!E19</f>
        <v>2750156</v>
      </c>
      <c r="C4138" s="2" t="s">
        <v>569</v>
      </c>
      <c r="D4138" s="2" t="str">
        <f t="shared" si="63"/>
        <v>Error?</v>
      </c>
    </row>
    <row r="4139" spans="1:4" x14ac:dyDescent="0.2">
      <c r="A4139" s="5">
        <v>4078</v>
      </c>
      <c r="B4139" s="1832">
        <f>'Acct Summary 7-8'!F19</f>
        <v>803577</v>
      </c>
      <c r="C4139" s="2" t="s">
        <v>569</v>
      </c>
      <c r="D4139" s="2" t="str">
        <f t="shared" si="63"/>
        <v>Error?</v>
      </c>
    </row>
    <row r="4140" spans="1:4" x14ac:dyDescent="0.2">
      <c r="A4140" s="5">
        <v>4079</v>
      </c>
      <c r="B4140" s="1832">
        <f>'Acct Summary 7-8'!G19</f>
        <v>541124</v>
      </c>
      <c r="C4140" s="2" t="s">
        <v>569</v>
      </c>
      <c r="D4140" s="2" t="str">
        <f t="shared" si="63"/>
        <v>Error?</v>
      </c>
    </row>
    <row r="4141" spans="1:4" x14ac:dyDescent="0.2">
      <c r="A4141" s="5">
        <v>4080</v>
      </c>
      <c r="B4141" s="1832">
        <f>'Acct Summary 7-8'!H19</f>
        <v>788054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17999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17293834</v>
      </c>
      <c r="C4171" s="2" t="s">
        <v>569</v>
      </c>
      <c r="D4171" s="2" t="str">
        <f t="shared" si="64"/>
        <v>Error?</v>
      </c>
    </row>
    <row r="4172" spans="1:4" x14ac:dyDescent="0.2">
      <c r="A4172" s="5">
        <v>4111</v>
      </c>
      <c r="B4172" s="1832">
        <f>'Short-Term Long-Term Debt 24'!J49</f>
        <v>17257432</v>
      </c>
      <c r="C4172" s="2" t="s">
        <v>569</v>
      </c>
      <c r="D4172" s="2" t="str">
        <f t="shared" si="64"/>
        <v>Error?</v>
      </c>
    </row>
    <row r="4173" spans="1:4" x14ac:dyDescent="0.2">
      <c r="A4173" s="5">
        <v>4112</v>
      </c>
      <c r="B4173" s="1832">
        <f>'Short-Term Long-Term Debt 24'!H49</f>
        <v>1683078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1894</v>
      </c>
    </row>
    <row r="4236" spans="1:5" x14ac:dyDescent="0.2">
      <c r="A4236" s="10">
        <v>4175</v>
      </c>
      <c r="B4236" s="1832"/>
      <c r="D4236" s="2" t="str">
        <f t="shared" si="65"/>
        <v>OK</v>
      </c>
      <c r="E4236" s="4" t="s">
        <v>1894</v>
      </c>
    </row>
    <row r="4237" spans="1:5" x14ac:dyDescent="0.2">
      <c r="A4237" s="10">
        <v>4176</v>
      </c>
      <c r="B4237" s="1832"/>
      <c r="D4237" s="2" t="str">
        <f t="shared" si="65"/>
        <v>OK</v>
      </c>
      <c r="E4237" s="4" t="s">
        <v>1894</v>
      </c>
    </row>
    <row r="4238" spans="1:5" x14ac:dyDescent="0.2">
      <c r="A4238" s="10">
        <v>4177</v>
      </c>
      <c r="B4238" s="1832"/>
      <c r="D4238" s="2" t="str">
        <f t="shared" si="65"/>
        <v>OK</v>
      </c>
      <c r="E4238" s="4" t="s">
        <v>1894</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1251.56</v>
      </c>
      <c r="C4265" s="2" t="s">
        <v>569</v>
      </c>
      <c r="D4265" s="2" t="str">
        <f t="shared" si="65"/>
        <v>Error?</v>
      </c>
      <c r="E4265" s="125"/>
    </row>
    <row r="4266" spans="1:5" x14ac:dyDescent="0.2">
      <c r="A4266" s="12">
        <v>4205</v>
      </c>
      <c r="B4266" s="1832">
        <f>('FP Info 3'!F10)*100000</f>
        <v>310.39000000000004</v>
      </c>
      <c r="C4266" s="2" t="s">
        <v>569</v>
      </c>
      <c r="D4266" s="2" t="str">
        <f t="shared" si="65"/>
        <v>Error?</v>
      </c>
      <c r="E4266" s="125"/>
    </row>
    <row r="4267" spans="1:5" x14ac:dyDescent="0.2">
      <c r="A4267" s="12">
        <v>4206</v>
      </c>
      <c r="B4267" s="1832">
        <f>('FP Info 3'!H10)*100000</f>
        <v>200.26000000000002</v>
      </c>
      <c r="C4267" s="2" t="s">
        <v>569</v>
      </c>
      <c r="D4267" s="2" t="str">
        <f t="shared" si="65"/>
        <v>Error?</v>
      </c>
      <c r="E4267" s="125"/>
    </row>
    <row r="4268" spans="1:5" x14ac:dyDescent="0.2">
      <c r="A4268" s="12">
        <v>4207</v>
      </c>
      <c r="B4268" s="1832">
        <f>('FP Info 3'!J10)*100000</f>
        <v>1762</v>
      </c>
      <c r="C4268" s="2" t="s">
        <v>569</v>
      </c>
      <c r="D4268" s="2" t="str">
        <f t="shared" si="65"/>
        <v>Error?</v>
      </c>
    </row>
    <row r="4269" spans="1:5" x14ac:dyDescent="0.2">
      <c r="A4269" s="12">
        <v>4208</v>
      </c>
      <c r="B4269" s="1832">
        <f>'FP Info 3'!J16</f>
        <v>10233508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10085</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26071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177989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20674</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20674</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1894</v>
      </c>
    </row>
    <row r="4400" spans="1:5" x14ac:dyDescent="0.2">
      <c r="A4400" s="10">
        <v>4339</v>
      </c>
      <c r="B4400" s="1832"/>
      <c r="D4400" s="2" t="str">
        <f t="shared" si="67"/>
        <v>OK</v>
      </c>
      <c r="E4400" s="4" t="s">
        <v>1894</v>
      </c>
    </row>
    <row r="4401" spans="1:5" x14ac:dyDescent="0.2">
      <c r="A4401" s="10">
        <v>4340</v>
      </c>
      <c r="B4401" s="1832"/>
      <c r="D4401" s="2" t="str">
        <f t="shared" si="67"/>
        <v>OK</v>
      </c>
      <c r="E4401" s="4" t="s">
        <v>1894</v>
      </c>
    </row>
    <row r="4402" spans="1:5" x14ac:dyDescent="0.2">
      <c r="A4402" s="10">
        <v>4341</v>
      </c>
      <c r="B4402" s="1832"/>
      <c r="D4402" s="2" t="str">
        <f t="shared" si="67"/>
        <v>OK</v>
      </c>
      <c r="E4402" s="4" t="s">
        <v>1894</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48.46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78059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45650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404151197</v>
      </c>
      <c r="D4995" s="2" t="str">
        <f t="shared" si="77"/>
        <v>Error?</v>
      </c>
    </row>
    <row r="4996" spans="1:4" x14ac:dyDescent="0.2">
      <c r="A4996" s="12">
        <v>4935</v>
      </c>
      <c r="B4996" s="1832">
        <f>'FP Info 3'!H31</f>
        <v>27886432.593000002</v>
      </c>
      <c r="D4996" s="2" t="str">
        <f t="shared" si="77"/>
        <v>Error?</v>
      </c>
    </row>
    <row r="4997" spans="1:4" x14ac:dyDescent="0.2">
      <c r="A4997" s="12">
        <v>4936</v>
      </c>
      <c r="B4997" s="1832">
        <f>'FP Info 3'!H37</f>
        <v>17293834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195200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4871729</v>
      </c>
      <c r="D5061" s="2" t="str">
        <f t="shared" si="78"/>
        <v>Error?</v>
      </c>
    </row>
    <row r="5062" spans="1:4" x14ac:dyDescent="0.2">
      <c r="A5062" s="10">
        <v>5001</v>
      </c>
      <c r="B5062" s="1832"/>
      <c r="D5062" s="2" t="str">
        <f t="shared" si="78"/>
        <v>OK</v>
      </c>
    </row>
    <row r="5063" spans="1:4" x14ac:dyDescent="0.2">
      <c r="A5063" s="5">
        <v>5002</v>
      </c>
      <c r="B5063" s="1832">
        <f>'Revenues 9-14'!C7</f>
        <v>194936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5261865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603838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603838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57944</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57944</v>
      </c>
      <c r="C5087" s="2" t="s">
        <v>569</v>
      </c>
      <c r="D5087" s="2" t="str">
        <f t="shared" si="78"/>
        <v>Error?</v>
      </c>
    </row>
    <row r="5088" spans="1:4" x14ac:dyDescent="0.2">
      <c r="A5088" s="5">
        <v>5027</v>
      </c>
      <c r="B5088" s="1832">
        <f>'Revenues 9-14'!C65</f>
        <v>52536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52536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208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112864</v>
      </c>
      <c r="C5096" s="2" t="s">
        <v>569</v>
      </c>
      <c r="D5096" s="2" t="str">
        <f t="shared" si="78"/>
        <v>Error?</v>
      </c>
    </row>
    <row r="5097" spans="1:4" x14ac:dyDescent="0.2">
      <c r="A5097" s="5">
        <v>5036</v>
      </c>
      <c r="B5097" s="1832">
        <f>'Revenues 9-14'!C77</f>
        <v>72568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43890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5548</v>
      </c>
      <c r="D5101" s="2" t="str">
        <f t="shared" si="78"/>
        <v>Error?</v>
      </c>
    </row>
    <row r="5102" spans="1:4" x14ac:dyDescent="0.2">
      <c r="A5102" s="5">
        <v>5041</v>
      </c>
      <c r="B5102" s="1832">
        <f>'Revenues 9-14'!C82</f>
        <v>122006</v>
      </c>
      <c r="C5102" s="2" t="s">
        <v>569</v>
      </c>
      <c r="D5102" s="2" t="str">
        <f t="shared" si="78"/>
        <v>Error?</v>
      </c>
    </row>
    <row r="5103" spans="1:4" x14ac:dyDescent="0.2">
      <c r="A5103" s="5">
        <v>5042</v>
      </c>
      <c r="B5103" s="1832">
        <f>'Revenues 9-14'!C84</f>
        <v>61248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2094</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63342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555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7140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75145</v>
      </c>
      <c r="D5119" s="2" t="str">
        <f t="shared" ref="D5119:D5182" si="79">IF(ISBLANK(B5119),"OK",IF(A5119-B5119=0,"OK","Error?"))</f>
        <v>Error?</v>
      </c>
    </row>
    <row r="5120" spans="1:4" x14ac:dyDescent="0.2">
      <c r="A5120" s="5">
        <v>5059</v>
      </c>
      <c r="B5120" s="1832">
        <f>'Revenues 9-14'!C108</f>
        <v>82840</v>
      </c>
      <c r="C5120" s="2" t="s">
        <v>569</v>
      </c>
      <c r="D5120" s="2" t="str">
        <f t="shared" si="79"/>
        <v>Error?</v>
      </c>
    </row>
    <row r="5121" spans="1:4" x14ac:dyDescent="0.2">
      <c r="A5121" s="5">
        <v>5060</v>
      </c>
      <c r="B5121" s="1832">
        <f>'Revenues 9-14'!C109</f>
        <v>6357235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4691892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4691892</v>
      </c>
      <c r="C5132" s="2" t="s">
        <v>569</v>
      </c>
      <c r="D5132" s="2" t="str">
        <f t="shared" si="79"/>
        <v>Error?</v>
      </c>
    </row>
    <row r="5133" spans="1:4" x14ac:dyDescent="0.2">
      <c r="A5133" s="5">
        <v>5072</v>
      </c>
      <c r="B5133" s="1832">
        <f>'Revenues 9-14'!C125</f>
        <v>19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373900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373919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55380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63189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5126</v>
      </c>
      <c r="D5167" s="2" t="str">
        <f t="shared" si="79"/>
        <v>Error?</v>
      </c>
    </row>
    <row r="5168" spans="1:4" x14ac:dyDescent="0.2">
      <c r="A5168" s="5">
        <v>5107</v>
      </c>
      <c r="B5168" s="1832">
        <f>'Revenues 9-14'!C148</f>
        <v>41733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65830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1894</v>
      </c>
    </row>
    <row r="5200" spans="1:5" x14ac:dyDescent="0.2">
      <c r="A5200" s="10">
        <v>5139</v>
      </c>
      <c r="B5200" s="1832"/>
      <c r="D5200" s="2" t="str">
        <f t="shared" si="80"/>
        <v>OK</v>
      </c>
      <c r="E5200" s="4" t="s">
        <v>1894</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627856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5319748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293450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60053</v>
      </c>
      <c r="D5241" s="2" t="str">
        <f t="shared" si="80"/>
        <v>Error?</v>
      </c>
    </row>
    <row r="5242" spans="1:4" x14ac:dyDescent="0.2">
      <c r="A5242" s="5">
        <v>5181</v>
      </c>
      <c r="B5242" s="1832">
        <f>'Revenues 9-14'!C194</f>
        <v>22089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375592</v>
      </c>
      <c r="C5246" s="2" t="s">
        <v>569</v>
      </c>
      <c r="D5246" s="2" t="str">
        <f t="shared" si="80"/>
        <v>Error?</v>
      </c>
    </row>
    <row r="5247" spans="1:4" x14ac:dyDescent="0.2">
      <c r="A5247" s="5">
        <v>5186</v>
      </c>
      <c r="B5247" s="1832">
        <f>'Revenues 9-14'!C200</f>
        <v>652990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1894</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652990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108989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108989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21554</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21554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1894</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1429509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1429509</v>
      </c>
      <c r="C5326" s="2" t="s">
        <v>569</v>
      </c>
      <c r="D5326" s="2" t="str">
        <f t="shared" si="82"/>
        <v>Error?</v>
      </c>
    </row>
    <row r="5327" spans="1:5" x14ac:dyDescent="0.2">
      <c r="A5327" s="5">
        <v>5266</v>
      </c>
      <c r="B5327" s="1832">
        <f>'Revenues 9-14'!C268</f>
        <v>13106492</v>
      </c>
      <c r="C5327" s="2" t="s">
        <v>569</v>
      </c>
      <c r="D5327" s="2" t="str">
        <f t="shared" si="82"/>
        <v>Error?</v>
      </c>
    </row>
    <row r="5328" spans="1:5" x14ac:dyDescent="0.2">
      <c r="A5328" s="5">
        <v>5267</v>
      </c>
      <c r="B5328" s="1832">
        <f>'Revenues 9-14'!D5</f>
        <v>1208199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1208199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80000</v>
      </c>
      <c r="D5337" s="2" t="str">
        <f t="shared" si="82"/>
        <v>Error?</v>
      </c>
    </row>
    <row r="5338" spans="1:4" x14ac:dyDescent="0.2">
      <c r="A5338" s="5">
        <v>5277</v>
      </c>
      <c r="B5338" s="1832">
        <f>'Revenues 9-14'!D17</f>
        <v>5490</v>
      </c>
      <c r="D5338" s="2" t="str">
        <f t="shared" si="82"/>
        <v>Error?</v>
      </c>
    </row>
    <row r="5339" spans="1:4" x14ac:dyDescent="0.2">
      <c r="A5339" s="5">
        <v>5278</v>
      </c>
      <c r="B5339" s="1832">
        <f>'Revenues 9-14'!D18</f>
        <v>85490</v>
      </c>
      <c r="C5339" s="2" t="s">
        <v>569</v>
      </c>
      <c r="D5339" s="2" t="str">
        <f t="shared" si="82"/>
        <v>Error?</v>
      </c>
    </row>
    <row r="5340" spans="1:4" x14ac:dyDescent="0.2">
      <c r="A5340" s="5">
        <v>5279</v>
      </c>
      <c r="B5340" s="1832">
        <f>'Revenues 9-14'!D65</f>
        <v>17208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17208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765</v>
      </c>
      <c r="D5349" s="2" t="str">
        <f t="shared" si="82"/>
        <v>Error?</v>
      </c>
    </row>
    <row r="5350" spans="1:4" x14ac:dyDescent="0.2">
      <c r="A5350" s="5">
        <v>5289</v>
      </c>
      <c r="B5350" s="1832">
        <f>'Revenues 9-14'!D96</f>
        <v>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412548</v>
      </c>
      <c r="D5354" s="2" t="str">
        <f t="shared" si="82"/>
        <v>Error?</v>
      </c>
    </row>
    <row r="5355" spans="1:4" x14ac:dyDescent="0.2">
      <c r="A5355" s="5">
        <v>5294</v>
      </c>
      <c r="B5355" s="1832">
        <f>'Revenues 9-14'!D108</f>
        <v>418313</v>
      </c>
      <c r="C5355" s="2" t="s">
        <v>569</v>
      </c>
      <c r="D5355" s="2" t="str">
        <f t="shared" si="82"/>
        <v>Error?</v>
      </c>
    </row>
    <row r="5356" spans="1:4" x14ac:dyDescent="0.2">
      <c r="A5356" s="5">
        <v>5295</v>
      </c>
      <c r="B5356" s="1832">
        <f>'Revenues 9-14'!D109</f>
        <v>1729210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245000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245000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10085</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255085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1894</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1984295</v>
      </c>
      <c r="C5508" s="2" t="s">
        <v>569</v>
      </c>
      <c r="D5508" s="2" t="str">
        <f t="shared" si="85"/>
        <v>Error?</v>
      </c>
    </row>
    <row r="5509" spans="1:4" x14ac:dyDescent="0.2">
      <c r="A5509" s="5">
        <v>5448</v>
      </c>
      <c r="B5509" s="1832">
        <f>'Revenues 9-14'!E5</f>
        <v>1925090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1925090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3167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3167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1928257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1928257</v>
      </c>
      <c r="C5552" s="2" t="s">
        <v>569</v>
      </c>
      <c r="D5552" s="2" t="str">
        <f t="shared" si="85"/>
        <v>Error?</v>
      </c>
    </row>
    <row r="5553" spans="1:4" x14ac:dyDescent="0.2">
      <c r="A5553" s="5">
        <v>5492</v>
      </c>
      <c r="B5553" s="1832">
        <f>'Revenues 9-14'!F5</f>
        <v>779511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779511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12254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12254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25960</v>
      </c>
      <c r="D5585" s="2" t="str">
        <f t="shared" si="86"/>
        <v>Error?</v>
      </c>
    </row>
    <row r="5586" spans="1:4" x14ac:dyDescent="0.2">
      <c r="A5586" s="5">
        <v>5525</v>
      </c>
      <c r="B5586" s="1832">
        <f>'Revenues 9-14'!F107</f>
        <v>2888</v>
      </c>
      <c r="D5586" s="2" t="str">
        <f t="shared" si="86"/>
        <v>Error?</v>
      </c>
    </row>
    <row r="5587" spans="1:4" x14ac:dyDescent="0.2">
      <c r="A5587" s="5">
        <v>5526</v>
      </c>
      <c r="B5587" s="1832">
        <f>'Revenues 9-14'!F108</f>
        <v>28848</v>
      </c>
      <c r="C5587" s="2" t="s">
        <v>569</v>
      </c>
      <c r="D5587" s="2" t="str">
        <f t="shared" si="86"/>
        <v>Error?</v>
      </c>
    </row>
    <row r="5588" spans="1:4" x14ac:dyDescent="0.2">
      <c r="A5588" s="5">
        <v>5527</v>
      </c>
      <c r="B5588" s="1832">
        <f>'Revenues 9-14'!F109</f>
        <v>820613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240698</v>
      </c>
      <c r="D5615" s="2" t="str">
        <f t="shared" si="86"/>
        <v>Error?</v>
      </c>
    </row>
    <row r="5616" spans="1:4" x14ac:dyDescent="0.2">
      <c r="A5616" s="10">
        <v>5555</v>
      </c>
      <c r="B5616" s="1832"/>
      <c r="D5616" s="2" t="str">
        <f t="shared" si="86"/>
        <v>OK</v>
      </c>
    </row>
    <row r="5617" spans="1:5" x14ac:dyDescent="0.2">
      <c r="A5617" s="5">
        <v>5556</v>
      </c>
      <c r="B5617" s="1832">
        <f>'Revenues 9-14'!F153</f>
        <v>129721</v>
      </c>
      <c r="D5617" s="2" t="str">
        <f t="shared" si="86"/>
        <v>Error?</v>
      </c>
    </row>
    <row r="5618" spans="1:5" x14ac:dyDescent="0.2">
      <c r="A5618" s="5">
        <v>5557</v>
      </c>
      <c r="B5618" s="1832">
        <f>'Revenues 9-14'!F155</f>
        <v>370419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1894</v>
      </c>
    </row>
    <row r="5631" spans="1:5" x14ac:dyDescent="0.2">
      <c r="A5631" s="10">
        <v>5570</v>
      </c>
      <c r="B5631" s="1832"/>
      <c r="D5631" s="2" t="str">
        <f t="shared" ref="D5631:D5694" si="87">IF(ISBLANK(B5631),"OK",IF(A5631-B5631=0,"OK","Error?"))</f>
        <v>OK</v>
      </c>
      <c r="E5631" s="4" t="s">
        <v>1894</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370419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370419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1894</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1894</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1191032</v>
      </c>
      <c r="C5720" s="2" t="s">
        <v>569</v>
      </c>
      <c r="D5720" s="2" t="str">
        <f t="shared" si="88"/>
        <v>Error?</v>
      </c>
    </row>
    <row r="5721" spans="1:4" x14ac:dyDescent="0.2">
      <c r="A5721" s="5">
        <v>5660</v>
      </c>
      <c r="B5721" s="1832">
        <f>'Revenues 9-14'!G5</f>
        <v>194936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272655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467591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55000</v>
      </c>
      <c r="C5730" s="2" t="s">
        <v>569</v>
      </c>
      <c r="D5730" s="2" t="str">
        <f t="shared" si="88"/>
        <v>Error?</v>
      </c>
    </row>
    <row r="5731" spans="1:4" x14ac:dyDescent="0.2">
      <c r="A5731" s="5">
        <v>5670</v>
      </c>
      <c r="B5731" s="1832">
        <f>'Revenues 9-14'!G65</f>
        <v>3301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3301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1894</v>
      </c>
    </row>
    <row r="5768" spans="1:5" x14ac:dyDescent="0.2">
      <c r="A5768" s="10">
        <v>5707</v>
      </c>
      <c r="B5768" s="1832"/>
      <c r="D5768" s="2" t="str">
        <f t="shared" si="89"/>
        <v>OK</v>
      </c>
      <c r="E5768" s="4" t="s">
        <v>1894</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1894</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1894</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525892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13238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13238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500000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513238</v>
      </c>
      <c r="C5915" s="2" t="s">
        <v>569</v>
      </c>
      <c r="D5915" s="2" t="str">
        <f t="shared" si="91"/>
        <v>Error?</v>
      </c>
    </row>
    <row r="5916" spans="1:4" x14ac:dyDescent="0.2">
      <c r="A5916" s="5">
        <v>5855</v>
      </c>
      <c r="B5916" s="1832">
        <f>'Revenues 9-14'!I5</f>
        <v>188604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188604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28159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28159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216763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39011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39011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1340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1340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40351</v>
      </c>
      <c r="C6023" s="2" t="s">
        <v>569</v>
      </c>
      <c r="D6023" s="2" t="str">
        <f t="shared" si="93"/>
        <v>Error?</v>
      </c>
    </row>
    <row r="6024" spans="1:5" x14ac:dyDescent="0.2">
      <c r="A6024" s="5">
        <v>5963</v>
      </c>
      <c r="B6024" s="1832">
        <f>'Revenues 9-14'!G109</f>
        <v>525892</v>
      </c>
      <c r="C6024" s="2" t="s">
        <v>569</v>
      </c>
      <c r="D6024" s="2" t="str">
        <f t="shared" si="93"/>
        <v>Error?</v>
      </c>
    </row>
    <row r="6025" spans="1:5" x14ac:dyDescent="0.2">
      <c r="A6025" s="5">
        <v>5964</v>
      </c>
      <c r="B6025" s="1832">
        <f>'Revenues 9-14'!H109</f>
        <v>13238</v>
      </c>
      <c r="C6025" s="2" t="s">
        <v>569</v>
      </c>
      <c r="D6025" s="2" t="str">
        <f t="shared" si="93"/>
        <v>Error?</v>
      </c>
    </row>
    <row r="6026" spans="1:5" x14ac:dyDescent="0.2">
      <c r="A6026" s="5">
        <v>5965</v>
      </c>
      <c r="B6026" s="1832">
        <f>'Revenues 9-14'!I109</f>
        <v>216763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40351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112656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36567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1013.7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55690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245616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-36</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-113117</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245616</v>
      </c>
      <c r="D6215" s="2" t="str">
        <f t="shared" si="96"/>
        <v>Error?</v>
      </c>
      <c r="E6215" s="2" t="s">
        <v>189</v>
      </c>
    </row>
    <row r="6216" spans="1:5" x14ac:dyDescent="0.2">
      <c r="A6216">
        <v>6155</v>
      </c>
      <c r="B6216" s="1832">
        <f>'Assets-Liab 5-6'!J41</f>
        <v>245616</v>
      </c>
      <c r="D6216" s="2" t="str">
        <f t="shared" si="96"/>
        <v>Error?</v>
      </c>
      <c r="E6216" s="2" t="s">
        <v>189</v>
      </c>
    </row>
    <row r="6217" spans="1:5" x14ac:dyDescent="0.2">
      <c r="A6217">
        <v>6156</v>
      </c>
      <c r="B6217" s="1832">
        <f>'Assets-Liab 5-6'!J4</f>
        <v>245616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318502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318502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318502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321651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321651</v>
      </c>
      <c r="D6229" s="2" t="str">
        <f t="shared" si="96"/>
        <v>Error?</v>
      </c>
      <c r="E6229" s="2" t="s">
        <v>189</v>
      </c>
    </row>
    <row r="6230" spans="1:5" x14ac:dyDescent="0.2">
      <c r="A6230">
        <v>6169</v>
      </c>
      <c r="B6230" s="1832">
        <f>'Acct Summary 7-8'!J20</f>
        <v>-3149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800000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31272</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-3149</v>
      </c>
      <c r="D6263" s="2" t="str">
        <f t="shared" si="96"/>
        <v>Error?</v>
      </c>
      <c r="E6263" s="2" t="s">
        <v>189</v>
      </c>
    </row>
    <row r="6264" spans="1:5" x14ac:dyDescent="0.2">
      <c r="A6264">
        <v>6203</v>
      </c>
      <c r="B6264" s="1832">
        <f>'Acct Summary 7-8'!J79</f>
        <v>248765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245616</v>
      </c>
      <c r="D6266" s="2" t="str">
        <f t="shared" si="96"/>
        <v>Error?</v>
      </c>
      <c r="E6266" s="2" t="s">
        <v>189</v>
      </c>
    </row>
    <row r="6267" spans="1:5" x14ac:dyDescent="0.2">
      <c r="A6267">
        <v>6206</v>
      </c>
      <c r="B6267" s="1832">
        <f>'Acct Summary 7-8'!C82</f>
        <v>481564</v>
      </c>
      <c r="D6267" s="2" t="str">
        <f t="shared" si="96"/>
        <v>Error?</v>
      </c>
      <c r="E6267" s="2" t="s">
        <v>189</v>
      </c>
    </row>
    <row r="6268" spans="1:5" x14ac:dyDescent="0.2">
      <c r="A6268">
        <v>6207</v>
      </c>
      <c r="B6268" s="1832">
        <f>'Acct Summary 7-8'!D82</f>
        <v>151170</v>
      </c>
      <c r="D6268" s="2" t="str">
        <f t="shared" si="96"/>
        <v>Error?</v>
      </c>
      <c r="E6268" s="2" t="s">
        <v>189</v>
      </c>
    </row>
    <row r="6269" spans="1:5" x14ac:dyDescent="0.2">
      <c r="A6269">
        <v>6208</v>
      </c>
      <c r="B6269" s="1832">
        <f>'Acct Summary 7-8'!E82</f>
        <v>9373</v>
      </c>
      <c r="D6269" s="2" t="str">
        <f t="shared" si="96"/>
        <v>Error?</v>
      </c>
      <c r="E6269" s="2" t="s">
        <v>189</v>
      </c>
    </row>
    <row r="6270" spans="1:5" x14ac:dyDescent="0.2">
      <c r="A6270">
        <v>6209</v>
      </c>
      <c r="B6270" s="1832">
        <f>'Acct Summary 7-8'!F82</f>
        <v>387455</v>
      </c>
      <c r="D6270" s="2" t="str">
        <f t="shared" si="96"/>
        <v>Error?</v>
      </c>
      <c r="E6270" s="2" t="s">
        <v>189</v>
      </c>
    </row>
    <row r="6271" spans="1:5" x14ac:dyDescent="0.2">
      <c r="A6271">
        <v>6210</v>
      </c>
      <c r="B6271" s="1832">
        <f>'Acct Summary 7-8'!G82</f>
        <v>-15232</v>
      </c>
      <c r="D6271" s="2" t="str">
        <f t="shared" ref="D6271:D6334" si="97">IF(ISBLANK(B6271),"OK",IF(A6271-B6271=0,"OK","Error?"))</f>
        <v>Error?</v>
      </c>
      <c r="E6271" s="2" t="s">
        <v>189</v>
      </c>
    </row>
    <row r="6272" spans="1:5" x14ac:dyDescent="0.2">
      <c r="A6272">
        <v>6211</v>
      </c>
      <c r="B6272" s="1832">
        <f>'Acct Summary 7-8'!H82</f>
        <v>-306088</v>
      </c>
      <c r="D6272" s="2" t="str">
        <f t="shared" si="97"/>
        <v>Error?</v>
      </c>
      <c r="E6272" s="2" t="s">
        <v>189</v>
      </c>
    </row>
    <row r="6273" spans="1:5" x14ac:dyDescent="0.2">
      <c r="A6273">
        <v>6212</v>
      </c>
      <c r="B6273" s="1832">
        <f>'Acct Summary 7-8'!I82</f>
        <v>-183237</v>
      </c>
      <c r="D6273" s="2" t="str">
        <f t="shared" si="97"/>
        <v>Error?</v>
      </c>
      <c r="E6273" s="2" t="s">
        <v>189</v>
      </c>
    </row>
    <row r="6274" spans="1:5" x14ac:dyDescent="0.2">
      <c r="A6274">
        <v>6213</v>
      </c>
      <c r="B6274" s="1832">
        <f>'Acct Summary 7-8'!J82</f>
        <v>-3149</v>
      </c>
      <c r="D6274" s="2" t="str">
        <f t="shared" si="97"/>
        <v>Error?</v>
      </c>
      <c r="E6274" s="2" t="s">
        <v>189</v>
      </c>
    </row>
    <row r="6275" spans="1:5" x14ac:dyDescent="0.2">
      <c r="A6275">
        <v>6214</v>
      </c>
      <c r="B6275" s="1832">
        <f>'Acct Summary 7-8'!K82</f>
        <v>22352</v>
      </c>
      <c r="D6275" s="2" t="str">
        <f t="shared" si="97"/>
        <v>Error?</v>
      </c>
      <c r="E6275" s="2" t="s">
        <v>189</v>
      </c>
    </row>
    <row r="6276" spans="1:5" x14ac:dyDescent="0.2">
      <c r="A6276">
        <v>6215</v>
      </c>
      <c r="B6276" s="1832">
        <f>'Acct Summary 7-8'!C83</f>
        <v>8.3033930759077557E-2</v>
      </c>
      <c r="D6276" s="2" t="str">
        <f t="shared" si="97"/>
        <v>Error?</v>
      </c>
      <c r="E6276" s="2" t="s">
        <v>189</v>
      </c>
    </row>
    <row r="6277" spans="1:5" x14ac:dyDescent="0.2">
      <c r="A6277">
        <v>6216</v>
      </c>
      <c r="B6277" s="1832">
        <f>'Acct Summary 7-8'!D83</f>
        <v>8.9852017881246984E-2</v>
      </c>
      <c r="D6277" s="2" t="str">
        <f t="shared" si="97"/>
        <v>Error?</v>
      </c>
      <c r="E6277" s="2" t="s">
        <v>189</v>
      </c>
    </row>
    <row r="6278" spans="1:5" x14ac:dyDescent="0.2">
      <c r="A6278">
        <v>6217</v>
      </c>
      <c r="B6278" s="1832">
        <f>'Acct Summary 7-8'!E83</f>
        <v>0.25748585242569089</v>
      </c>
      <c r="D6278" s="2" t="str">
        <f t="shared" si="97"/>
        <v>Error?</v>
      </c>
      <c r="E6278" s="2" t="s">
        <v>189</v>
      </c>
    </row>
    <row r="6279" spans="1:5" x14ac:dyDescent="0.2">
      <c r="A6279">
        <v>6218</v>
      </c>
      <c r="B6279" s="1832">
        <f>'Acct Summary 7-8'!F83</f>
        <v>0.2725249573932475</v>
      </c>
      <c r="D6279" s="2" t="str">
        <f t="shared" si="97"/>
        <v>Error?</v>
      </c>
      <c r="E6279" s="2" t="s">
        <v>189</v>
      </c>
    </row>
    <row r="6280" spans="1:5" x14ac:dyDescent="0.2">
      <c r="A6280">
        <v>6219</v>
      </c>
      <c r="B6280" s="1832">
        <f>'Acct Summary 7-8'!G83</f>
        <v>-6.2355440749640778E-2</v>
      </c>
      <c r="D6280" s="2" t="str">
        <f t="shared" si="97"/>
        <v>Error?</v>
      </c>
      <c r="E6280" s="2" t="s">
        <v>189</v>
      </c>
    </row>
    <row r="6281" spans="1:5" x14ac:dyDescent="0.2">
      <c r="A6281">
        <v>6220</v>
      </c>
      <c r="B6281" s="1832">
        <f>'Acct Summary 7-8'!H83</f>
        <v>-0.77489652029721146</v>
      </c>
      <c r="D6281" s="2" t="str">
        <f t="shared" si="97"/>
        <v>Error?</v>
      </c>
      <c r="E6281" s="2" t="s">
        <v>189</v>
      </c>
    </row>
    <row r="6282" spans="1:5" x14ac:dyDescent="0.2">
      <c r="A6282">
        <v>6221</v>
      </c>
      <c r="B6282" s="1832">
        <f>'Acct Summary 7-8'!I83</f>
        <v>-0.13779839322818552</v>
      </c>
      <c r="D6282" s="2" t="str">
        <f t="shared" si="97"/>
        <v>Error?</v>
      </c>
      <c r="E6282" s="2" t="s">
        <v>189</v>
      </c>
    </row>
    <row r="6283" spans="1:5" x14ac:dyDescent="0.2">
      <c r="A6283">
        <v>6222</v>
      </c>
      <c r="B6283" s="1832">
        <f>'Acct Summary 7-8'!J83</f>
        <v>-1.2820826004820533E-2</v>
      </c>
      <c r="D6283" s="2" t="str">
        <f t="shared" si="97"/>
        <v>Error?</v>
      </c>
      <c r="E6283" s="2" t="s">
        <v>189</v>
      </c>
    </row>
    <row r="6284" spans="1:5" x14ac:dyDescent="0.2">
      <c r="A6284">
        <v>6223</v>
      </c>
      <c r="B6284" s="1832">
        <f>'Acct Summary 7-8'!K83</f>
        <v>0.14866545616590512</v>
      </c>
      <c r="D6284" s="2" t="str">
        <f t="shared" si="97"/>
        <v>Error?</v>
      </c>
      <c r="E6284" s="2" t="s">
        <v>189</v>
      </c>
    </row>
    <row r="6285" spans="1:5" x14ac:dyDescent="0.2">
      <c r="A6285">
        <v>6224</v>
      </c>
      <c r="B6285" s="1832">
        <f>'Acct Summary 7-8'!E37</f>
        <v>800000</v>
      </c>
      <c r="D6285" s="2" t="str">
        <f t="shared" si="97"/>
        <v>Error?</v>
      </c>
      <c r="E6285" s="2" t="s">
        <v>189</v>
      </c>
    </row>
    <row r="6286" spans="1:5" x14ac:dyDescent="0.2">
      <c r="A6286">
        <v>6225</v>
      </c>
      <c r="B6286" s="1832">
        <f>'Acct Summary 7-8'!E38</f>
        <v>31272</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292346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292346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1619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1619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24537</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24537</v>
      </c>
      <c r="D6351" s="2" t="str">
        <f t="shared" si="98"/>
        <v>Error?</v>
      </c>
      <c r="E6351" s="2" t="s">
        <v>189</v>
      </c>
    </row>
    <row r="6352" spans="1:5" x14ac:dyDescent="0.2">
      <c r="A6352">
        <v>6291</v>
      </c>
      <c r="B6352" s="1832">
        <f>'Revenues 9-14'!J109</f>
        <v>318502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7809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1893</v>
      </c>
    </row>
    <row r="6383" spans="1:6" x14ac:dyDescent="0.2">
      <c r="A6383" s="126">
        <v>6322</v>
      </c>
      <c r="B6383" s="1832"/>
      <c r="D6383" s="2" t="str">
        <f t="shared" si="98"/>
        <v>OK</v>
      </c>
      <c r="E6383" s="2" t="s">
        <v>189</v>
      </c>
      <c r="F6383" s="1" t="s">
        <v>1893</v>
      </c>
    </row>
    <row r="6384" spans="1:6" x14ac:dyDescent="0.2">
      <c r="A6384" s="126">
        <v>6323</v>
      </c>
      <c r="B6384" s="1832"/>
      <c r="D6384" s="2" t="str">
        <f t="shared" si="98"/>
        <v>OK</v>
      </c>
      <c r="E6384" s="2" t="s">
        <v>189</v>
      </c>
      <c r="F6384" s="1" t="s">
        <v>1893</v>
      </c>
    </row>
    <row r="6385" spans="1:6" x14ac:dyDescent="0.2">
      <c r="A6385" s="126">
        <v>6324</v>
      </c>
      <c r="B6385" s="1832"/>
      <c r="D6385" s="2" t="str">
        <f t="shared" si="98"/>
        <v>OK</v>
      </c>
      <c r="E6385" s="2" t="s">
        <v>189</v>
      </c>
      <c r="F6385" s="1" t="s">
        <v>1893</v>
      </c>
    </row>
    <row r="6386" spans="1:6" x14ac:dyDescent="0.2">
      <c r="A6386" s="126">
        <v>6325</v>
      </c>
      <c r="B6386" s="1832"/>
      <c r="D6386" s="2" t="str">
        <f t="shared" si="98"/>
        <v>OK</v>
      </c>
      <c r="E6386" s="2" t="s">
        <v>189</v>
      </c>
      <c r="F6386" s="1" t="s">
        <v>1893</v>
      </c>
    </row>
    <row r="6387" spans="1:6" x14ac:dyDescent="0.2">
      <c r="A6387" s="126">
        <v>6326</v>
      </c>
      <c r="B6387" s="1832"/>
      <c r="D6387" s="2" t="str">
        <f t="shared" si="98"/>
        <v>OK</v>
      </c>
      <c r="E6387" s="2" t="s">
        <v>189</v>
      </c>
      <c r="F6387" s="1" t="s">
        <v>1893</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1893</v>
      </c>
    </row>
    <row r="6411" spans="1:6" x14ac:dyDescent="0.2">
      <c r="A6411" s="126">
        <v>6350</v>
      </c>
      <c r="B6411" s="1832"/>
      <c r="D6411" s="2" t="str">
        <f t="shared" si="99"/>
        <v>OK</v>
      </c>
      <c r="E6411" s="2" t="s">
        <v>189</v>
      </c>
      <c r="F6411" s="1" t="s">
        <v>1893</v>
      </c>
    </row>
    <row r="6412" spans="1:6" x14ac:dyDescent="0.2">
      <c r="A6412" s="126">
        <v>6351</v>
      </c>
      <c r="B6412" s="1832"/>
      <c r="D6412" s="2" t="str">
        <f t="shared" si="99"/>
        <v>OK</v>
      </c>
      <c r="E6412" s="2" t="s">
        <v>189</v>
      </c>
      <c r="F6412" s="1" t="s">
        <v>1893</v>
      </c>
    </row>
    <row r="6413" spans="1:6" x14ac:dyDescent="0.2">
      <c r="A6413" s="126">
        <v>6352</v>
      </c>
      <c r="B6413" s="1832"/>
      <c r="D6413" s="2" t="str">
        <f t="shared" si="99"/>
        <v>OK</v>
      </c>
      <c r="E6413" s="2" t="s">
        <v>189</v>
      </c>
      <c r="F6413" s="1" t="s">
        <v>1893</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1989</v>
      </c>
    </row>
    <row r="6417" spans="1:5" x14ac:dyDescent="0.2">
      <c r="A6417" s="126">
        <v>6356</v>
      </c>
      <c r="B6417" s="1832"/>
      <c r="D6417" s="2" t="str">
        <f t="shared" si="99"/>
        <v>OK</v>
      </c>
      <c r="E6417" s="4" t="s">
        <v>1989</v>
      </c>
    </row>
    <row r="6418" spans="1:5" x14ac:dyDescent="0.2">
      <c r="A6418" s="126">
        <v>6357</v>
      </c>
      <c r="B6418" s="1832"/>
      <c r="D6418" s="2" t="str">
        <f t="shared" si="99"/>
        <v>OK</v>
      </c>
      <c r="E6418" s="4" t="s">
        <v>1989</v>
      </c>
    </row>
    <row r="6419" spans="1:5" x14ac:dyDescent="0.2">
      <c r="A6419" s="126">
        <v>6358</v>
      </c>
      <c r="B6419" s="1832"/>
      <c r="D6419" s="2" t="str">
        <f t="shared" si="99"/>
        <v>OK</v>
      </c>
      <c r="E6419" s="4" t="s">
        <v>1989</v>
      </c>
    </row>
    <row r="6420" spans="1:5" x14ac:dyDescent="0.2">
      <c r="A6420" s="126">
        <v>6359</v>
      </c>
      <c r="B6420" s="1832"/>
      <c r="D6420" s="2" t="str">
        <f t="shared" si="99"/>
        <v>OK</v>
      </c>
      <c r="E6420" s="4" t="s">
        <v>1989</v>
      </c>
    </row>
    <row r="6421" spans="1:5" x14ac:dyDescent="0.2">
      <c r="A6421" s="126">
        <v>6360</v>
      </c>
      <c r="B6421" s="1832"/>
      <c r="D6421" s="2" t="str">
        <f t="shared" si="99"/>
        <v>OK</v>
      </c>
      <c r="E6421" s="4" t="s">
        <v>1989</v>
      </c>
    </row>
    <row r="6422" spans="1:5" x14ac:dyDescent="0.2">
      <c r="A6422" s="126">
        <v>6361</v>
      </c>
      <c r="B6422" s="1832"/>
      <c r="D6422" s="2" t="str">
        <f t="shared" si="99"/>
        <v>OK</v>
      </c>
      <c r="E6422" s="4" t="s">
        <v>1989</v>
      </c>
    </row>
    <row r="6423" spans="1:5" x14ac:dyDescent="0.2">
      <c r="A6423" s="126">
        <v>6362</v>
      </c>
      <c r="B6423" s="1832"/>
      <c r="D6423" s="2" t="str">
        <f t="shared" si="99"/>
        <v>OK</v>
      </c>
      <c r="E6423" s="4" t="s">
        <v>1989</v>
      </c>
    </row>
    <row r="6424" spans="1:5" x14ac:dyDescent="0.2">
      <c r="A6424" s="126">
        <v>6363</v>
      </c>
      <c r="B6424" s="1832"/>
      <c r="D6424" s="2" t="str">
        <f t="shared" si="99"/>
        <v>OK</v>
      </c>
      <c r="E6424" s="4" t="s">
        <v>1989</v>
      </c>
    </row>
    <row r="6425" spans="1:5" x14ac:dyDescent="0.2">
      <c r="A6425" s="126">
        <v>6364</v>
      </c>
      <c r="B6425" s="1832"/>
      <c r="D6425" s="2" t="str">
        <f t="shared" si="99"/>
        <v>OK</v>
      </c>
      <c r="E6425" s="4" t="s">
        <v>1989</v>
      </c>
    </row>
    <row r="6426" spans="1:5" x14ac:dyDescent="0.2">
      <c r="A6426" s="126">
        <v>6365</v>
      </c>
      <c r="B6426" s="1832"/>
      <c r="D6426" s="2" t="str">
        <f t="shared" si="99"/>
        <v>OK</v>
      </c>
      <c r="E6426" s="4" t="s">
        <v>1989</v>
      </c>
    </row>
    <row r="6427" spans="1:5" x14ac:dyDescent="0.2">
      <c r="A6427" s="126">
        <v>6366</v>
      </c>
      <c r="B6427" s="1832"/>
      <c r="D6427" s="2" t="str">
        <f t="shared" si="99"/>
        <v>OK</v>
      </c>
      <c r="E6427" s="4" t="s">
        <v>1989</v>
      </c>
    </row>
    <row r="6428" spans="1:5" x14ac:dyDescent="0.2">
      <c r="A6428" s="126">
        <v>6367</v>
      </c>
      <c r="B6428" s="1832"/>
      <c r="D6428" s="2" t="str">
        <f t="shared" si="99"/>
        <v>OK</v>
      </c>
      <c r="E6428" s="4" t="s">
        <v>1989</v>
      </c>
    </row>
    <row r="6429" spans="1:5" x14ac:dyDescent="0.2">
      <c r="A6429" s="126">
        <v>6368</v>
      </c>
      <c r="B6429" s="1832"/>
      <c r="D6429" s="2" t="str">
        <f t="shared" si="99"/>
        <v>OK</v>
      </c>
      <c r="E6429" s="4" t="s">
        <v>1989</v>
      </c>
    </row>
    <row r="6430" spans="1:5" x14ac:dyDescent="0.2">
      <c r="A6430" s="126">
        <v>6369</v>
      </c>
      <c r="B6430" s="1832"/>
      <c r="D6430" s="2" t="str">
        <f t="shared" si="99"/>
        <v>OK</v>
      </c>
      <c r="E6430" s="4" t="s">
        <v>1989</v>
      </c>
    </row>
    <row r="6431" spans="1:5" x14ac:dyDescent="0.2">
      <c r="A6431" s="126">
        <v>6370</v>
      </c>
      <c r="B6431" s="1832"/>
      <c r="D6431" s="2" t="str">
        <f t="shared" si="99"/>
        <v>OK</v>
      </c>
      <c r="E6431" s="4" t="s">
        <v>1989</v>
      </c>
    </row>
    <row r="6432" spans="1:5" x14ac:dyDescent="0.2">
      <c r="A6432" s="126">
        <v>6371</v>
      </c>
      <c r="B6432" s="1832"/>
      <c r="D6432" s="2" t="str">
        <f t="shared" si="99"/>
        <v>OK</v>
      </c>
      <c r="E6432" s="4" t="s">
        <v>1989</v>
      </c>
    </row>
    <row r="6433" spans="1:5" x14ac:dyDescent="0.2">
      <c r="A6433" s="126">
        <v>6372</v>
      </c>
      <c r="B6433" s="1832"/>
      <c r="D6433" s="2" t="str">
        <f t="shared" si="99"/>
        <v>OK</v>
      </c>
      <c r="E6433" s="4" t="s">
        <v>1989</v>
      </c>
    </row>
    <row r="6434" spans="1:5" x14ac:dyDescent="0.2">
      <c r="A6434" s="126">
        <v>6373</v>
      </c>
      <c r="B6434" s="1832"/>
      <c r="D6434" s="2" t="str">
        <f t="shared" si="99"/>
        <v>OK</v>
      </c>
      <c r="E6434" s="4" t="s">
        <v>1989</v>
      </c>
    </row>
    <row r="6435" spans="1:5" x14ac:dyDescent="0.2">
      <c r="A6435" s="126">
        <v>6374</v>
      </c>
      <c r="B6435" s="1832"/>
      <c r="D6435" s="2" t="str">
        <f t="shared" si="99"/>
        <v>OK</v>
      </c>
      <c r="E6435" s="4" t="s">
        <v>1989</v>
      </c>
    </row>
    <row r="6436" spans="1:5" x14ac:dyDescent="0.2">
      <c r="A6436" s="126">
        <v>6375</v>
      </c>
      <c r="B6436" s="1832"/>
      <c r="D6436" s="2" t="str">
        <f t="shared" si="99"/>
        <v>OK</v>
      </c>
      <c r="E6436" s="4" t="s">
        <v>1989</v>
      </c>
    </row>
    <row r="6437" spans="1:5" x14ac:dyDescent="0.2">
      <c r="A6437" s="126">
        <v>6376</v>
      </c>
      <c r="B6437" s="1832"/>
      <c r="D6437" s="2" t="str">
        <f t="shared" si="99"/>
        <v>OK</v>
      </c>
      <c r="E6437" s="4" t="s">
        <v>1989</v>
      </c>
    </row>
    <row r="6438" spans="1:5" x14ac:dyDescent="0.2">
      <c r="A6438" s="126">
        <v>6377</v>
      </c>
      <c r="B6438" s="1832"/>
      <c r="D6438" s="2" t="str">
        <f t="shared" si="99"/>
        <v>OK</v>
      </c>
      <c r="E6438" s="4" t="s">
        <v>1989</v>
      </c>
    </row>
    <row r="6439" spans="1:5" x14ac:dyDescent="0.2">
      <c r="A6439" s="126">
        <v>6378</v>
      </c>
      <c r="B6439" s="1832"/>
      <c r="D6439" s="2" t="str">
        <f t="shared" si="99"/>
        <v>OK</v>
      </c>
      <c r="E6439" s="4" t="s">
        <v>1989</v>
      </c>
    </row>
    <row r="6440" spans="1:5" x14ac:dyDescent="0.2">
      <c r="A6440" s="126">
        <v>6379</v>
      </c>
      <c r="B6440" s="1832"/>
      <c r="D6440" s="2" t="str">
        <f t="shared" si="99"/>
        <v>OK</v>
      </c>
      <c r="E6440" s="4" t="s">
        <v>1989</v>
      </c>
    </row>
    <row r="6441" spans="1:5" x14ac:dyDescent="0.2">
      <c r="A6441" s="126">
        <v>6380</v>
      </c>
      <c r="B6441" s="1832"/>
      <c r="D6441" s="2" t="str">
        <f t="shared" si="99"/>
        <v>OK</v>
      </c>
      <c r="E6441" s="4" t="s">
        <v>1989</v>
      </c>
    </row>
    <row r="6442" spans="1:5" x14ac:dyDescent="0.2">
      <c r="A6442" s="126">
        <v>6381</v>
      </c>
      <c r="B6442" s="1832"/>
      <c r="D6442" s="2" t="str">
        <f t="shared" si="99"/>
        <v>OK</v>
      </c>
      <c r="E6442" s="4" t="s">
        <v>1989</v>
      </c>
    </row>
    <row r="6443" spans="1:5" x14ac:dyDescent="0.2">
      <c r="A6443" s="126">
        <v>6382</v>
      </c>
      <c r="B6443" s="1832"/>
      <c r="D6443" s="2" t="str">
        <f t="shared" si="99"/>
        <v>OK</v>
      </c>
      <c r="E6443" s="4" t="s">
        <v>1989</v>
      </c>
    </row>
    <row r="6444" spans="1:5" x14ac:dyDescent="0.2">
      <c r="A6444" s="126">
        <v>6383</v>
      </c>
      <c r="B6444" s="1832"/>
      <c r="D6444" s="2" t="str">
        <f t="shared" si="99"/>
        <v>OK</v>
      </c>
      <c r="E6444" s="4" t="s">
        <v>1989</v>
      </c>
    </row>
    <row r="6445" spans="1:5" x14ac:dyDescent="0.2">
      <c r="A6445" s="126">
        <v>6384</v>
      </c>
      <c r="B6445" s="1832"/>
      <c r="D6445" s="2" t="str">
        <f t="shared" si="99"/>
        <v>OK</v>
      </c>
      <c r="E6445" s="4" t="s">
        <v>1989</v>
      </c>
    </row>
    <row r="6446" spans="1:5" x14ac:dyDescent="0.2">
      <c r="A6446" s="126">
        <v>6385</v>
      </c>
      <c r="B6446" s="1832"/>
      <c r="D6446" s="2" t="str">
        <f t="shared" si="99"/>
        <v>OK</v>
      </c>
      <c r="E6446" s="4" t="s">
        <v>1989</v>
      </c>
    </row>
    <row r="6447" spans="1:5" x14ac:dyDescent="0.2">
      <c r="A6447" s="126">
        <v>6386</v>
      </c>
      <c r="B6447" s="1832"/>
      <c r="D6447" s="2" t="str">
        <f t="shared" si="99"/>
        <v>OK</v>
      </c>
      <c r="E6447" s="4" t="s">
        <v>1989</v>
      </c>
    </row>
    <row r="6448" spans="1:5" x14ac:dyDescent="0.2">
      <c r="A6448" s="126">
        <v>6387</v>
      </c>
      <c r="B6448" s="1832"/>
      <c r="D6448" s="2" t="str">
        <f t="shared" si="99"/>
        <v>OK</v>
      </c>
      <c r="E6448" s="4" t="s">
        <v>1989</v>
      </c>
    </row>
    <row r="6449" spans="1:5" x14ac:dyDescent="0.2">
      <c r="A6449" s="126">
        <v>6388</v>
      </c>
      <c r="B6449" s="1832"/>
      <c r="D6449" s="2" t="str">
        <f t="shared" si="99"/>
        <v>OK</v>
      </c>
      <c r="E6449" s="4" t="s">
        <v>1989</v>
      </c>
    </row>
    <row r="6450" spans="1:5" x14ac:dyDescent="0.2">
      <c r="A6450" s="126">
        <v>6389</v>
      </c>
      <c r="B6450" s="1832"/>
      <c r="D6450" s="2" t="str">
        <f t="shared" si="99"/>
        <v>OK</v>
      </c>
      <c r="E6450" s="4" t="s">
        <v>1989</v>
      </c>
    </row>
    <row r="6451" spans="1:5" x14ac:dyDescent="0.2">
      <c r="A6451" s="126">
        <v>6390</v>
      </c>
      <c r="B6451" s="1832"/>
      <c r="D6451" s="2" t="str">
        <f t="shared" si="99"/>
        <v>OK</v>
      </c>
      <c r="E6451" s="4" t="s">
        <v>1989</v>
      </c>
    </row>
    <row r="6452" spans="1:5" x14ac:dyDescent="0.2">
      <c r="A6452" s="126">
        <v>6391</v>
      </c>
      <c r="B6452" s="1832"/>
      <c r="D6452" s="2" t="str">
        <f t="shared" si="99"/>
        <v>OK</v>
      </c>
      <c r="E6452" s="4" t="s">
        <v>1989</v>
      </c>
    </row>
    <row r="6453" spans="1:5" x14ac:dyDescent="0.2">
      <c r="A6453" s="126">
        <v>6392</v>
      </c>
      <c r="B6453" s="1832"/>
      <c r="D6453" s="2" t="str">
        <f t="shared" si="99"/>
        <v>OK</v>
      </c>
      <c r="E6453" s="4" t="s">
        <v>1989</v>
      </c>
    </row>
    <row r="6454" spans="1:5" x14ac:dyDescent="0.2">
      <c r="A6454" s="126">
        <v>6393</v>
      </c>
      <c r="B6454" s="1832"/>
      <c r="D6454" s="2" t="str">
        <f t="shared" si="99"/>
        <v>OK</v>
      </c>
      <c r="E6454" s="4" t="s">
        <v>1989</v>
      </c>
    </row>
    <row r="6455" spans="1:5" x14ac:dyDescent="0.2">
      <c r="A6455" s="126">
        <v>6394</v>
      </c>
      <c r="B6455" s="1832"/>
      <c r="D6455" s="2" t="str">
        <f t="shared" si="99"/>
        <v>OK</v>
      </c>
      <c r="E6455" s="4" t="s">
        <v>1989</v>
      </c>
    </row>
    <row r="6456" spans="1:5" x14ac:dyDescent="0.2">
      <c r="A6456" s="126">
        <v>6395</v>
      </c>
      <c r="B6456" s="1832"/>
      <c r="D6456" s="2" t="str">
        <f t="shared" si="99"/>
        <v>OK</v>
      </c>
      <c r="E6456" s="4" t="s">
        <v>1989</v>
      </c>
    </row>
    <row r="6457" spans="1:5" x14ac:dyDescent="0.2">
      <c r="A6457" s="126">
        <v>6396</v>
      </c>
      <c r="B6457" s="1832"/>
      <c r="D6457" s="2" t="str">
        <f t="shared" si="99"/>
        <v>OK</v>
      </c>
      <c r="E6457" s="4" t="s">
        <v>1989</v>
      </c>
    </row>
    <row r="6458" spans="1:5" x14ac:dyDescent="0.2">
      <c r="A6458" s="126">
        <v>6397</v>
      </c>
      <c r="B6458" s="1832"/>
      <c r="D6458" s="2" t="str">
        <f t="shared" si="99"/>
        <v>OK</v>
      </c>
      <c r="E6458" s="4" t="s">
        <v>1989</v>
      </c>
    </row>
    <row r="6459" spans="1:5" x14ac:dyDescent="0.2">
      <c r="A6459" s="126">
        <v>6398</v>
      </c>
      <c r="B6459" s="1832"/>
      <c r="D6459" s="2" t="str">
        <f t="shared" si="99"/>
        <v>OK</v>
      </c>
      <c r="E6459" s="4" t="s">
        <v>1989</v>
      </c>
    </row>
    <row r="6460" spans="1:5" x14ac:dyDescent="0.2">
      <c r="A6460" s="126">
        <v>6399</v>
      </c>
      <c r="B6460" s="1832"/>
      <c r="D6460" s="2" t="str">
        <f t="shared" si="99"/>
        <v>OK</v>
      </c>
      <c r="E6460" s="4" t="s">
        <v>1989</v>
      </c>
    </row>
    <row r="6461" spans="1:5" x14ac:dyDescent="0.2">
      <c r="A6461" s="126">
        <v>6400</v>
      </c>
      <c r="B6461" s="1832"/>
      <c r="D6461" s="2" t="str">
        <f t="shared" si="99"/>
        <v>OK</v>
      </c>
      <c r="E6461" s="4" t="s">
        <v>1989</v>
      </c>
    </row>
    <row r="6462" spans="1:5" x14ac:dyDescent="0.2">
      <c r="A6462" s="126">
        <v>6401</v>
      </c>
      <c r="B6462" s="1832"/>
      <c r="D6462" s="2" t="str">
        <f t="shared" si="99"/>
        <v>OK</v>
      </c>
      <c r="E6462" s="4" t="s">
        <v>1989</v>
      </c>
    </row>
    <row r="6463" spans="1:5" x14ac:dyDescent="0.2">
      <c r="A6463" s="126">
        <v>6402</v>
      </c>
      <c r="B6463" s="1832"/>
      <c r="D6463" s="2" t="str">
        <f t="shared" ref="D6463:D6526" si="100">IF(ISBLANK(B6463),"OK",IF(A6463-B6463=0,"OK","Error?"))</f>
        <v>OK</v>
      </c>
      <c r="E6463" s="4" t="s">
        <v>1989</v>
      </c>
    </row>
    <row r="6464" spans="1:5" x14ac:dyDescent="0.2">
      <c r="A6464" s="126">
        <v>6403</v>
      </c>
      <c r="B6464" s="1832"/>
      <c r="D6464" s="2" t="str">
        <f t="shared" si="100"/>
        <v>OK</v>
      </c>
      <c r="E6464" s="4" t="s">
        <v>1989</v>
      </c>
    </row>
    <row r="6465" spans="1:5" x14ac:dyDescent="0.2">
      <c r="A6465" s="126">
        <v>6404</v>
      </c>
      <c r="B6465" s="1832"/>
      <c r="D6465" s="2" t="str">
        <f t="shared" si="100"/>
        <v>OK</v>
      </c>
      <c r="E6465" s="4" t="s">
        <v>1989</v>
      </c>
    </row>
    <row r="6466" spans="1:5" x14ac:dyDescent="0.2">
      <c r="A6466" s="126">
        <v>6405</v>
      </c>
      <c r="B6466" s="1832"/>
      <c r="D6466" s="2" t="str">
        <f t="shared" si="100"/>
        <v>OK</v>
      </c>
      <c r="E6466" s="4" t="s">
        <v>1989</v>
      </c>
    </row>
    <row r="6467" spans="1:5" x14ac:dyDescent="0.2">
      <c r="A6467" s="126">
        <v>6406</v>
      </c>
      <c r="B6467" s="1832"/>
      <c r="D6467" s="2" t="str">
        <f t="shared" si="100"/>
        <v>OK</v>
      </c>
      <c r="E6467" s="4" t="s">
        <v>1989</v>
      </c>
    </row>
    <row r="6468" spans="1:5" x14ac:dyDescent="0.2">
      <c r="A6468" s="126">
        <v>6407</v>
      </c>
      <c r="B6468" s="1832"/>
      <c r="D6468" s="2" t="str">
        <f t="shared" si="100"/>
        <v>OK</v>
      </c>
      <c r="E6468" s="4" t="s">
        <v>1989</v>
      </c>
    </row>
    <row r="6469" spans="1:5" x14ac:dyDescent="0.2">
      <c r="A6469" s="126">
        <v>6408</v>
      </c>
      <c r="B6469" s="1832"/>
      <c r="D6469" s="2" t="str">
        <f t="shared" si="100"/>
        <v>OK</v>
      </c>
      <c r="E6469" s="4" t="s">
        <v>1989</v>
      </c>
    </row>
    <row r="6470" spans="1:5" x14ac:dyDescent="0.2">
      <c r="A6470" s="126">
        <v>6409</v>
      </c>
      <c r="B6470" s="1832"/>
      <c r="D6470" s="2" t="str">
        <f t="shared" si="100"/>
        <v>OK</v>
      </c>
      <c r="E6470" s="4" t="s">
        <v>1989</v>
      </c>
    </row>
    <row r="6471" spans="1:5" x14ac:dyDescent="0.2">
      <c r="A6471" s="126">
        <v>6410</v>
      </c>
      <c r="B6471" s="1832"/>
      <c r="D6471" s="2" t="str">
        <f t="shared" si="100"/>
        <v>OK</v>
      </c>
      <c r="E6471" s="4" t="s">
        <v>1989</v>
      </c>
    </row>
    <row r="6472" spans="1:5" x14ac:dyDescent="0.2">
      <c r="A6472" s="126">
        <v>6411</v>
      </c>
      <c r="B6472" s="1832"/>
      <c r="D6472" s="2" t="str">
        <f t="shared" si="100"/>
        <v>OK</v>
      </c>
      <c r="E6472" s="4" t="s">
        <v>1989</v>
      </c>
    </row>
    <row r="6473" spans="1:5" x14ac:dyDescent="0.2">
      <c r="A6473" s="126">
        <v>6412</v>
      </c>
      <c r="B6473" s="1832"/>
      <c r="D6473" s="2" t="str">
        <f t="shared" si="100"/>
        <v>OK</v>
      </c>
      <c r="E6473" s="4" t="s">
        <v>1989</v>
      </c>
    </row>
    <row r="6474" spans="1:5" x14ac:dyDescent="0.2">
      <c r="A6474" s="126">
        <v>6413</v>
      </c>
      <c r="B6474" s="1832"/>
      <c r="D6474" s="2" t="str">
        <f t="shared" si="100"/>
        <v>OK</v>
      </c>
      <c r="E6474" s="4" t="s">
        <v>1989</v>
      </c>
    </row>
    <row r="6475" spans="1:5" x14ac:dyDescent="0.2">
      <c r="A6475" s="126">
        <v>6414</v>
      </c>
      <c r="B6475" s="1832"/>
      <c r="D6475" s="2" t="str">
        <f t="shared" si="100"/>
        <v>OK</v>
      </c>
      <c r="E6475" s="4" t="s">
        <v>1989</v>
      </c>
    </row>
    <row r="6476" spans="1:5" x14ac:dyDescent="0.2">
      <c r="A6476" s="126">
        <v>6415</v>
      </c>
      <c r="B6476" s="1832"/>
      <c r="D6476" s="2" t="str">
        <f t="shared" si="100"/>
        <v>OK</v>
      </c>
      <c r="E6476" s="4" t="s">
        <v>1989</v>
      </c>
    </row>
    <row r="6477" spans="1:5" x14ac:dyDescent="0.2">
      <c r="A6477" s="126">
        <v>6416</v>
      </c>
      <c r="B6477" s="1832"/>
      <c r="D6477" s="2" t="str">
        <f t="shared" si="100"/>
        <v>OK</v>
      </c>
      <c r="E6477" s="4" t="s">
        <v>1989</v>
      </c>
    </row>
    <row r="6478" spans="1:5" x14ac:dyDescent="0.2">
      <c r="A6478" s="126">
        <v>6417</v>
      </c>
      <c r="B6478" s="1832"/>
      <c r="D6478" s="2" t="str">
        <f t="shared" si="100"/>
        <v>OK</v>
      </c>
      <c r="E6478" s="4" t="s">
        <v>1989</v>
      </c>
    </row>
    <row r="6479" spans="1:5" x14ac:dyDescent="0.2">
      <c r="A6479" s="126">
        <v>6418</v>
      </c>
      <c r="B6479" s="1832"/>
      <c r="D6479" s="2" t="str">
        <f t="shared" si="100"/>
        <v>OK</v>
      </c>
      <c r="E6479" s="4" t="s">
        <v>1989</v>
      </c>
    </row>
    <row r="6480" spans="1:5" x14ac:dyDescent="0.2">
      <c r="A6480" s="126">
        <v>6419</v>
      </c>
      <c r="B6480" s="1832"/>
      <c r="D6480" s="2" t="str">
        <f t="shared" si="100"/>
        <v>OK</v>
      </c>
      <c r="E6480" s="4" t="s">
        <v>1989</v>
      </c>
    </row>
    <row r="6481" spans="1:5" x14ac:dyDescent="0.2">
      <c r="A6481" s="126">
        <v>6420</v>
      </c>
      <c r="B6481" s="1832"/>
      <c r="D6481" s="2" t="str">
        <f t="shared" si="100"/>
        <v>OK</v>
      </c>
      <c r="E6481" s="4" t="s">
        <v>1989</v>
      </c>
    </row>
    <row r="6482" spans="1:5" x14ac:dyDescent="0.2">
      <c r="A6482" s="126">
        <v>6421</v>
      </c>
      <c r="B6482" s="1832"/>
      <c r="D6482" s="2" t="str">
        <f t="shared" si="100"/>
        <v>OK</v>
      </c>
      <c r="E6482" s="4" t="s">
        <v>1989</v>
      </c>
    </row>
    <row r="6483" spans="1:5" x14ac:dyDescent="0.2">
      <c r="A6483" s="126">
        <v>6422</v>
      </c>
      <c r="B6483" s="1832"/>
      <c r="D6483" s="2" t="str">
        <f t="shared" si="100"/>
        <v>OK</v>
      </c>
      <c r="E6483" s="4" t="s">
        <v>1989</v>
      </c>
    </row>
    <row r="6484" spans="1:5" x14ac:dyDescent="0.2">
      <c r="A6484" s="126">
        <v>6423</v>
      </c>
      <c r="B6484" s="1832"/>
      <c r="D6484" s="2" t="str">
        <f t="shared" si="100"/>
        <v>OK</v>
      </c>
      <c r="E6484" s="4" t="s">
        <v>1989</v>
      </c>
    </row>
    <row r="6485" spans="1:5" x14ac:dyDescent="0.2">
      <c r="A6485" s="126">
        <v>6424</v>
      </c>
      <c r="B6485" s="1832"/>
      <c r="D6485" s="2" t="str">
        <f t="shared" si="100"/>
        <v>OK</v>
      </c>
      <c r="E6485" s="4" t="s">
        <v>1989</v>
      </c>
    </row>
    <row r="6486" spans="1:5" x14ac:dyDescent="0.2">
      <c r="A6486" s="126">
        <v>6425</v>
      </c>
      <c r="B6486" s="1832"/>
      <c r="D6486" s="2" t="str">
        <f t="shared" si="100"/>
        <v>OK</v>
      </c>
      <c r="E6486" s="4" t="s">
        <v>1989</v>
      </c>
    </row>
    <row r="6487" spans="1:5" x14ac:dyDescent="0.2">
      <c r="A6487" s="126">
        <v>6426</v>
      </c>
      <c r="B6487" s="1832"/>
      <c r="D6487" s="2" t="str">
        <f t="shared" si="100"/>
        <v>OK</v>
      </c>
      <c r="E6487" s="4" t="s">
        <v>1989</v>
      </c>
    </row>
    <row r="6488" spans="1:5" x14ac:dyDescent="0.2">
      <c r="A6488" s="126">
        <v>6427</v>
      </c>
      <c r="B6488" s="1832"/>
      <c r="D6488" s="2" t="str">
        <f t="shared" si="100"/>
        <v>OK</v>
      </c>
      <c r="E6488" s="4" t="s">
        <v>1989</v>
      </c>
    </row>
    <row r="6489" spans="1:5" x14ac:dyDescent="0.2">
      <c r="A6489" s="126">
        <v>6428</v>
      </c>
      <c r="B6489" s="1832"/>
      <c r="D6489" s="2" t="str">
        <f t="shared" si="100"/>
        <v>OK</v>
      </c>
      <c r="E6489" s="4" t="s">
        <v>1989</v>
      </c>
    </row>
    <row r="6490" spans="1:5" x14ac:dyDescent="0.2">
      <c r="A6490" s="126">
        <v>6429</v>
      </c>
      <c r="B6490" s="1832"/>
      <c r="D6490" s="2" t="str">
        <f t="shared" si="100"/>
        <v>OK</v>
      </c>
      <c r="E6490" s="4" t="s">
        <v>1989</v>
      </c>
    </row>
    <row r="6491" spans="1:5" x14ac:dyDescent="0.2">
      <c r="A6491" s="126">
        <v>6430</v>
      </c>
      <c r="B6491" s="1832"/>
      <c r="D6491" s="2" t="str">
        <f t="shared" si="100"/>
        <v>OK</v>
      </c>
      <c r="E6491" s="4" t="s">
        <v>1989</v>
      </c>
    </row>
    <row r="6492" spans="1:5" x14ac:dyDescent="0.2">
      <c r="A6492" s="126">
        <v>6431</v>
      </c>
      <c r="B6492" s="1832"/>
      <c r="D6492" s="2" t="str">
        <f t="shared" si="100"/>
        <v>OK</v>
      </c>
      <c r="E6492" s="4" t="s">
        <v>1989</v>
      </c>
    </row>
    <row r="6493" spans="1:5" x14ac:dyDescent="0.2">
      <c r="A6493" s="126">
        <v>6432</v>
      </c>
      <c r="B6493" s="1832"/>
      <c r="D6493" s="2" t="str">
        <f t="shared" si="100"/>
        <v>OK</v>
      </c>
      <c r="E6493" s="4" t="s">
        <v>1989</v>
      </c>
    </row>
    <row r="6494" spans="1:5" x14ac:dyDescent="0.2">
      <c r="A6494" s="126">
        <v>6433</v>
      </c>
      <c r="B6494" s="1832"/>
      <c r="D6494" s="2" t="str">
        <f t="shared" si="100"/>
        <v>OK</v>
      </c>
      <c r="E6494" s="4" t="s">
        <v>1989</v>
      </c>
    </row>
    <row r="6495" spans="1:5" x14ac:dyDescent="0.2">
      <c r="A6495" s="126">
        <v>6434</v>
      </c>
      <c r="B6495" s="1832"/>
      <c r="D6495" s="2" t="str">
        <f t="shared" si="100"/>
        <v>OK</v>
      </c>
      <c r="E6495" s="4" t="s">
        <v>1989</v>
      </c>
    </row>
    <row r="6496" spans="1:5" x14ac:dyDescent="0.2">
      <c r="A6496" s="126">
        <v>6435</v>
      </c>
      <c r="B6496" s="1832"/>
      <c r="D6496" s="2" t="str">
        <f t="shared" si="100"/>
        <v>OK</v>
      </c>
      <c r="E6496" s="4" t="s">
        <v>1989</v>
      </c>
    </row>
    <row r="6497" spans="1:5" x14ac:dyDescent="0.2">
      <c r="A6497" s="126">
        <v>6436</v>
      </c>
      <c r="B6497" s="1832"/>
      <c r="D6497" s="2" t="str">
        <f t="shared" si="100"/>
        <v>OK</v>
      </c>
      <c r="E6497" s="4" t="s">
        <v>1989</v>
      </c>
    </row>
    <row r="6498" spans="1:5" x14ac:dyDescent="0.2">
      <c r="A6498" s="126">
        <v>6437</v>
      </c>
      <c r="B6498" s="1832"/>
      <c r="D6498" s="2" t="str">
        <f t="shared" si="100"/>
        <v>OK</v>
      </c>
      <c r="E6498" s="4" t="s">
        <v>1989</v>
      </c>
    </row>
    <row r="6499" spans="1:5" x14ac:dyDescent="0.2">
      <c r="A6499" s="126">
        <v>6438</v>
      </c>
      <c r="B6499" s="1832"/>
      <c r="D6499" s="2" t="str">
        <f t="shared" si="100"/>
        <v>OK</v>
      </c>
      <c r="E6499" s="4" t="s">
        <v>1989</v>
      </c>
    </row>
    <row r="6500" spans="1:5" x14ac:dyDescent="0.2">
      <c r="A6500" s="126">
        <v>6439</v>
      </c>
      <c r="B6500" s="1832"/>
      <c r="D6500" s="2" t="str">
        <f t="shared" si="100"/>
        <v>OK</v>
      </c>
      <c r="E6500" s="4" t="s">
        <v>1989</v>
      </c>
    </row>
    <row r="6501" spans="1:5" x14ac:dyDescent="0.2">
      <c r="A6501" s="126">
        <v>6440</v>
      </c>
      <c r="B6501" s="1832"/>
      <c r="D6501" s="2" t="str">
        <f t="shared" si="100"/>
        <v>OK</v>
      </c>
      <c r="E6501" s="4" t="s">
        <v>1989</v>
      </c>
    </row>
    <row r="6502" spans="1:5" x14ac:dyDescent="0.2">
      <c r="A6502" s="126">
        <v>6441</v>
      </c>
      <c r="B6502" s="1832"/>
      <c r="D6502" s="2" t="str">
        <f t="shared" si="100"/>
        <v>OK</v>
      </c>
      <c r="E6502" s="4" t="s">
        <v>1989</v>
      </c>
    </row>
    <row r="6503" spans="1:5" x14ac:dyDescent="0.2">
      <c r="A6503" s="126">
        <v>6442</v>
      </c>
      <c r="B6503" s="1832"/>
      <c r="D6503" s="2" t="str">
        <f t="shared" si="100"/>
        <v>OK</v>
      </c>
      <c r="E6503" s="4" t="s">
        <v>1989</v>
      </c>
    </row>
    <row r="6504" spans="1:5" x14ac:dyDescent="0.2">
      <c r="A6504" s="126">
        <v>6443</v>
      </c>
      <c r="B6504" s="1832"/>
      <c r="D6504" s="2" t="str">
        <f t="shared" si="100"/>
        <v>OK</v>
      </c>
      <c r="E6504" s="4" t="s">
        <v>1989</v>
      </c>
    </row>
    <row r="6505" spans="1:5" x14ac:dyDescent="0.2">
      <c r="A6505" s="126">
        <v>6444</v>
      </c>
      <c r="B6505" s="1832"/>
      <c r="D6505" s="2" t="str">
        <f t="shared" si="100"/>
        <v>OK</v>
      </c>
      <c r="E6505" s="4" t="s">
        <v>1989</v>
      </c>
    </row>
    <row r="6506" spans="1:5" x14ac:dyDescent="0.2">
      <c r="A6506" s="126">
        <v>6445</v>
      </c>
      <c r="B6506" s="1832"/>
      <c r="D6506" s="2" t="str">
        <f t="shared" si="100"/>
        <v>OK</v>
      </c>
      <c r="E6506" s="4" t="s">
        <v>1989</v>
      </c>
    </row>
    <row r="6507" spans="1:5" x14ac:dyDescent="0.2">
      <c r="A6507" s="126">
        <v>6446</v>
      </c>
      <c r="B6507" s="1832"/>
      <c r="D6507" s="2" t="str">
        <f t="shared" si="100"/>
        <v>OK</v>
      </c>
      <c r="E6507" s="4" t="s">
        <v>1989</v>
      </c>
    </row>
    <row r="6508" spans="1:5" x14ac:dyDescent="0.2">
      <c r="A6508" s="126">
        <v>6447</v>
      </c>
      <c r="B6508" s="1832"/>
      <c r="D6508" s="2" t="str">
        <f t="shared" si="100"/>
        <v>OK</v>
      </c>
      <c r="E6508" s="4" t="s">
        <v>1989</v>
      </c>
    </row>
    <row r="6509" spans="1:5" x14ac:dyDescent="0.2">
      <c r="A6509" s="126">
        <v>6448</v>
      </c>
      <c r="B6509" s="1832"/>
      <c r="D6509" s="2" t="str">
        <f t="shared" si="100"/>
        <v>OK</v>
      </c>
      <c r="E6509" s="4" t="s">
        <v>1989</v>
      </c>
    </row>
    <row r="6510" spans="1:5" x14ac:dyDescent="0.2">
      <c r="A6510" s="126">
        <v>6449</v>
      </c>
      <c r="B6510" s="1832"/>
      <c r="D6510" s="2" t="str">
        <f t="shared" si="100"/>
        <v>OK</v>
      </c>
      <c r="E6510" s="4" t="s">
        <v>1989</v>
      </c>
    </row>
    <row r="6511" spans="1:5" x14ac:dyDescent="0.2">
      <c r="A6511" s="126">
        <v>6450</v>
      </c>
      <c r="B6511" s="1832"/>
      <c r="D6511" s="2" t="str">
        <f t="shared" si="100"/>
        <v>OK</v>
      </c>
      <c r="E6511" s="4" t="s">
        <v>1989</v>
      </c>
    </row>
    <row r="6512" spans="1:5" x14ac:dyDescent="0.2">
      <c r="A6512" s="126">
        <v>6451</v>
      </c>
      <c r="B6512" s="1832"/>
      <c r="D6512" s="2" t="str">
        <f t="shared" si="100"/>
        <v>OK</v>
      </c>
      <c r="E6512" s="4" t="s">
        <v>1989</v>
      </c>
    </row>
    <row r="6513" spans="1:5" x14ac:dyDescent="0.2">
      <c r="A6513" s="126">
        <v>6452</v>
      </c>
      <c r="B6513" s="1832"/>
      <c r="D6513" s="2" t="str">
        <f t="shared" si="100"/>
        <v>OK</v>
      </c>
      <c r="E6513" s="4" t="s">
        <v>1989</v>
      </c>
    </row>
    <row r="6514" spans="1:5" x14ac:dyDescent="0.2">
      <c r="A6514" s="126">
        <v>6453</v>
      </c>
      <c r="B6514" s="1832"/>
      <c r="D6514" s="2" t="str">
        <f t="shared" si="100"/>
        <v>OK</v>
      </c>
      <c r="E6514" s="4" t="s">
        <v>1989</v>
      </c>
    </row>
    <row r="6515" spans="1:5" x14ac:dyDescent="0.2">
      <c r="A6515" s="126">
        <v>6454</v>
      </c>
      <c r="B6515" s="1832"/>
      <c r="D6515" s="2" t="str">
        <f t="shared" si="100"/>
        <v>OK</v>
      </c>
      <c r="E6515" s="4" t="s">
        <v>1989</v>
      </c>
    </row>
    <row r="6516" spans="1:5" x14ac:dyDescent="0.2">
      <c r="A6516" s="126">
        <v>6455</v>
      </c>
      <c r="B6516" s="1832"/>
      <c r="D6516" s="2" t="str">
        <f t="shared" si="100"/>
        <v>OK</v>
      </c>
      <c r="E6516" s="4" t="s">
        <v>1989</v>
      </c>
    </row>
    <row r="6517" spans="1:5" x14ac:dyDescent="0.2">
      <c r="A6517" s="126">
        <v>6456</v>
      </c>
      <c r="B6517" s="1832"/>
      <c r="D6517" s="2" t="str">
        <f t="shared" si="100"/>
        <v>OK</v>
      </c>
      <c r="E6517" s="4" t="s">
        <v>1989</v>
      </c>
    </row>
    <row r="6518" spans="1:5" x14ac:dyDescent="0.2">
      <c r="A6518" s="126">
        <v>6457</v>
      </c>
      <c r="B6518" s="1832"/>
      <c r="D6518" s="2" t="str">
        <f t="shared" si="100"/>
        <v>OK</v>
      </c>
      <c r="E6518" s="4" t="s">
        <v>1989</v>
      </c>
    </row>
    <row r="6519" spans="1:5" x14ac:dyDescent="0.2">
      <c r="A6519" s="126">
        <v>6458</v>
      </c>
      <c r="B6519" s="1832"/>
      <c r="D6519" s="2" t="str">
        <f t="shared" si="100"/>
        <v>OK</v>
      </c>
      <c r="E6519" s="4" t="s">
        <v>1989</v>
      </c>
    </row>
    <row r="6520" spans="1:5" x14ac:dyDescent="0.2">
      <c r="A6520" s="126">
        <v>6459</v>
      </c>
      <c r="B6520" s="1832"/>
      <c r="D6520" s="2" t="str">
        <f t="shared" si="100"/>
        <v>OK</v>
      </c>
      <c r="E6520" s="4" t="s">
        <v>1989</v>
      </c>
    </row>
    <row r="6521" spans="1:5" x14ac:dyDescent="0.2">
      <c r="A6521" s="126">
        <v>6460</v>
      </c>
      <c r="B6521" s="1832"/>
      <c r="D6521" s="2" t="str">
        <f t="shared" si="100"/>
        <v>OK</v>
      </c>
      <c r="E6521" s="4" t="s">
        <v>1989</v>
      </c>
    </row>
    <row r="6522" spans="1:5" x14ac:dyDescent="0.2">
      <c r="A6522" s="126">
        <v>6461</v>
      </c>
      <c r="B6522" s="1832"/>
      <c r="D6522" s="2" t="str">
        <f t="shared" si="100"/>
        <v>OK</v>
      </c>
      <c r="E6522" s="4" t="s">
        <v>1989</v>
      </c>
    </row>
    <row r="6523" spans="1:5" x14ac:dyDescent="0.2">
      <c r="A6523" s="126">
        <v>6462</v>
      </c>
      <c r="B6523" s="1832"/>
      <c r="D6523" s="2" t="str">
        <f t="shared" si="100"/>
        <v>OK</v>
      </c>
      <c r="E6523" s="4" t="s">
        <v>1989</v>
      </c>
    </row>
    <row r="6524" spans="1:5" x14ac:dyDescent="0.2">
      <c r="A6524" s="126">
        <v>6463</v>
      </c>
      <c r="B6524" s="1832"/>
      <c r="D6524" s="2" t="str">
        <f t="shared" si="100"/>
        <v>OK</v>
      </c>
      <c r="E6524" s="4" t="s">
        <v>1989</v>
      </c>
    </row>
    <row r="6525" spans="1:5" x14ac:dyDescent="0.2">
      <c r="A6525" s="126">
        <v>6464</v>
      </c>
      <c r="B6525" s="1832"/>
      <c r="D6525" s="2" t="str">
        <f t="shared" si="100"/>
        <v>OK</v>
      </c>
      <c r="E6525" s="4" t="s">
        <v>1989</v>
      </c>
    </row>
    <row r="6526" spans="1:5" x14ac:dyDescent="0.2">
      <c r="A6526" s="126">
        <v>6465</v>
      </c>
      <c r="B6526" s="1832"/>
      <c r="D6526" s="2" t="str">
        <f t="shared" si="100"/>
        <v>OK</v>
      </c>
      <c r="E6526" s="4" t="s">
        <v>1989</v>
      </c>
    </row>
    <row r="6527" spans="1:5" x14ac:dyDescent="0.2">
      <c r="A6527" s="126">
        <v>6466</v>
      </c>
      <c r="B6527" s="1832"/>
      <c r="D6527" s="2" t="str">
        <f t="shared" ref="D6527:D6590" si="101">IF(ISBLANK(B6527),"OK",IF(A6527-B6527=0,"OK","Error?"))</f>
        <v>OK</v>
      </c>
      <c r="E6527" s="4" t="s">
        <v>1989</v>
      </c>
    </row>
    <row r="6528" spans="1:5" x14ac:dyDescent="0.2">
      <c r="A6528" s="126">
        <v>6467</v>
      </c>
      <c r="B6528" s="1832"/>
      <c r="D6528" s="2" t="str">
        <f t="shared" si="101"/>
        <v>OK</v>
      </c>
      <c r="E6528" s="4" t="s">
        <v>1989</v>
      </c>
    </row>
    <row r="6529" spans="1:5" x14ac:dyDescent="0.2">
      <c r="A6529" s="126">
        <v>6468</v>
      </c>
      <c r="B6529" s="1832"/>
      <c r="D6529" s="2" t="str">
        <f t="shared" si="101"/>
        <v>OK</v>
      </c>
      <c r="E6529" s="4" t="s">
        <v>1989</v>
      </c>
    </row>
    <row r="6530" spans="1:5" x14ac:dyDescent="0.2">
      <c r="A6530" s="126">
        <v>6469</v>
      </c>
      <c r="B6530" s="1832"/>
      <c r="D6530" s="2" t="str">
        <f t="shared" si="101"/>
        <v>OK</v>
      </c>
      <c r="E6530" s="4" t="s">
        <v>1989</v>
      </c>
    </row>
    <row r="6531" spans="1:5" x14ac:dyDescent="0.2">
      <c r="A6531" s="126">
        <v>6470</v>
      </c>
      <c r="B6531" s="1832"/>
      <c r="D6531" s="2" t="str">
        <f t="shared" si="101"/>
        <v>OK</v>
      </c>
      <c r="E6531" s="4" t="s">
        <v>1989</v>
      </c>
    </row>
    <row r="6532" spans="1:5" x14ac:dyDescent="0.2">
      <c r="A6532" s="126">
        <v>6471</v>
      </c>
      <c r="B6532" s="1832"/>
      <c r="D6532" s="2" t="str">
        <f t="shared" si="101"/>
        <v>OK</v>
      </c>
      <c r="E6532" s="4" t="s">
        <v>1989</v>
      </c>
    </row>
    <row r="6533" spans="1:5" x14ac:dyDescent="0.2">
      <c r="A6533" s="126">
        <v>6472</v>
      </c>
      <c r="B6533" s="1832"/>
      <c r="D6533" s="2" t="str">
        <f t="shared" si="101"/>
        <v>OK</v>
      </c>
      <c r="E6533" s="4" t="s">
        <v>1989</v>
      </c>
    </row>
    <row r="6534" spans="1:5" x14ac:dyDescent="0.2">
      <c r="A6534" s="126">
        <v>6473</v>
      </c>
      <c r="B6534" s="1832"/>
      <c r="D6534" s="2" t="str">
        <f t="shared" si="101"/>
        <v>OK</v>
      </c>
      <c r="E6534" s="4" t="s">
        <v>1989</v>
      </c>
    </row>
    <row r="6535" spans="1:5" x14ac:dyDescent="0.2">
      <c r="A6535" s="126">
        <v>6474</v>
      </c>
      <c r="B6535" s="1832"/>
      <c r="D6535" s="2" t="str">
        <f t="shared" si="101"/>
        <v>OK</v>
      </c>
      <c r="E6535" s="4" t="s">
        <v>1989</v>
      </c>
    </row>
    <row r="6536" spans="1:5" x14ac:dyDescent="0.2">
      <c r="A6536" s="126">
        <v>6475</v>
      </c>
      <c r="B6536" s="1832"/>
      <c r="D6536" s="2" t="str">
        <f t="shared" si="101"/>
        <v>OK</v>
      </c>
      <c r="E6536" s="4" t="s">
        <v>1989</v>
      </c>
    </row>
    <row r="6537" spans="1:5" x14ac:dyDescent="0.2">
      <c r="A6537" s="126">
        <v>6476</v>
      </c>
      <c r="B6537" s="1832"/>
      <c r="D6537" s="2" t="str">
        <f t="shared" si="101"/>
        <v>OK</v>
      </c>
      <c r="E6537" s="4" t="s">
        <v>1989</v>
      </c>
    </row>
    <row r="6538" spans="1:5" x14ac:dyDescent="0.2">
      <c r="A6538" s="126">
        <v>6477</v>
      </c>
      <c r="B6538" s="1832"/>
      <c r="D6538" s="2" t="str">
        <f t="shared" si="101"/>
        <v>OK</v>
      </c>
      <c r="E6538" s="4" t="s">
        <v>1989</v>
      </c>
    </row>
    <row r="6539" spans="1:5" x14ac:dyDescent="0.2">
      <c r="A6539" s="126">
        <v>6478</v>
      </c>
      <c r="B6539" s="1832"/>
      <c r="D6539" s="2" t="str">
        <f t="shared" si="101"/>
        <v>OK</v>
      </c>
      <c r="E6539" s="4" t="s">
        <v>1989</v>
      </c>
    </row>
    <row r="6540" spans="1:5" x14ac:dyDescent="0.2">
      <c r="A6540" s="126">
        <v>6479</v>
      </c>
      <c r="B6540" s="1832"/>
      <c r="D6540" s="2" t="str">
        <f t="shared" si="101"/>
        <v>OK</v>
      </c>
      <c r="E6540" s="4" t="s">
        <v>1989</v>
      </c>
    </row>
    <row r="6541" spans="1:5" x14ac:dyDescent="0.2">
      <c r="A6541" s="126">
        <v>6480</v>
      </c>
      <c r="B6541" s="1832"/>
      <c r="D6541" s="2" t="str">
        <f t="shared" si="101"/>
        <v>OK</v>
      </c>
      <c r="E6541" s="4" t="s">
        <v>1989</v>
      </c>
    </row>
    <row r="6542" spans="1:5" x14ac:dyDescent="0.2">
      <c r="A6542" s="126">
        <v>6481</v>
      </c>
      <c r="B6542" s="1832"/>
      <c r="D6542" s="2" t="str">
        <f t="shared" si="101"/>
        <v>OK</v>
      </c>
      <c r="E6542" s="4" t="s">
        <v>1989</v>
      </c>
    </row>
    <row r="6543" spans="1:5" x14ac:dyDescent="0.2">
      <c r="A6543" s="126">
        <v>6482</v>
      </c>
      <c r="B6543" s="1832"/>
      <c r="D6543" s="2" t="str">
        <f t="shared" si="101"/>
        <v>OK</v>
      </c>
      <c r="E6543" s="4" t="s">
        <v>1989</v>
      </c>
    </row>
    <row r="6544" spans="1:5" x14ac:dyDescent="0.2">
      <c r="A6544" s="126">
        <v>6483</v>
      </c>
      <c r="B6544" s="1832"/>
      <c r="D6544" s="2" t="str">
        <f t="shared" si="101"/>
        <v>OK</v>
      </c>
      <c r="E6544" s="4" t="s">
        <v>1989</v>
      </c>
    </row>
    <row r="6545" spans="1:5" x14ac:dyDescent="0.2">
      <c r="A6545" s="126">
        <v>6484</v>
      </c>
      <c r="B6545" s="1832"/>
      <c r="D6545" s="2" t="str">
        <f t="shared" si="101"/>
        <v>OK</v>
      </c>
      <c r="E6545" s="4" t="s">
        <v>1989</v>
      </c>
    </row>
    <row r="6546" spans="1:5" x14ac:dyDescent="0.2">
      <c r="A6546" s="126">
        <v>6485</v>
      </c>
      <c r="B6546" s="1832"/>
      <c r="D6546" s="2" t="str">
        <f t="shared" si="101"/>
        <v>OK</v>
      </c>
      <c r="E6546" s="4" t="s">
        <v>1989</v>
      </c>
    </row>
    <row r="6547" spans="1:5" x14ac:dyDescent="0.2">
      <c r="A6547" s="126">
        <v>6486</v>
      </c>
      <c r="B6547" s="1832"/>
      <c r="D6547" s="2" t="str">
        <f t="shared" si="101"/>
        <v>OK</v>
      </c>
      <c r="E6547" s="4" t="s">
        <v>1989</v>
      </c>
    </row>
    <row r="6548" spans="1:5" x14ac:dyDescent="0.2">
      <c r="A6548" s="126">
        <v>6487</v>
      </c>
      <c r="B6548" s="1832"/>
      <c r="D6548" s="2" t="str">
        <f t="shared" si="101"/>
        <v>OK</v>
      </c>
      <c r="E6548" s="4" t="s">
        <v>1989</v>
      </c>
    </row>
    <row r="6549" spans="1:5" x14ac:dyDescent="0.2">
      <c r="A6549" s="126">
        <v>6488</v>
      </c>
      <c r="B6549" s="1832"/>
      <c r="D6549" s="2" t="str">
        <f t="shared" si="101"/>
        <v>OK</v>
      </c>
      <c r="E6549" s="4" t="s">
        <v>1989</v>
      </c>
    </row>
    <row r="6550" spans="1:5" x14ac:dyDescent="0.2">
      <c r="A6550" s="126">
        <v>6489</v>
      </c>
      <c r="B6550" s="1832"/>
      <c r="D6550" s="2" t="str">
        <f t="shared" si="101"/>
        <v>OK</v>
      </c>
      <c r="E6550" s="4" t="s">
        <v>1989</v>
      </c>
    </row>
    <row r="6551" spans="1:5" x14ac:dyDescent="0.2">
      <c r="A6551" s="126">
        <v>6490</v>
      </c>
      <c r="B6551" s="1832"/>
      <c r="D6551" s="2" t="str">
        <f t="shared" si="101"/>
        <v>OK</v>
      </c>
      <c r="E6551" s="4" t="s">
        <v>1989</v>
      </c>
    </row>
    <row r="6552" spans="1:5" x14ac:dyDescent="0.2">
      <c r="A6552" s="126">
        <v>6491</v>
      </c>
      <c r="B6552" s="1832"/>
      <c r="D6552" s="2" t="str">
        <f t="shared" si="101"/>
        <v>OK</v>
      </c>
      <c r="E6552" s="4" t="s">
        <v>1989</v>
      </c>
    </row>
    <row r="6553" spans="1:5" x14ac:dyDescent="0.2">
      <c r="A6553" s="126">
        <v>6492</v>
      </c>
      <c r="B6553" s="1832"/>
      <c r="D6553" s="2" t="str">
        <f t="shared" si="101"/>
        <v>OK</v>
      </c>
      <c r="E6553" s="4" t="s">
        <v>1989</v>
      </c>
    </row>
    <row r="6554" spans="1:5" x14ac:dyDescent="0.2">
      <c r="A6554" s="126">
        <v>6493</v>
      </c>
      <c r="B6554" s="1832"/>
      <c r="D6554" s="2" t="str">
        <f t="shared" si="101"/>
        <v>OK</v>
      </c>
      <c r="E6554" s="4" t="s">
        <v>1989</v>
      </c>
    </row>
    <row r="6555" spans="1:5" x14ac:dyDescent="0.2">
      <c r="A6555" s="126">
        <v>6494</v>
      </c>
      <c r="B6555" s="1832"/>
      <c r="D6555" s="2" t="str">
        <f t="shared" si="101"/>
        <v>OK</v>
      </c>
      <c r="E6555" s="4" t="s">
        <v>1989</v>
      </c>
    </row>
    <row r="6556" spans="1:5" x14ac:dyDescent="0.2">
      <c r="A6556" s="126">
        <v>6495</v>
      </c>
      <c r="B6556" s="1832"/>
      <c r="D6556" s="2" t="str">
        <f t="shared" si="101"/>
        <v>OK</v>
      </c>
      <c r="E6556" s="4" t="s">
        <v>1989</v>
      </c>
    </row>
    <row r="6557" spans="1:5" x14ac:dyDescent="0.2">
      <c r="A6557" s="126">
        <v>6496</v>
      </c>
      <c r="B6557" s="1832"/>
      <c r="D6557" s="2" t="str">
        <f t="shared" si="101"/>
        <v>OK</v>
      </c>
      <c r="E6557" s="4" t="s">
        <v>1989</v>
      </c>
    </row>
    <row r="6558" spans="1:5" x14ac:dyDescent="0.2">
      <c r="A6558" s="126">
        <v>6497</v>
      </c>
      <c r="B6558" s="1832"/>
      <c r="D6558" s="2" t="str">
        <f t="shared" si="101"/>
        <v>OK</v>
      </c>
      <c r="E6558" s="4" t="s">
        <v>1989</v>
      </c>
    </row>
    <row r="6559" spans="1:5" x14ac:dyDescent="0.2">
      <c r="A6559" s="126">
        <v>6498</v>
      </c>
      <c r="B6559" s="1832"/>
      <c r="D6559" s="2" t="str">
        <f t="shared" si="101"/>
        <v>OK</v>
      </c>
      <c r="E6559" s="4" t="s">
        <v>1989</v>
      </c>
    </row>
    <row r="6560" spans="1:5" x14ac:dyDescent="0.2">
      <c r="A6560" s="126">
        <v>6499</v>
      </c>
      <c r="B6560" s="1832"/>
      <c r="D6560" s="2" t="str">
        <f t="shared" si="101"/>
        <v>OK</v>
      </c>
      <c r="E6560" s="4" t="s">
        <v>1989</v>
      </c>
    </row>
    <row r="6561" spans="1:5" x14ac:dyDescent="0.2">
      <c r="A6561" s="126">
        <v>6500</v>
      </c>
      <c r="B6561" s="1832"/>
      <c r="D6561" s="2" t="str">
        <f t="shared" si="101"/>
        <v>OK</v>
      </c>
      <c r="E6561" s="4" t="s">
        <v>1989</v>
      </c>
    </row>
    <row r="6562" spans="1:5" x14ac:dyDescent="0.2">
      <c r="A6562" s="126">
        <v>6501</v>
      </c>
      <c r="B6562" s="1832"/>
      <c r="D6562" s="2" t="str">
        <f t="shared" si="101"/>
        <v>OK</v>
      </c>
      <c r="E6562" s="4" t="s">
        <v>1989</v>
      </c>
    </row>
    <row r="6563" spans="1:5" x14ac:dyDescent="0.2">
      <c r="A6563" s="126">
        <v>6502</v>
      </c>
      <c r="B6563" s="1832"/>
      <c r="D6563" s="2" t="str">
        <f t="shared" si="101"/>
        <v>OK</v>
      </c>
      <c r="E6563" s="4" t="s">
        <v>1989</v>
      </c>
    </row>
    <row r="6564" spans="1:5" x14ac:dyDescent="0.2">
      <c r="A6564" s="126">
        <v>6503</v>
      </c>
      <c r="B6564" s="1832"/>
      <c r="D6564" s="2" t="str">
        <f t="shared" si="101"/>
        <v>OK</v>
      </c>
      <c r="E6564" s="4" t="s">
        <v>1989</v>
      </c>
    </row>
    <row r="6565" spans="1:5" x14ac:dyDescent="0.2">
      <c r="A6565" s="126">
        <v>6504</v>
      </c>
      <c r="B6565" s="1832"/>
      <c r="D6565" s="2" t="str">
        <f t="shared" si="101"/>
        <v>OK</v>
      </c>
      <c r="E6565" s="4" t="s">
        <v>1989</v>
      </c>
    </row>
    <row r="6566" spans="1:5" x14ac:dyDescent="0.2">
      <c r="A6566" s="126">
        <v>6505</v>
      </c>
      <c r="B6566" s="1832"/>
      <c r="D6566" s="2" t="str">
        <f t="shared" si="101"/>
        <v>OK</v>
      </c>
      <c r="E6566" s="4" t="s">
        <v>1989</v>
      </c>
    </row>
    <row r="6567" spans="1:5" x14ac:dyDescent="0.2">
      <c r="A6567" s="126">
        <v>6506</v>
      </c>
      <c r="B6567" s="1832"/>
      <c r="D6567" s="2" t="str">
        <f t="shared" si="101"/>
        <v>OK</v>
      </c>
      <c r="E6567" s="4" t="s">
        <v>1989</v>
      </c>
    </row>
    <row r="6568" spans="1:5" x14ac:dyDescent="0.2">
      <c r="A6568" s="126">
        <v>6507</v>
      </c>
      <c r="B6568" s="1832"/>
      <c r="D6568" s="2" t="str">
        <f t="shared" si="101"/>
        <v>OK</v>
      </c>
      <c r="E6568" s="4" t="s">
        <v>1989</v>
      </c>
    </row>
    <row r="6569" spans="1:5" x14ac:dyDescent="0.2">
      <c r="A6569" s="126">
        <v>6508</v>
      </c>
      <c r="B6569" s="1832"/>
      <c r="D6569" s="2" t="str">
        <f t="shared" si="101"/>
        <v>OK</v>
      </c>
      <c r="E6569" s="4" t="s">
        <v>1989</v>
      </c>
    </row>
    <row r="6570" spans="1:5" x14ac:dyDescent="0.2">
      <c r="A6570" s="126">
        <v>6509</v>
      </c>
      <c r="B6570" s="1832"/>
      <c r="D6570" s="2" t="str">
        <f t="shared" si="101"/>
        <v>OK</v>
      </c>
      <c r="E6570" s="4" t="s">
        <v>1989</v>
      </c>
    </row>
    <row r="6571" spans="1:5" x14ac:dyDescent="0.2">
      <c r="A6571" s="126">
        <v>6510</v>
      </c>
      <c r="B6571" s="1832"/>
      <c r="D6571" s="2" t="str">
        <f t="shared" si="101"/>
        <v>OK</v>
      </c>
      <c r="E6571" s="4" t="s">
        <v>1989</v>
      </c>
    </row>
    <row r="6572" spans="1:5" x14ac:dyDescent="0.2">
      <c r="A6572" s="126">
        <v>6511</v>
      </c>
      <c r="B6572" s="1832"/>
      <c r="D6572" s="2" t="str">
        <f t="shared" si="101"/>
        <v>OK</v>
      </c>
      <c r="E6572" s="4" t="s">
        <v>1989</v>
      </c>
    </row>
    <row r="6573" spans="1:5" x14ac:dyDescent="0.2">
      <c r="A6573" s="126">
        <v>6512</v>
      </c>
      <c r="B6573" s="1832"/>
      <c r="D6573" s="2" t="str">
        <f t="shared" si="101"/>
        <v>OK</v>
      </c>
      <c r="E6573" s="4" t="s">
        <v>1989</v>
      </c>
    </row>
    <row r="6574" spans="1:5" x14ac:dyDescent="0.2">
      <c r="A6574" s="126">
        <v>6513</v>
      </c>
      <c r="B6574" s="1832"/>
      <c r="D6574" s="2" t="str">
        <f t="shared" si="101"/>
        <v>OK</v>
      </c>
      <c r="E6574" s="4" t="s">
        <v>1989</v>
      </c>
    </row>
    <row r="6575" spans="1:5" x14ac:dyDescent="0.2">
      <c r="A6575" s="126">
        <v>6514</v>
      </c>
      <c r="B6575" s="1832"/>
      <c r="D6575" s="2" t="str">
        <f t="shared" si="101"/>
        <v>OK</v>
      </c>
      <c r="E6575" s="4" t="s">
        <v>1989</v>
      </c>
    </row>
    <row r="6576" spans="1:5" x14ac:dyDescent="0.2">
      <c r="A6576" s="126">
        <v>6515</v>
      </c>
      <c r="B6576" s="1832"/>
      <c r="D6576" s="2" t="str">
        <f t="shared" si="101"/>
        <v>OK</v>
      </c>
      <c r="E6576" s="4" t="s">
        <v>1989</v>
      </c>
    </row>
    <row r="6577" spans="1:5" x14ac:dyDescent="0.2">
      <c r="A6577" s="126">
        <v>6516</v>
      </c>
      <c r="B6577" s="1832"/>
      <c r="D6577" s="2" t="str">
        <f t="shared" si="101"/>
        <v>OK</v>
      </c>
      <c r="E6577" s="4" t="s">
        <v>1989</v>
      </c>
    </row>
    <row r="6578" spans="1:5" x14ac:dyDescent="0.2">
      <c r="A6578" s="126">
        <v>6517</v>
      </c>
      <c r="B6578" s="1832"/>
      <c r="D6578" s="2" t="str">
        <f t="shared" si="101"/>
        <v>OK</v>
      </c>
      <c r="E6578" s="4" t="s">
        <v>1989</v>
      </c>
    </row>
    <row r="6579" spans="1:5" x14ac:dyDescent="0.2">
      <c r="A6579" s="126">
        <v>6518</v>
      </c>
      <c r="B6579" s="1832"/>
      <c r="D6579" s="2" t="str">
        <f t="shared" si="101"/>
        <v>OK</v>
      </c>
      <c r="E6579" s="4" t="s">
        <v>1989</v>
      </c>
    </row>
    <row r="6580" spans="1:5" x14ac:dyDescent="0.2">
      <c r="A6580" s="126">
        <v>6519</v>
      </c>
      <c r="B6580" s="1832"/>
      <c r="D6580" s="2" t="str">
        <f t="shared" si="101"/>
        <v>OK</v>
      </c>
      <c r="E6580" s="4" t="s">
        <v>1989</v>
      </c>
    </row>
    <row r="6581" spans="1:5" x14ac:dyDescent="0.2">
      <c r="A6581" s="126">
        <v>6520</v>
      </c>
      <c r="B6581" s="1832"/>
      <c r="D6581" s="2" t="str">
        <f t="shared" si="101"/>
        <v>OK</v>
      </c>
      <c r="E6581" s="4" t="s">
        <v>1989</v>
      </c>
    </row>
    <row r="6582" spans="1:5" x14ac:dyDescent="0.2">
      <c r="A6582" s="126">
        <v>6521</v>
      </c>
      <c r="B6582" s="1832"/>
      <c r="D6582" s="2" t="str">
        <f t="shared" si="101"/>
        <v>OK</v>
      </c>
      <c r="E6582" s="4" t="s">
        <v>1989</v>
      </c>
    </row>
    <row r="6583" spans="1:5" x14ac:dyDescent="0.2">
      <c r="A6583" s="126">
        <v>6522</v>
      </c>
      <c r="B6583" s="1832"/>
      <c r="D6583" s="2" t="str">
        <f t="shared" si="101"/>
        <v>OK</v>
      </c>
      <c r="E6583" s="4" t="s">
        <v>1989</v>
      </c>
    </row>
    <row r="6584" spans="1:5" x14ac:dyDescent="0.2">
      <c r="A6584" s="126">
        <v>6523</v>
      </c>
      <c r="B6584" s="1832"/>
      <c r="D6584" s="2" t="str">
        <f t="shared" si="101"/>
        <v>OK</v>
      </c>
      <c r="E6584" s="4" t="s">
        <v>1989</v>
      </c>
    </row>
    <row r="6585" spans="1:5" x14ac:dyDescent="0.2">
      <c r="A6585" s="126">
        <v>6524</v>
      </c>
      <c r="B6585" s="1832"/>
      <c r="D6585" s="2" t="str">
        <f t="shared" si="101"/>
        <v>OK</v>
      </c>
      <c r="E6585" s="4" t="s">
        <v>1989</v>
      </c>
    </row>
    <row r="6586" spans="1:5" x14ac:dyDescent="0.2">
      <c r="A6586" s="126">
        <v>6525</v>
      </c>
      <c r="B6586" s="1832"/>
      <c r="D6586" s="2" t="str">
        <f t="shared" si="101"/>
        <v>OK</v>
      </c>
      <c r="E6586" s="4" t="s">
        <v>1989</v>
      </c>
    </row>
    <row r="6587" spans="1:5" x14ac:dyDescent="0.2">
      <c r="A6587" s="126">
        <v>6526</v>
      </c>
      <c r="B6587" s="1832"/>
      <c r="D6587" s="2" t="str">
        <f t="shared" si="101"/>
        <v>OK</v>
      </c>
      <c r="E6587" s="4" t="s">
        <v>1989</v>
      </c>
    </row>
    <row r="6588" spans="1:5" x14ac:dyDescent="0.2">
      <c r="A6588" s="126">
        <v>6527</v>
      </c>
      <c r="B6588" s="1832"/>
      <c r="D6588" s="2" t="str">
        <f t="shared" si="101"/>
        <v>OK</v>
      </c>
      <c r="E6588" s="4" t="s">
        <v>1989</v>
      </c>
    </row>
    <row r="6589" spans="1:5" x14ac:dyDescent="0.2">
      <c r="A6589" s="126">
        <v>6528</v>
      </c>
      <c r="B6589" s="1832"/>
      <c r="D6589" s="2" t="str">
        <f t="shared" si="101"/>
        <v>OK</v>
      </c>
      <c r="E6589" s="4" t="s">
        <v>1989</v>
      </c>
    </row>
    <row r="6590" spans="1:5" x14ac:dyDescent="0.2">
      <c r="A6590" s="126">
        <v>6529</v>
      </c>
      <c r="B6590" s="1832"/>
      <c r="D6590" s="2" t="str">
        <f t="shared" si="101"/>
        <v>OK</v>
      </c>
      <c r="E6590" s="4" t="s">
        <v>1989</v>
      </c>
    </row>
    <row r="6591" spans="1:5" x14ac:dyDescent="0.2">
      <c r="A6591" s="126">
        <v>6530</v>
      </c>
      <c r="B6591" s="1832"/>
      <c r="D6591" s="2" t="str">
        <f t="shared" ref="D6591:D6654" si="102">IF(ISBLANK(B6591),"OK",IF(A6591-B6591=0,"OK","Error?"))</f>
        <v>OK</v>
      </c>
      <c r="E6591" s="4" t="s">
        <v>1989</v>
      </c>
    </row>
    <row r="6592" spans="1:5" x14ac:dyDescent="0.2">
      <c r="A6592" s="126">
        <v>6531</v>
      </c>
      <c r="B6592" s="1832"/>
      <c r="D6592" s="2" t="str">
        <f t="shared" si="102"/>
        <v>OK</v>
      </c>
      <c r="E6592" s="4" t="s">
        <v>1989</v>
      </c>
    </row>
    <row r="6593" spans="1:5" x14ac:dyDescent="0.2">
      <c r="A6593" s="126">
        <v>6532</v>
      </c>
      <c r="B6593" s="1832"/>
      <c r="D6593" s="2" t="str">
        <f t="shared" si="102"/>
        <v>OK</v>
      </c>
      <c r="E6593" s="4" t="s">
        <v>1989</v>
      </c>
    </row>
    <row r="6594" spans="1:5" x14ac:dyDescent="0.2">
      <c r="A6594" s="126">
        <v>6533</v>
      </c>
      <c r="B6594" s="1832"/>
      <c r="D6594" s="2" t="str">
        <f t="shared" si="102"/>
        <v>OK</v>
      </c>
      <c r="E6594" s="4" t="s">
        <v>1989</v>
      </c>
    </row>
    <row r="6595" spans="1:5" x14ac:dyDescent="0.2">
      <c r="A6595" s="126">
        <v>6534</v>
      </c>
      <c r="B6595" s="1832"/>
      <c r="D6595" s="2" t="str">
        <f t="shared" si="102"/>
        <v>OK</v>
      </c>
      <c r="E6595" s="4" t="s">
        <v>1989</v>
      </c>
    </row>
    <row r="6596" spans="1:5" x14ac:dyDescent="0.2">
      <c r="A6596" s="126">
        <v>6535</v>
      </c>
      <c r="B6596" s="1832"/>
      <c r="D6596" s="2" t="str">
        <f t="shared" si="102"/>
        <v>OK</v>
      </c>
      <c r="E6596" s="4" t="s">
        <v>1989</v>
      </c>
    </row>
    <row r="6597" spans="1:5" x14ac:dyDescent="0.2">
      <c r="A6597" s="126">
        <v>6536</v>
      </c>
      <c r="B6597" s="1832"/>
      <c r="D6597" s="2" t="str">
        <f t="shared" si="102"/>
        <v>OK</v>
      </c>
      <c r="E6597" s="4" t="s">
        <v>1989</v>
      </c>
    </row>
    <row r="6598" spans="1:5" x14ac:dyDescent="0.2">
      <c r="A6598" s="126">
        <v>6537</v>
      </c>
      <c r="B6598" s="1832"/>
      <c r="D6598" s="2" t="str">
        <f t="shared" si="102"/>
        <v>OK</v>
      </c>
      <c r="E6598" s="4" t="s">
        <v>1989</v>
      </c>
    </row>
    <row r="6599" spans="1:5" x14ac:dyDescent="0.2">
      <c r="A6599" s="126">
        <v>6538</v>
      </c>
      <c r="B6599" s="1832"/>
      <c r="D6599" s="2" t="str">
        <f t="shared" si="102"/>
        <v>OK</v>
      </c>
      <c r="E6599" s="4" t="s">
        <v>1989</v>
      </c>
    </row>
    <row r="6600" spans="1:5" x14ac:dyDescent="0.2">
      <c r="A6600" s="126">
        <v>6539</v>
      </c>
      <c r="B6600" s="1832"/>
      <c r="D6600" s="2" t="str">
        <f t="shared" si="102"/>
        <v>OK</v>
      </c>
      <c r="E6600" s="4" t="s">
        <v>1989</v>
      </c>
    </row>
    <row r="6601" spans="1:5" x14ac:dyDescent="0.2">
      <c r="A6601" s="126">
        <v>6540</v>
      </c>
      <c r="B6601" s="1832"/>
      <c r="D6601" s="2" t="str">
        <f t="shared" si="102"/>
        <v>OK</v>
      </c>
      <c r="E6601" s="4" t="s">
        <v>1989</v>
      </c>
    </row>
    <row r="6602" spans="1:5" x14ac:dyDescent="0.2">
      <c r="A6602" s="126">
        <v>6541</v>
      </c>
      <c r="B6602" s="1832"/>
      <c r="D6602" s="2" t="str">
        <f t="shared" si="102"/>
        <v>OK</v>
      </c>
      <c r="E6602" s="4" t="s">
        <v>1989</v>
      </c>
    </row>
    <row r="6603" spans="1:5" x14ac:dyDescent="0.2">
      <c r="A6603" s="126">
        <v>6542</v>
      </c>
      <c r="B6603" s="1832"/>
      <c r="D6603" s="2" t="str">
        <f t="shared" si="102"/>
        <v>OK</v>
      </c>
      <c r="E6603" s="4" t="s">
        <v>1989</v>
      </c>
    </row>
    <row r="6604" spans="1:5" x14ac:dyDescent="0.2">
      <c r="A6604" s="126">
        <v>6543</v>
      </c>
      <c r="B6604" s="1832"/>
      <c r="D6604" s="2" t="str">
        <f t="shared" si="102"/>
        <v>OK</v>
      </c>
      <c r="E6604" s="4" t="s">
        <v>1989</v>
      </c>
    </row>
    <row r="6605" spans="1:5" x14ac:dyDescent="0.2">
      <c r="A6605" s="126">
        <v>6544</v>
      </c>
      <c r="B6605" s="1832"/>
      <c r="D6605" s="2" t="str">
        <f t="shared" si="102"/>
        <v>OK</v>
      </c>
      <c r="E6605" s="4" t="s">
        <v>1989</v>
      </c>
    </row>
    <row r="6606" spans="1:5" x14ac:dyDescent="0.2">
      <c r="A6606" s="126">
        <v>6545</v>
      </c>
      <c r="B6606" s="1832"/>
      <c r="D6606" s="2" t="str">
        <f t="shared" si="102"/>
        <v>OK</v>
      </c>
      <c r="E6606" s="4" t="s">
        <v>1989</v>
      </c>
    </row>
    <row r="6607" spans="1:5" x14ac:dyDescent="0.2">
      <c r="A6607" s="126">
        <v>6546</v>
      </c>
      <c r="B6607" s="1832"/>
      <c r="D6607" s="2" t="str">
        <f t="shared" si="102"/>
        <v>OK</v>
      </c>
      <c r="E6607" s="4" t="s">
        <v>1989</v>
      </c>
    </row>
    <row r="6608" spans="1:5" x14ac:dyDescent="0.2">
      <c r="A6608" s="126">
        <v>6547</v>
      </c>
      <c r="B6608" s="1832"/>
      <c r="D6608" s="2" t="str">
        <f t="shared" si="102"/>
        <v>OK</v>
      </c>
      <c r="E6608" s="4" t="s">
        <v>1989</v>
      </c>
    </row>
    <row r="6609" spans="1:5" x14ac:dyDescent="0.2">
      <c r="A6609" s="126">
        <v>6548</v>
      </c>
      <c r="B6609" s="1832"/>
      <c r="D6609" s="2" t="str">
        <f t="shared" si="102"/>
        <v>OK</v>
      </c>
      <c r="E6609" s="4" t="s">
        <v>1989</v>
      </c>
    </row>
    <row r="6610" spans="1:5" x14ac:dyDescent="0.2">
      <c r="A6610" s="126">
        <v>6549</v>
      </c>
      <c r="B6610" s="1832"/>
      <c r="D6610" s="2" t="str">
        <f t="shared" si="102"/>
        <v>OK</v>
      </c>
      <c r="E6610" s="4" t="s">
        <v>1989</v>
      </c>
    </row>
    <row r="6611" spans="1:5" x14ac:dyDescent="0.2">
      <c r="A6611" s="126">
        <v>6550</v>
      </c>
      <c r="B6611" s="1832"/>
      <c r="D6611" s="2" t="str">
        <f t="shared" si="102"/>
        <v>OK</v>
      </c>
      <c r="E6611" s="4" t="s">
        <v>1989</v>
      </c>
    </row>
    <row r="6612" spans="1:5" x14ac:dyDescent="0.2">
      <c r="A6612" s="126">
        <v>6551</v>
      </c>
      <c r="B6612" s="1832"/>
      <c r="D6612" s="2" t="str">
        <f t="shared" si="102"/>
        <v>OK</v>
      </c>
      <c r="E6612" s="4" t="s">
        <v>1989</v>
      </c>
    </row>
    <row r="6613" spans="1:5" x14ac:dyDescent="0.2">
      <c r="A6613" s="126">
        <v>6552</v>
      </c>
      <c r="B6613" s="1832"/>
      <c r="D6613" s="2" t="str">
        <f t="shared" si="102"/>
        <v>OK</v>
      </c>
      <c r="E6613" s="4" t="s">
        <v>1989</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1893</v>
      </c>
    </row>
    <row r="6842" spans="1:5" x14ac:dyDescent="0.2">
      <c r="A6842" s="126">
        <v>6781</v>
      </c>
      <c r="B6842" s="1832"/>
      <c r="D6842" s="2" t="str">
        <f t="shared" si="105"/>
        <v>OK</v>
      </c>
      <c r="E6842" s="1" t="s">
        <v>1893</v>
      </c>
    </row>
    <row r="6843" spans="1:5" x14ac:dyDescent="0.2">
      <c r="A6843" s="126">
        <v>6782</v>
      </c>
      <c r="B6843" s="1832"/>
      <c r="D6843" s="2" t="str">
        <f t="shared" si="105"/>
        <v>OK</v>
      </c>
      <c r="E6843" s="1" t="s">
        <v>1893</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335226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7506</v>
      </c>
      <c r="D6983" s="2" t="str">
        <f t="shared" si="108"/>
        <v>Error?</v>
      </c>
    </row>
    <row r="6984" spans="1:4" x14ac:dyDescent="0.2">
      <c r="A6984">
        <v>6923</v>
      </c>
      <c r="B6984" s="1832">
        <f>'Expenditures 15-22'!K86</f>
        <v>7506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187350</v>
      </c>
      <c r="D6987" s="2" t="str">
        <f t="shared" si="108"/>
        <v>Error?</v>
      </c>
    </row>
    <row r="6988" spans="1:4" x14ac:dyDescent="0.2">
      <c r="A6988">
        <v>6927</v>
      </c>
      <c r="B6988" s="1832">
        <f>'Expenditures 15-22'!K88</f>
        <v>187350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85891</v>
      </c>
      <c r="D6993" s="2" t="str">
        <f t="shared" si="108"/>
        <v>Error?</v>
      </c>
    </row>
    <row r="6994" spans="1:4" x14ac:dyDescent="0.2">
      <c r="A6994">
        <v>6933</v>
      </c>
      <c r="B6994" s="1832">
        <f>'Expenditures 15-22'!K91</f>
        <v>85891</v>
      </c>
      <c r="D6994" s="2" t="str">
        <f t="shared" si="108"/>
        <v>Error?</v>
      </c>
    </row>
    <row r="6995" spans="1:4" x14ac:dyDescent="0.2">
      <c r="A6995">
        <v>6934</v>
      </c>
      <c r="B6995" s="1832">
        <f>'Expenditures 15-22'!H92</f>
        <v>280747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321651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318502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3873</v>
      </c>
      <c r="D7079" s="2" t="str">
        <f t="shared" si="109"/>
        <v>Error?</v>
      </c>
    </row>
    <row r="7080" spans="1:4" x14ac:dyDescent="0.2">
      <c r="A7080">
        <v>7019</v>
      </c>
      <c r="B7080" s="1832">
        <f>'Expenditures 15-22'!K226</f>
        <v>3873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166904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166904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88895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88895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54429</v>
      </c>
      <c r="D7174" s="2" t="str">
        <f t="shared" si="111"/>
        <v>Error?</v>
      </c>
    </row>
    <row r="7175" spans="1:4" x14ac:dyDescent="0.2">
      <c r="A7175">
        <v>7114</v>
      </c>
      <c r="B7175" s="1832">
        <f>'Expenditures 15-22'!F325</f>
        <v>722</v>
      </c>
      <c r="D7175" s="2" t="str">
        <f t="shared" si="111"/>
        <v>Error?</v>
      </c>
    </row>
    <row r="7176" spans="1:4" x14ac:dyDescent="0.2">
      <c r="A7176">
        <v>7115</v>
      </c>
      <c r="B7176" s="1832">
        <f>'Expenditures 15-22'!G325</f>
        <v>1485</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56636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9216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9216</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319444</v>
      </c>
      <c r="D7201" s="2" t="str">
        <f t="shared" si="111"/>
        <v>Error?</v>
      </c>
    </row>
    <row r="7202" spans="1:4" x14ac:dyDescent="0.2">
      <c r="A7202">
        <v>7141</v>
      </c>
      <c r="B7202" s="1832">
        <f>'Expenditures 15-22'!F330</f>
        <v>722</v>
      </c>
      <c r="D7202" s="2" t="str">
        <f t="shared" si="111"/>
        <v>Error?</v>
      </c>
    </row>
    <row r="7203" spans="1:4" x14ac:dyDescent="0.2">
      <c r="A7203">
        <v>7142</v>
      </c>
      <c r="B7203" s="1832">
        <f>'Expenditures 15-22'!G330</f>
        <v>1485</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321651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319444</v>
      </c>
      <c r="D7218" s="2" t="str">
        <f t="shared" si="111"/>
        <v>Error?</v>
      </c>
    </row>
    <row r="7219" spans="1:4" x14ac:dyDescent="0.2">
      <c r="A7219">
        <v>7158</v>
      </c>
      <c r="B7219" s="1832">
        <f>'Expenditures 15-22'!F342</f>
        <v>722</v>
      </c>
      <c r="D7219" s="2" t="str">
        <f t="shared" si="111"/>
        <v>Error?</v>
      </c>
    </row>
    <row r="7220" spans="1:4" x14ac:dyDescent="0.2">
      <c r="A7220">
        <v>7159</v>
      </c>
      <c r="B7220" s="1832">
        <f>'Expenditures 15-22'!G342</f>
        <v>1485</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321651</v>
      </c>
      <c r="D7224" s="2" t="str">
        <f t="shared" si="111"/>
        <v>Error?</v>
      </c>
    </row>
    <row r="7225" spans="1:4" x14ac:dyDescent="0.2">
      <c r="A7225">
        <v>7164</v>
      </c>
      <c r="B7225" s="1832">
        <f>'Expenditures 15-22'!K343</f>
        <v>-3149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277699</v>
      </c>
      <c r="D7263" s="2" t="str">
        <f t="shared" si="112"/>
        <v>Error?</v>
      </c>
    </row>
    <row r="7264" spans="1:4" x14ac:dyDescent="0.2">
      <c r="A7264">
        <f t="shared" si="113"/>
        <v>7203</v>
      </c>
      <c r="B7264" s="1832">
        <f>'Expenditures 15-22'!D17</f>
        <v>36224</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2082</v>
      </c>
      <c r="D7266" s="2" t="str">
        <f t="shared" si="112"/>
        <v>Error?</v>
      </c>
    </row>
    <row r="7267" spans="1:5" x14ac:dyDescent="0.2">
      <c r="A7267">
        <f t="shared" si="113"/>
        <v>7206</v>
      </c>
      <c r="B7267" s="1832">
        <f>'Expenditures 15-22'!G17</f>
        <v>19191</v>
      </c>
      <c r="D7267" s="2" t="str">
        <f t="shared" si="112"/>
        <v>Error?</v>
      </c>
    </row>
    <row r="7268" spans="1:5" x14ac:dyDescent="0.2">
      <c r="A7268">
        <f t="shared" si="113"/>
        <v>7207</v>
      </c>
      <c r="B7268" s="1832">
        <f>'Expenditures 15-22'!H17</f>
        <v>30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1750163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1990</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1990</v>
      </c>
    </row>
    <row r="7641" spans="1:6" x14ac:dyDescent="0.2">
      <c r="A7641" s="126">
        <f t="shared" si="125"/>
        <v>7580</v>
      </c>
      <c r="B7641" s="1833"/>
      <c r="D7641" s="2" t="str">
        <f t="shared" si="124"/>
        <v>OK</v>
      </c>
      <c r="E7641" s="4" t="s">
        <v>1990</v>
      </c>
    </row>
    <row r="7642" spans="1:6" x14ac:dyDescent="0.2">
      <c r="A7642" s="126">
        <f t="shared" si="125"/>
        <v>7581</v>
      </c>
      <c r="B7642" s="1833"/>
      <c r="D7642" s="2" t="str">
        <f t="shared" si="124"/>
        <v>OK</v>
      </c>
      <c r="E7642" s="4" t="s">
        <v>1990</v>
      </c>
    </row>
    <row r="7643" spans="1:6" x14ac:dyDescent="0.2">
      <c r="A7643" s="126">
        <f t="shared" si="125"/>
        <v>7582</v>
      </c>
      <c r="B7643" s="1833"/>
      <c r="D7643" s="2" t="str">
        <f t="shared" si="124"/>
        <v>OK</v>
      </c>
      <c r="E7643" s="4" t="s">
        <v>1990</v>
      </c>
    </row>
    <row r="7644" spans="1:6" x14ac:dyDescent="0.2">
      <c r="A7644" s="126">
        <f t="shared" si="125"/>
        <v>7583</v>
      </c>
      <c r="B7644" s="1833"/>
      <c r="D7644" s="2" t="str">
        <f t="shared" si="124"/>
        <v>OK</v>
      </c>
      <c r="E7644" s="4" t="s">
        <v>1990</v>
      </c>
    </row>
    <row r="7645" spans="1:6" x14ac:dyDescent="0.2">
      <c r="A7645" s="126">
        <f t="shared" si="125"/>
        <v>7584</v>
      </c>
      <c r="B7645" s="1833"/>
      <c r="D7645" s="2" t="str">
        <f t="shared" si="124"/>
        <v>OK</v>
      </c>
      <c r="E7645" s="4" t="s">
        <v>1990</v>
      </c>
    </row>
    <row r="7646" spans="1:6" x14ac:dyDescent="0.2">
      <c r="A7646" s="126">
        <f t="shared" si="125"/>
        <v>7585</v>
      </c>
      <c r="B7646" s="1833"/>
      <c r="D7646" s="2" t="str">
        <f t="shared" si="124"/>
        <v>OK</v>
      </c>
      <c r="E7646" s="4" t="s">
        <v>1990</v>
      </c>
    </row>
    <row r="7647" spans="1:6" x14ac:dyDescent="0.2">
      <c r="A7647" s="126">
        <f t="shared" si="125"/>
        <v>7586</v>
      </c>
      <c r="B7647" s="1833"/>
      <c r="D7647" s="2" t="str">
        <f t="shared" si="124"/>
        <v>OK</v>
      </c>
      <c r="E7647" s="4" t="s">
        <v>1990</v>
      </c>
    </row>
    <row r="7648" spans="1:6" x14ac:dyDescent="0.2">
      <c r="A7648" s="126">
        <f t="shared" si="125"/>
        <v>7587</v>
      </c>
      <c r="B7648" s="1833"/>
      <c r="D7648" s="2" t="str">
        <f t="shared" si="124"/>
        <v>OK</v>
      </c>
      <c r="E7648" s="4" t="s">
        <v>1990</v>
      </c>
    </row>
    <row r="7649" spans="1:5" x14ac:dyDescent="0.2">
      <c r="A7649" s="126">
        <f t="shared" si="125"/>
        <v>7588</v>
      </c>
      <c r="B7649" s="1833"/>
      <c r="D7649" s="2" t="str">
        <f t="shared" si="124"/>
        <v>OK</v>
      </c>
      <c r="E7649" s="4" t="s">
        <v>1990</v>
      </c>
    </row>
    <row r="7650" spans="1:5" x14ac:dyDescent="0.2">
      <c r="A7650" s="126">
        <f t="shared" si="125"/>
        <v>7589</v>
      </c>
      <c r="B7650" s="1833"/>
      <c r="D7650" s="2" t="str">
        <f t="shared" si="124"/>
        <v>OK</v>
      </c>
      <c r="E7650" s="4" t="s">
        <v>1990</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41733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41733</v>
      </c>
      <c r="D7719" s="2" t="str">
        <f t="shared" si="126"/>
        <v>Error?</v>
      </c>
      <c r="E7719" s="2" t="s">
        <v>822</v>
      </c>
    </row>
    <row r="7720" spans="1:6" x14ac:dyDescent="0.2">
      <c r="A7720">
        <v>7659</v>
      </c>
      <c r="B7720" s="1832">
        <f>'Rest Tax Levies-Tort Im 25'!H14</f>
        <v>194936</v>
      </c>
      <c r="D7720" s="2" t="str">
        <f t="shared" si="126"/>
        <v>Error?</v>
      </c>
      <c r="E7720" s="2" t="s">
        <v>822</v>
      </c>
    </row>
    <row r="7721" spans="1:6" x14ac:dyDescent="0.2">
      <c r="A7721">
        <v>7660</v>
      </c>
      <c r="B7721" s="1832">
        <f>'Rest Tax Levies-Tort Im 25'!K14</f>
        <v>41733</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1427</v>
      </c>
    </row>
    <row r="7757" spans="1:6" x14ac:dyDescent="0.2">
      <c r="A7757" s="126">
        <v>7696</v>
      </c>
      <c r="B7757" s="1832"/>
      <c r="D7757" s="2" t="str">
        <f t="shared" si="127"/>
        <v>OK</v>
      </c>
      <c r="E7757" s="4" t="s">
        <v>1322</v>
      </c>
      <c r="F7757" t="s">
        <v>1427</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1992</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1821</v>
      </c>
    </row>
    <row r="7775" spans="1:5" x14ac:dyDescent="0.2">
      <c r="A7775">
        <v>7714</v>
      </c>
      <c r="B7775" s="1832">
        <f>'Expenditures 15-22'!H133</f>
        <v>0</v>
      </c>
      <c r="D7775" s="2" t="str">
        <f t="shared" si="127"/>
        <v>Error?</v>
      </c>
      <c r="E7775" s="4" t="s">
        <v>1821</v>
      </c>
    </row>
    <row r="7776" spans="1:5" x14ac:dyDescent="0.2">
      <c r="A7776">
        <v>7715</v>
      </c>
      <c r="B7776" s="1832">
        <f>'Expenditures 15-22'!K133</f>
        <v>0</v>
      </c>
      <c r="D7776" s="2" t="str">
        <f t="shared" si="127"/>
        <v>Error?</v>
      </c>
      <c r="E7776" s="4" t="s">
        <v>1821</v>
      </c>
    </row>
    <row r="7777" spans="1:5" x14ac:dyDescent="0.2">
      <c r="A7777">
        <v>7716</v>
      </c>
      <c r="B7777" s="1832">
        <f>'Expenditures 15-22'!H157</f>
        <v>0</v>
      </c>
      <c r="D7777" s="2" t="str">
        <f t="shared" si="127"/>
        <v>Error?</v>
      </c>
      <c r="E7777" s="4" t="s">
        <v>1821</v>
      </c>
    </row>
    <row r="7778" spans="1:5" x14ac:dyDescent="0.2">
      <c r="A7778">
        <v>7717</v>
      </c>
      <c r="B7778" s="1832">
        <f>'Expenditures 15-22'!K157</f>
        <v>0</v>
      </c>
      <c r="D7778" s="2" t="str">
        <f t="shared" si="127"/>
        <v>Error?</v>
      </c>
      <c r="E7778" s="4" t="s">
        <v>1821</v>
      </c>
    </row>
    <row r="7779" spans="1:5" x14ac:dyDescent="0.2">
      <c r="A7779">
        <v>7718</v>
      </c>
      <c r="B7779" s="1832">
        <f>'Expenditures 15-22'!H158</f>
        <v>0</v>
      </c>
      <c r="D7779" s="2" t="str">
        <f t="shared" si="127"/>
        <v>Error?</v>
      </c>
      <c r="E7779" s="4" t="s">
        <v>1821</v>
      </c>
    </row>
    <row r="7780" spans="1:5" x14ac:dyDescent="0.2">
      <c r="A7780">
        <v>7719</v>
      </c>
      <c r="B7780" s="1832">
        <f>'Expenditures 15-22'!K158</f>
        <v>0</v>
      </c>
      <c r="D7780" s="2" t="str">
        <f t="shared" si="127"/>
        <v>Error?</v>
      </c>
      <c r="E7780" s="4" t="s">
        <v>1821</v>
      </c>
    </row>
    <row r="7781" spans="1:5" x14ac:dyDescent="0.2">
      <c r="A7781">
        <v>7720</v>
      </c>
      <c r="B7781" s="1832">
        <f>'Expenditures 15-22'!H159</f>
        <v>0</v>
      </c>
      <c r="D7781" s="2" t="str">
        <f t="shared" si="127"/>
        <v>Error?</v>
      </c>
      <c r="E7781" s="4" t="s">
        <v>1821</v>
      </c>
    </row>
    <row r="7782" spans="1:5" x14ac:dyDescent="0.2">
      <c r="A7782">
        <v>7721</v>
      </c>
      <c r="B7782" s="1832">
        <f>'Expenditures 15-22'!K159</f>
        <v>0</v>
      </c>
      <c r="D7782" s="2" t="str">
        <f t="shared" si="127"/>
        <v>Error?</v>
      </c>
      <c r="E7782" s="4" t="s">
        <v>1821</v>
      </c>
    </row>
    <row r="7783" spans="1:5" x14ac:dyDescent="0.2">
      <c r="A7783">
        <v>7722</v>
      </c>
      <c r="B7783" s="1832">
        <f>'Expenditures 15-22'!D282</f>
        <v>0</v>
      </c>
      <c r="D7783" s="2" t="str">
        <f t="shared" si="127"/>
        <v>Error?</v>
      </c>
      <c r="E7783" s="4" t="s">
        <v>1821</v>
      </c>
    </row>
    <row r="7784" spans="1:5" x14ac:dyDescent="0.2">
      <c r="A7784">
        <v>7723</v>
      </c>
      <c r="B7784" s="1832">
        <f>'Expenditures 15-22'!K282</f>
        <v>0</v>
      </c>
      <c r="D7784" s="2" t="str">
        <f t="shared" si="127"/>
        <v>Error?</v>
      </c>
      <c r="E7784" s="4" t="s">
        <v>1821</v>
      </c>
    </row>
    <row r="7785" spans="1:5" x14ac:dyDescent="0.2">
      <c r="A7785">
        <v>7724</v>
      </c>
      <c r="B7785" s="1832">
        <f>'Expenditures 15-22'!H332</f>
        <v>0</v>
      </c>
      <c r="D7785" s="2" t="str">
        <f t="shared" si="127"/>
        <v>Error?</v>
      </c>
      <c r="E7785" s="4" t="s">
        <v>1821</v>
      </c>
    </row>
    <row r="7786" spans="1:5" x14ac:dyDescent="0.2">
      <c r="A7786">
        <v>7725</v>
      </c>
      <c r="B7786" s="1832">
        <f>'Expenditures 15-22'!K332</f>
        <v>0</v>
      </c>
      <c r="D7786" s="2" t="str">
        <f t="shared" si="127"/>
        <v>Error?</v>
      </c>
      <c r="E7786" s="4" t="s">
        <v>1821</v>
      </c>
    </row>
    <row r="7787" spans="1:5" x14ac:dyDescent="0.2">
      <c r="A7787">
        <v>7726</v>
      </c>
      <c r="B7787" s="1832">
        <f>'Expenditures 15-22'!H333</f>
        <v>0</v>
      </c>
      <c r="D7787" s="2" t="str">
        <f t="shared" si="127"/>
        <v>Error?</v>
      </c>
      <c r="E7787" s="4" t="s">
        <v>1821</v>
      </c>
    </row>
    <row r="7788" spans="1:5" x14ac:dyDescent="0.2">
      <c r="A7788">
        <v>7727</v>
      </c>
      <c r="B7788" s="1832">
        <f>'Expenditures 15-22'!K333</f>
        <v>0</v>
      </c>
      <c r="D7788" s="2" t="str">
        <f t="shared" si="127"/>
        <v>Error?</v>
      </c>
      <c r="E7788" s="4" t="s">
        <v>1821</v>
      </c>
    </row>
    <row r="7789" spans="1:5" x14ac:dyDescent="0.2">
      <c r="A7789">
        <v>7728</v>
      </c>
      <c r="B7789" s="1832">
        <f>'Expenditures 15-22'!H334</f>
        <v>0</v>
      </c>
      <c r="D7789" s="2" t="str">
        <f t="shared" si="127"/>
        <v>Error?</v>
      </c>
      <c r="E7789" s="4" t="s">
        <v>1821</v>
      </c>
    </row>
    <row r="7790" spans="1:5" x14ac:dyDescent="0.2">
      <c r="A7790">
        <v>7729</v>
      </c>
      <c r="B7790" s="1832">
        <f>'Expenditures 15-22'!K334</f>
        <v>0</v>
      </c>
      <c r="D7790" s="2" t="str">
        <f t="shared" si="127"/>
        <v>Error?</v>
      </c>
      <c r="E7790" s="4" t="s">
        <v>1821</v>
      </c>
    </row>
    <row r="7791" spans="1:5" x14ac:dyDescent="0.2">
      <c r="A7791">
        <v>7730</v>
      </c>
      <c r="B7791" s="1832">
        <f>'Expenditures 15-22'!H354</f>
        <v>0</v>
      </c>
      <c r="D7791" s="2" t="str">
        <f t="shared" si="127"/>
        <v>Error?</v>
      </c>
      <c r="E7791" s="4" t="s">
        <v>1821</v>
      </c>
    </row>
    <row r="7792" spans="1:5" x14ac:dyDescent="0.2">
      <c r="A7792">
        <v>7731</v>
      </c>
      <c r="B7792" s="1832">
        <f>'Expenditures 15-22'!K354</f>
        <v>0</v>
      </c>
      <c r="D7792" s="2" t="str">
        <f t="shared" si="127"/>
        <v>Error?</v>
      </c>
      <c r="E7792" s="4" t="s">
        <v>1821</v>
      </c>
    </row>
    <row r="7793" spans="1:5" x14ac:dyDescent="0.2">
      <c r="A7793">
        <v>7732</v>
      </c>
      <c r="B7793" s="1832">
        <f>'Expenditures 15-22'!H355</f>
        <v>0</v>
      </c>
      <c r="D7793" s="2" t="str">
        <f t="shared" si="127"/>
        <v>Error?</v>
      </c>
      <c r="E7793" s="4" t="s">
        <v>1821</v>
      </c>
    </row>
    <row r="7794" spans="1:5" x14ac:dyDescent="0.2">
      <c r="A7794">
        <v>7733</v>
      </c>
      <c r="B7794" s="1832">
        <f>'Expenditures 15-22'!K355</f>
        <v>0</v>
      </c>
      <c r="D7794" s="2" t="str">
        <f t="shared" si="127"/>
        <v>Error?</v>
      </c>
      <c r="E7794" s="4" t="s">
        <v>1821</v>
      </c>
    </row>
    <row r="7795" spans="1:5" x14ac:dyDescent="0.2">
      <c r="A7795">
        <v>7734</v>
      </c>
      <c r="B7795" s="1832">
        <f>'Expenditures 15-22'!E138</f>
        <v>0</v>
      </c>
      <c r="D7795" s="2" t="str">
        <f t="shared" si="127"/>
        <v>Error?</v>
      </c>
      <c r="E7795" s="4" t="s">
        <v>1821</v>
      </c>
    </row>
    <row r="7796" spans="1:5" x14ac:dyDescent="0.2">
      <c r="A7796">
        <v>7735</v>
      </c>
      <c r="B7796" s="1832">
        <f>'Acct Summary 7-8'!J15</f>
        <v>0</v>
      </c>
      <c r="D7796" s="2" t="str">
        <f t="shared" si="127"/>
        <v>Error?</v>
      </c>
      <c r="E7796" s="4" t="s">
        <v>1821</v>
      </c>
    </row>
    <row r="7797" spans="1:5" x14ac:dyDescent="0.2">
      <c r="A7797" s="126">
        <v>7736</v>
      </c>
      <c r="B7797" s="1832"/>
      <c r="D7797" s="2" t="str">
        <f t="shared" si="127"/>
        <v>OK</v>
      </c>
      <c r="E7797" s="4" t="s">
        <v>1974</v>
      </c>
    </row>
    <row r="7798" spans="1:5" x14ac:dyDescent="0.2">
      <c r="A7798" s="126">
        <v>7737</v>
      </c>
      <c r="B7798" s="1832"/>
      <c r="D7798" s="2" t="str">
        <f t="shared" si="127"/>
        <v>OK</v>
      </c>
      <c r="E7798" s="4" t="s">
        <v>1974</v>
      </c>
    </row>
    <row r="7799" spans="1:5" x14ac:dyDescent="0.2">
      <c r="A7799" s="126">
        <v>7738</v>
      </c>
      <c r="B7799" s="1832"/>
      <c r="D7799" s="2" t="str">
        <f t="shared" si="127"/>
        <v>OK</v>
      </c>
      <c r="E7799" s="4" t="s">
        <v>1974</v>
      </c>
    </row>
    <row r="7800" spans="1:5" x14ac:dyDescent="0.2">
      <c r="A7800">
        <v>7739</v>
      </c>
      <c r="B7800" s="1832">
        <f>'Rest Tax Levies-Tort Im 25'!K23</f>
        <v>41733</v>
      </c>
      <c r="D7800" s="2" t="str">
        <f t="shared" si="127"/>
        <v>Error?</v>
      </c>
      <c r="E7800" s="4" t="s">
        <v>1961</v>
      </c>
    </row>
    <row r="7801" spans="1:5" x14ac:dyDescent="0.2">
      <c r="A7801">
        <v>7740</v>
      </c>
      <c r="B7801" s="1832">
        <f>'Revenues 9-14'!C120</f>
        <v>0</v>
      </c>
      <c r="D7801" s="2" t="str">
        <f t="shared" si="127"/>
        <v>Error?</v>
      </c>
      <c r="E7801" s="4" t="s">
        <v>1895</v>
      </c>
    </row>
    <row r="7802" spans="1:5" x14ac:dyDescent="0.2">
      <c r="A7802">
        <v>7741</v>
      </c>
      <c r="B7802" s="1832">
        <f>'Revenues 9-14'!D120</f>
        <v>0</v>
      </c>
      <c r="D7802" s="2" t="str">
        <f t="shared" si="127"/>
        <v>Error?</v>
      </c>
      <c r="E7802" s="4" t="s">
        <v>1895</v>
      </c>
    </row>
    <row r="7803" spans="1:5" x14ac:dyDescent="0.2">
      <c r="A7803">
        <v>7742</v>
      </c>
      <c r="B7803" s="1832">
        <f>'Revenues 9-14'!E120</f>
        <v>0</v>
      </c>
      <c r="D7803" s="2" t="str">
        <f t="shared" si="127"/>
        <v>Error?</v>
      </c>
      <c r="E7803" s="4" t="s">
        <v>1895</v>
      </c>
    </row>
    <row r="7804" spans="1:5" x14ac:dyDescent="0.2">
      <c r="A7804">
        <v>7743</v>
      </c>
      <c r="B7804" s="1832">
        <f>'Revenues 9-14'!F120</f>
        <v>0</v>
      </c>
      <c r="D7804" s="2" t="str">
        <f t="shared" si="127"/>
        <v>Error?</v>
      </c>
      <c r="E7804" s="4" t="s">
        <v>1895</v>
      </c>
    </row>
    <row r="7805" spans="1:5" x14ac:dyDescent="0.2">
      <c r="A7805">
        <v>7744</v>
      </c>
      <c r="B7805" s="1832">
        <f>'Revenues 9-14'!G120</f>
        <v>0</v>
      </c>
      <c r="D7805" s="2" t="str">
        <f t="shared" si="127"/>
        <v>Error?</v>
      </c>
      <c r="E7805" s="4" t="s">
        <v>1895</v>
      </c>
    </row>
    <row r="7806" spans="1:5" x14ac:dyDescent="0.2">
      <c r="A7806">
        <v>7745</v>
      </c>
      <c r="B7806" s="1832">
        <f>'Revenues 9-14'!H120</f>
        <v>0</v>
      </c>
      <c r="D7806" s="2" t="str">
        <f t="shared" si="127"/>
        <v>Error?</v>
      </c>
      <c r="E7806" s="4" t="s">
        <v>1895</v>
      </c>
    </row>
    <row r="7807" spans="1:5" x14ac:dyDescent="0.2">
      <c r="A7807">
        <v>7746</v>
      </c>
      <c r="B7807" s="1832">
        <f>'Revenues 9-14'!J120</f>
        <v>0</v>
      </c>
      <c r="D7807" s="2" t="str">
        <f t="shared" ref="D7807:D7821" si="128">IF(ISBLANK(B7807),"OK",IF(A7807-B7807=0,"OK","Error?"))</f>
        <v>Error?</v>
      </c>
      <c r="E7807" s="4" t="s">
        <v>1895</v>
      </c>
    </row>
    <row r="7808" spans="1:5" x14ac:dyDescent="0.2">
      <c r="A7808">
        <v>7747</v>
      </c>
      <c r="B7808" s="1832">
        <f>'Revenues 9-14'!K120</f>
        <v>0</v>
      </c>
      <c r="D7808" s="2" t="str">
        <f t="shared" si="128"/>
        <v>Error?</v>
      </c>
      <c r="E7808" s="4" t="s">
        <v>1895</v>
      </c>
    </row>
    <row r="7809" spans="1:5" x14ac:dyDescent="0.2">
      <c r="A7809">
        <v>7748</v>
      </c>
      <c r="B7809" s="1832">
        <f>'Revenues 9-14'!C261</f>
        <v>0</v>
      </c>
      <c r="D7809" s="2" t="str">
        <f t="shared" si="128"/>
        <v>Error?</v>
      </c>
      <c r="E7809" s="4" t="s">
        <v>1896</v>
      </c>
    </row>
    <row r="7810" spans="1:5" x14ac:dyDescent="0.2">
      <c r="A7810">
        <v>7749</v>
      </c>
      <c r="B7810" s="1832">
        <f>'Revenues 9-14'!D261</f>
        <v>0</v>
      </c>
      <c r="D7810" s="2" t="str">
        <f t="shared" si="128"/>
        <v>Error?</v>
      </c>
      <c r="E7810" s="4" t="s">
        <v>1896</v>
      </c>
    </row>
    <row r="7811" spans="1:5" x14ac:dyDescent="0.2">
      <c r="A7811">
        <v>7750</v>
      </c>
      <c r="B7811" s="1832">
        <f>'Revenues 9-14'!F261</f>
        <v>0</v>
      </c>
      <c r="D7811" s="2" t="str">
        <f t="shared" si="128"/>
        <v>Error?</v>
      </c>
      <c r="E7811" s="4" t="s">
        <v>1896</v>
      </c>
    </row>
    <row r="7812" spans="1:5" x14ac:dyDescent="0.2">
      <c r="A7812">
        <v>7751</v>
      </c>
      <c r="B7812" s="1832">
        <f>'Revenues 9-14'!G261</f>
        <v>0</v>
      </c>
      <c r="D7812" s="2" t="str">
        <f t="shared" si="128"/>
        <v>Error?</v>
      </c>
      <c r="E7812" s="4" t="s">
        <v>1896</v>
      </c>
    </row>
    <row r="7813" spans="1:5" x14ac:dyDescent="0.2">
      <c r="A7813">
        <v>7752</v>
      </c>
      <c r="B7813" s="1832">
        <f>'Revenues 9-14'!C262</f>
        <v>0</v>
      </c>
      <c r="D7813" s="2" t="str">
        <f t="shared" si="128"/>
        <v>Error?</v>
      </c>
      <c r="E7813" s="4" t="s">
        <v>1897</v>
      </c>
    </row>
    <row r="7814" spans="1:5" x14ac:dyDescent="0.2">
      <c r="A7814">
        <v>7753</v>
      </c>
      <c r="B7814" s="1832">
        <f>'Revenues 9-14'!D262</f>
        <v>0</v>
      </c>
      <c r="D7814" s="2" t="str">
        <f t="shared" si="128"/>
        <v>Error?</v>
      </c>
      <c r="E7814" s="4" t="s">
        <v>1897</v>
      </c>
    </row>
    <row r="7815" spans="1:5" x14ac:dyDescent="0.2">
      <c r="A7815">
        <v>7754</v>
      </c>
      <c r="B7815" s="1832">
        <f>'Revenues 9-14'!F262</f>
        <v>0</v>
      </c>
      <c r="D7815" s="2" t="str">
        <f t="shared" si="128"/>
        <v>Error?</v>
      </c>
      <c r="E7815" s="4" t="s">
        <v>1897</v>
      </c>
    </row>
    <row r="7816" spans="1:5" x14ac:dyDescent="0.2">
      <c r="A7816">
        <v>7755</v>
      </c>
      <c r="B7816" s="1832">
        <f>'Revenues 9-14'!G262</f>
        <v>0</v>
      </c>
      <c r="D7816" s="2" t="str">
        <f t="shared" si="128"/>
        <v>Error?</v>
      </c>
      <c r="E7816" s="4" t="s">
        <v>1897</v>
      </c>
    </row>
    <row r="7817" spans="1:5" x14ac:dyDescent="0.2">
      <c r="A7817">
        <v>7756</v>
      </c>
      <c r="B7817" s="1832">
        <f>'Short-Term Long-Term Debt 24'!C49</f>
        <v>29172284</v>
      </c>
      <c r="D7817" s="2" t="str">
        <f t="shared" si="128"/>
        <v>Error?</v>
      </c>
      <c r="E7817" s="4" t="s">
        <v>1961</v>
      </c>
    </row>
    <row r="7818" spans="1:5" x14ac:dyDescent="0.2">
      <c r="A7818">
        <v>7757</v>
      </c>
      <c r="B7818" s="1832">
        <f>'PCTC-OEPP 27-28'!F172</f>
        <v>524555</v>
      </c>
      <c r="D7818" s="2" t="str">
        <f t="shared" si="128"/>
        <v>Error?</v>
      </c>
      <c r="E7818" s="4" t="s">
        <v>1975</v>
      </c>
    </row>
    <row r="7819" spans="1:5" x14ac:dyDescent="0.2">
      <c r="A7819">
        <v>7758</v>
      </c>
      <c r="B7819" s="1832">
        <f>'PCTC-OEPP 27-28'!F173</f>
        <v>0</v>
      </c>
      <c r="D7819" s="2" t="str">
        <f t="shared" si="128"/>
        <v>Error?</v>
      </c>
      <c r="E7819" s="4" t="s">
        <v>1975</v>
      </c>
    </row>
    <row r="7820" spans="1:5" x14ac:dyDescent="0.2">
      <c r="A7820">
        <v>7759</v>
      </c>
      <c r="B7820" s="1832">
        <f>'ICR Computation 30'!E40</f>
        <v>-862767</v>
      </c>
      <c r="D7820" s="2" t="str">
        <f t="shared" si="128"/>
        <v>Error?</v>
      </c>
    </row>
    <row r="7821" spans="1:5" x14ac:dyDescent="0.2">
      <c r="A7821">
        <v>7760</v>
      </c>
      <c r="B7821" s="1832">
        <f>'ICR Computation 30'!G40</f>
        <v>-862767</v>
      </c>
      <c r="D7821" s="2" t="str">
        <f t="shared" si="128"/>
        <v>Error?</v>
      </c>
    </row>
    <row r="7822" spans="1:5" x14ac:dyDescent="0.2">
      <c r="A7822" s="1">
        <v>7761</v>
      </c>
      <c r="B7822" s="1832">
        <f>'PCTC-OEPP 27-28'!F14</f>
        <v>18474561</v>
      </c>
      <c r="D7822" s="4" t="s">
        <v>1992</v>
      </c>
      <c r="E7822" s="4" t="s">
        <v>1993</v>
      </c>
    </row>
    <row r="7823" spans="1:5" x14ac:dyDescent="0.2">
      <c r="A7823" s="1">
        <v>7762</v>
      </c>
      <c r="B7823" s="1832">
        <f>'PCTC-OEPP 27-28'!F30</f>
        <v>0</v>
      </c>
      <c r="D7823" s="4" t="s">
        <v>1992</v>
      </c>
      <c r="E7823" s="4" t="s">
        <v>1993</v>
      </c>
    </row>
    <row r="7824" spans="1:5" x14ac:dyDescent="0.2">
      <c r="A7824" s="1">
        <v>7763</v>
      </c>
      <c r="B7824" s="1832">
        <f>'PCTC-OEPP 27-28'!F31</f>
        <v>0</v>
      </c>
      <c r="D7824" s="4" t="s">
        <v>1992</v>
      </c>
      <c r="E7824" s="4" t="s">
        <v>1993</v>
      </c>
    </row>
    <row r="7825" spans="1:5" x14ac:dyDescent="0.2">
      <c r="A7825" s="1">
        <v>7764</v>
      </c>
      <c r="B7825" s="1832">
        <f>'PCTC-OEPP 27-28'!F32</f>
        <v>0</v>
      </c>
      <c r="D7825" s="2" t="str">
        <f t="shared" ref="D7825:D7887" si="129">IF(ISBLANK(B7825),"OK",IF(A7825-B7825=0,"OK","Error?"))</f>
        <v>Error?</v>
      </c>
      <c r="E7825" s="4" t="s">
        <v>1993</v>
      </c>
    </row>
    <row r="7826" spans="1:5" x14ac:dyDescent="0.2">
      <c r="A7826">
        <v>7765</v>
      </c>
      <c r="B7826" s="1832">
        <f>'PCTC-OEPP 27-28'!F34</f>
        <v>0</v>
      </c>
      <c r="D7826" s="2" t="str">
        <f t="shared" si="129"/>
        <v>Error?</v>
      </c>
      <c r="E7826" s="4" t="s">
        <v>1993</v>
      </c>
    </row>
    <row r="7827" spans="1:5" x14ac:dyDescent="0.2">
      <c r="A7827">
        <v>7766</v>
      </c>
      <c r="B7827" s="1832">
        <f>'PCTC-OEPP 27-28'!F35</f>
        <v>0</v>
      </c>
      <c r="D7827" s="2" t="str">
        <f t="shared" si="129"/>
        <v>Error?</v>
      </c>
      <c r="E7827" s="4" t="s">
        <v>1993</v>
      </c>
    </row>
    <row r="7828" spans="1:5" x14ac:dyDescent="0.2">
      <c r="A7828">
        <v>7767</v>
      </c>
      <c r="B7828" s="1832">
        <f>'PCTC-OEPP 27-28'!F36</f>
        <v>0</v>
      </c>
      <c r="D7828" s="2" t="str">
        <f t="shared" si="129"/>
        <v>Error?</v>
      </c>
      <c r="E7828" s="4" t="s">
        <v>1993</v>
      </c>
    </row>
    <row r="7829" spans="1:5" x14ac:dyDescent="0.2">
      <c r="A7829">
        <v>7768</v>
      </c>
      <c r="B7829" s="1832">
        <f>'PCTC-OEPP 27-28'!F37</f>
        <v>0</v>
      </c>
      <c r="D7829" s="2" t="str">
        <f t="shared" si="129"/>
        <v>Error?</v>
      </c>
      <c r="E7829" s="4" t="s">
        <v>1993</v>
      </c>
    </row>
    <row r="7830" spans="1:5" x14ac:dyDescent="0.2">
      <c r="A7830">
        <v>7769</v>
      </c>
      <c r="B7830" s="1832">
        <f>'PCTC-OEPP 27-28'!F38</f>
        <v>0</v>
      </c>
      <c r="D7830" s="2" t="str">
        <f t="shared" si="129"/>
        <v>Error?</v>
      </c>
      <c r="E7830" s="4" t="s">
        <v>1993</v>
      </c>
    </row>
    <row r="7831" spans="1:5" x14ac:dyDescent="0.2">
      <c r="A7831">
        <v>7770</v>
      </c>
      <c r="B7831" s="1832">
        <f>'PCTC-OEPP 27-28'!F52</f>
        <v>57290</v>
      </c>
      <c r="D7831" s="2" t="str">
        <f t="shared" si="129"/>
        <v>Error?</v>
      </c>
      <c r="E7831" s="4" t="s">
        <v>1993</v>
      </c>
    </row>
    <row r="7832" spans="1:5" x14ac:dyDescent="0.2">
      <c r="A7832">
        <v>7771</v>
      </c>
      <c r="B7832" s="1832">
        <f>'PCTC-OEPP 27-28'!F56</f>
        <v>0</v>
      </c>
      <c r="D7832" s="2" t="str">
        <f t="shared" si="129"/>
        <v>Error?</v>
      </c>
      <c r="E7832" s="4" t="s">
        <v>1993</v>
      </c>
    </row>
    <row r="7833" spans="1:5" x14ac:dyDescent="0.2">
      <c r="A7833">
        <v>7772</v>
      </c>
      <c r="B7833" s="1832">
        <f>'PCTC-OEPP 27-28'!F62</f>
        <v>0</v>
      </c>
      <c r="D7833" s="2" t="str">
        <f t="shared" si="129"/>
        <v>Error?</v>
      </c>
      <c r="E7833" s="4" t="s">
        <v>1993</v>
      </c>
    </row>
    <row r="7834" spans="1:5" x14ac:dyDescent="0.2">
      <c r="A7834">
        <v>7773</v>
      </c>
      <c r="B7834" s="1832">
        <f>'PCTC-OEPP 27-28'!F77</f>
        <v>2653099</v>
      </c>
      <c r="D7834" s="2" t="str">
        <f t="shared" si="129"/>
        <v>Error?</v>
      </c>
      <c r="E7834" s="4" t="s">
        <v>1993</v>
      </c>
    </row>
    <row r="7835" spans="1:5" x14ac:dyDescent="0.2">
      <c r="A7835">
        <v>7774</v>
      </c>
      <c r="B7835" s="1832">
        <f>'PCTC-OEPP 27-28'!F78</f>
        <v>15821462</v>
      </c>
      <c r="D7835" s="2" t="str">
        <f t="shared" si="129"/>
        <v>Error?</v>
      </c>
      <c r="E7835" s="4" t="s">
        <v>1993</v>
      </c>
    </row>
    <row r="7836" spans="1:5" x14ac:dyDescent="0.2">
      <c r="A7836" s="126">
        <v>7775</v>
      </c>
      <c r="B7836" s="1832"/>
      <c r="D7836" s="2" t="str">
        <f t="shared" si="129"/>
        <v>OK</v>
      </c>
      <c r="E7836" s="4" t="s">
        <v>1995</v>
      </c>
    </row>
    <row r="7837" spans="1:5" x14ac:dyDescent="0.2">
      <c r="A7837">
        <v>7776</v>
      </c>
      <c r="B7837" s="1832">
        <f>'PCTC-OEPP 27-28'!F80</f>
        <v>15607.637368057611</v>
      </c>
      <c r="D7837" s="2" t="str">
        <f t="shared" si="129"/>
        <v>Error?</v>
      </c>
      <c r="E7837" s="4" t="s">
        <v>1993</v>
      </c>
    </row>
    <row r="7838" spans="1:5" x14ac:dyDescent="0.2">
      <c r="A7838">
        <v>7777</v>
      </c>
      <c r="B7838" s="1832">
        <f>'PCTC-OEPP 27-28'!F96</f>
        <v>122006</v>
      </c>
      <c r="D7838" s="2" t="str">
        <f t="shared" si="129"/>
        <v>Error?</v>
      </c>
      <c r="E7838" s="4" t="s">
        <v>1993</v>
      </c>
    </row>
    <row r="7839" spans="1:5" x14ac:dyDescent="0.2">
      <c r="A7839">
        <v>7778</v>
      </c>
      <c r="B7839" s="1832">
        <f>'PCTC-OEPP 27-28'!F102</f>
        <v>765</v>
      </c>
      <c r="D7839" s="2" t="str">
        <f t="shared" si="129"/>
        <v>Error?</v>
      </c>
      <c r="E7839" s="4" t="s">
        <v>1993</v>
      </c>
    </row>
    <row r="7840" spans="1:5" x14ac:dyDescent="0.2">
      <c r="A7840">
        <v>7779</v>
      </c>
      <c r="B7840" s="1832">
        <f>'PCTC-OEPP 27-28'!F103</f>
        <v>0</v>
      </c>
      <c r="D7840" s="2" t="str">
        <f t="shared" si="129"/>
        <v>Error?</v>
      </c>
      <c r="E7840" s="4" t="s">
        <v>1993</v>
      </c>
    </row>
    <row r="7841" spans="1:5" x14ac:dyDescent="0.2">
      <c r="A7841">
        <v>7780</v>
      </c>
      <c r="B7841" s="1832">
        <f>'PCTC-OEPP 27-28'!F104</f>
        <v>0</v>
      </c>
      <c r="D7841" s="2" t="str">
        <f t="shared" si="129"/>
        <v>Error?</v>
      </c>
      <c r="E7841" s="4" t="s">
        <v>1993</v>
      </c>
    </row>
    <row r="7842" spans="1:5" x14ac:dyDescent="0.2">
      <c r="A7842">
        <v>7781</v>
      </c>
      <c r="B7842" s="1832">
        <f>'PCTC-OEPP 27-28'!F106</f>
        <v>373919</v>
      </c>
      <c r="D7842" s="2" t="str">
        <f t="shared" si="129"/>
        <v>Error?</v>
      </c>
      <c r="E7842" s="4" t="s">
        <v>1993</v>
      </c>
    </row>
    <row r="7843" spans="1:5" x14ac:dyDescent="0.2">
      <c r="A7843">
        <v>7782</v>
      </c>
      <c r="B7843" s="1832">
        <f>'PCTC-OEPP 27-28'!F107</f>
        <v>63189</v>
      </c>
      <c r="D7843" s="2" t="str">
        <f t="shared" si="129"/>
        <v>Error?</v>
      </c>
      <c r="E7843" s="4" t="s">
        <v>1993</v>
      </c>
    </row>
    <row r="7844" spans="1:5" x14ac:dyDescent="0.2">
      <c r="A7844">
        <v>7783</v>
      </c>
      <c r="B7844" s="1832">
        <f>'PCTC-OEPP 27-28'!F108</f>
        <v>0</v>
      </c>
      <c r="D7844" s="2" t="str">
        <f t="shared" si="129"/>
        <v>Error?</v>
      </c>
      <c r="E7844" s="4" t="s">
        <v>1993</v>
      </c>
    </row>
    <row r="7845" spans="1:5" x14ac:dyDescent="0.2">
      <c r="A7845">
        <v>7784</v>
      </c>
      <c r="B7845" s="1832">
        <f>'PCTC-OEPP 27-28'!F110</f>
        <v>0</v>
      </c>
      <c r="D7845" s="2" t="str">
        <f t="shared" si="129"/>
        <v>Error?</v>
      </c>
      <c r="E7845" s="4" t="s">
        <v>1993</v>
      </c>
    </row>
    <row r="7846" spans="1:5" x14ac:dyDescent="0.2">
      <c r="A7846">
        <v>7785</v>
      </c>
      <c r="B7846" s="1832">
        <f>'PCTC-OEPP 27-28'!F111</f>
        <v>41733</v>
      </c>
      <c r="D7846" s="2" t="str">
        <f t="shared" si="129"/>
        <v>Error?</v>
      </c>
      <c r="E7846" s="4" t="s">
        <v>1993</v>
      </c>
    </row>
    <row r="7847" spans="1:5" x14ac:dyDescent="0.2">
      <c r="A7847">
        <v>7786</v>
      </c>
      <c r="B7847" s="1832">
        <f>'PCTC-OEPP 27-28'!F112</f>
        <v>370419</v>
      </c>
      <c r="D7847" s="2" t="str">
        <f t="shared" si="129"/>
        <v>Error?</v>
      </c>
      <c r="E7847" s="4" t="s">
        <v>1993</v>
      </c>
    </row>
    <row r="7848" spans="1:5" x14ac:dyDescent="0.2">
      <c r="A7848">
        <v>7787</v>
      </c>
      <c r="B7848" s="1832">
        <f>'PCTC-OEPP 27-28'!F114</f>
        <v>0</v>
      </c>
      <c r="D7848" s="2" t="str">
        <f t="shared" si="129"/>
        <v>Error?</v>
      </c>
      <c r="E7848" s="4" t="s">
        <v>1993</v>
      </c>
    </row>
    <row r="7849" spans="1:5" x14ac:dyDescent="0.2">
      <c r="A7849">
        <v>7788</v>
      </c>
      <c r="B7849" s="1832">
        <f>'PCTC-OEPP 27-28'!F115</f>
        <v>65830</v>
      </c>
      <c r="D7849" s="2" t="str">
        <f t="shared" si="129"/>
        <v>Error?</v>
      </c>
      <c r="E7849" s="4" t="s">
        <v>1993</v>
      </c>
    </row>
    <row r="7850" spans="1:5" x14ac:dyDescent="0.2">
      <c r="A7850">
        <v>7789</v>
      </c>
      <c r="B7850" s="1832">
        <f>'PCTC-OEPP 27-28'!F116</f>
        <v>0</v>
      </c>
      <c r="D7850" s="2" t="str">
        <f t="shared" si="129"/>
        <v>Error?</v>
      </c>
      <c r="E7850" s="4" t="s">
        <v>1993</v>
      </c>
    </row>
    <row r="7851" spans="1:5" x14ac:dyDescent="0.2">
      <c r="A7851">
        <v>7790</v>
      </c>
      <c r="B7851" s="1832">
        <f>'PCTC-OEPP 27-28'!F117</f>
        <v>0</v>
      </c>
      <c r="D7851" s="2" t="str">
        <f t="shared" si="129"/>
        <v>Error?</v>
      </c>
      <c r="E7851" s="4" t="s">
        <v>1993</v>
      </c>
    </row>
    <row r="7852" spans="1:5" x14ac:dyDescent="0.2">
      <c r="A7852">
        <v>7791</v>
      </c>
      <c r="B7852" s="1832">
        <f>'PCTC-OEPP 27-28'!F118</f>
        <v>0</v>
      </c>
      <c r="D7852" s="2" t="str">
        <f t="shared" si="129"/>
        <v>Error?</v>
      </c>
      <c r="E7852" s="4" t="s">
        <v>1993</v>
      </c>
    </row>
    <row r="7853" spans="1:5" x14ac:dyDescent="0.2">
      <c r="A7853">
        <v>7792</v>
      </c>
      <c r="B7853" s="1832">
        <f>'PCTC-OEPP 27-28'!F119</f>
        <v>0</v>
      </c>
      <c r="D7853" s="2" t="str">
        <f t="shared" si="129"/>
        <v>Error?</v>
      </c>
      <c r="E7853" s="4" t="s">
        <v>1993</v>
      </c>
    </row>
    <row r="7854" spans="1:5" x14ac:dyDescent="0.2">
      <c r="A7854">
        <v>7793</v>
      </c>
      <c r="B7854" s="1832">
        <f>'PCTC-OEPP 27-28'!F120</f>
        <v>0</v>
      </c>
      <c r="D7854" s="2" t="str">
        <f t="shared" si="129"/>
        <v>Error?</v>
      </c>
      <c r="E7854" s="4" t="s">
        <v>1993</v>
      </c>
    </row>
    <row r="7855" spans="1:5" x14ac:dyDescent="0.2">
      <c r="A7855">
        <v>7794</v>
      </c>
      <c r="B7855" s="1832">
        <f>'PCTC-OEPP 27-28'!F122</f>
        <v>78059</v>
      </c>
      <c r="D7855" s="2" t="str">
        <f t="shared" si="129"/>
        <v>Error?</v>
      </c>
      <c r="E7855" s="4" t="s">
        <v>1993</v>
      </c>
    </row>
    <row r="7856" spans="1:5" x14ac:dyDescent="0.2">
      <c r="A7856">
        <v>7795</v>
      </c>
      <c r="B7856" s="1832">
        <f>'PCTC-OEPP 27-28'!F124</f>
        <v>0</v>
      </c>
      <c r="D7856" s="2" t="str">
        <f t="shared" si="129"/>
        <v>Error?</v>
      </c>
      <c r="E7856" s="4" t="s">
        <v>1993</v>
      </c>
    </row>
    <row r="7857" spans="1:5" x14ac:dyDescent="0.2">
      <c r="A7857">
        <v>7796</v>
      </c>
      <c r="B7857" s="1832">
        <f>'PCTC-OEPP 27-28'!F125</f>
        <v>20674</v>
      </c>
      <c r="D7857" s="2" t="str">
        <f t="shared" si="129"/>
        <v>Error?</v>
      </c>
      <c r="E7857" s="4" t="s">
        <v>1993</v>
      </c>
    </row>
    <row r="7858" spans="1:5" x14ac:dyDescent="0.2">
      <c r="A7858">
        <v>7797</v>
      </c>
      <c r="B7858" s="1832">
        <f>'PCTC-OEPP 27-28'!F126</f>
        <v>375592</v>
      </c>
      <c r="D7858" s="2" t="str">
        <f t="shared" si="129"/>
        <v>Error?</v>
      </c>
      <c r="E7858" s="4" t="s">
        <v>1993</v>
      </c>
    </row>
    <row r="7859" spans="1:5" x14ac:dyDescent="0.2">
      <c r="A7859">
        <v>7798</v>
      </c>
      <c r="B7859" s="1832">
        <f>'PCTC-OEPP 27-28'!F127</f>
        <v>652990</v>
      </c>
      <c r="D7859" s="2" t="str">
        <f t="shared" si="129"/>
        <v>Error?</v>
      </c>
      <c r="E7859" s="4" t="s">
        <v>1993</v>
      </c>
    </row>
    <row r="7860" spans="1:5" x14ac:dyDescent="0.2">
      <c r="A7860">
        <v>7799</v>
      </c>
      <c r="B7860" s="1832">
        <f>'PCTC-OEPP 27-28'!F128</f>
        <v>0</v>
      </c>
      <c r="D7860" s="2" t="str">
        <f t="shared" si="129"/>
        <v>Error?</v>
      </c>
      <c r="E7860" s="4" t="s">
        <v>1993</v>
      </c>
    </row>
    <row r="7861" spans="1:5" x14ac:dyDescent="0.2">
      <c r="A7861">
        <v>7800</v>
      </c>
      <c r="B7861" s="1832">
        <f>'PCTC-OEPP 27-28'!F129</f>
        <v>108989</v>
      </c>
      <c r="D7861" s="2" t="str">
        <f t="shared" si="129"/>
        <v>Error?</v>
      </c>
      <c r="E7861" s="4" t="s">
        <v>1993</v>
      </c>
    </row>
    <row r="7862" spans="1:5" x14ac:dyDescent="0.2">
      <c r="A7862">
        <v>7801</v>
      </c>
      <c r="B7862" s="1832">
        <f>'PCTC-OEPP 27-28'!F130</f>
        <v>0</v>
      </c>
      <c r="D7862" s="2" t="str">
        <f t="shared" si="129"/>
        <v>Error?</v>
      </c>
      <c r="E7862" s="4" t="s">
        <v>1993</v>
      </c>
    </row>
    <row r="7863" spans="1:5" x14ac:dyDescent="0.2">
      <c r="A7863">
        <v>7802</v>
      </c>
      <c r="B7863" s="1832">
        <f>'PCTC-OEPP 27-28'!F131</f>
        <v>0</v>
      </c>
      <c r="D7863" s="2" t="str">
        <f t="shared" si="129"/>
        <v>Error?</v>
      </c>
      <c r="E7863" s="4" t="s">
        <v>1993</v>
      </c>
    </row>
    <row r="7864" spans="1:5" x14ac:dyDescent="0.2">
      <c r="A7864">
        <v>7803</v>
      </c>
      <c r="B7864" s="1832">
        <f>'PCTC-OEPP 27-28'!F132</f>
        <v>0</v>
      </c>
      <c r="D7864" s="2" t="str">
        <f t="shared" si="129"/>
        <v>Error?</v>
      </c>
      <c r="E7864" s="4" t="s">
        <v>1993</v>
      </c>
    </row>
    <row r="7865" spans="1:5" x14ac:dyDescent="0.2">
      <c r="A7865">
        <v>7804</v>
      </c>
      <c r="B7865" s="1832">
        <f>'PCTC-OEPP 27-28'!F133</f>
        <v>21554</v>
      </c>
      <c r="D7865" s="2" t="str">
        <f t="shared" si="129"/>
        <v>Error?</v>
      </c>
      <c r="E7865" s="4" t="s">
        <v>1993</v>
      </c>
    </row>
    <row r="7866" spans="1:5" x14ac:dyDescent="0.2">
      <c r="A7866">
        <v>7805</v>
      </c>
      <c r="B7866" s="1832">
        <f>'PCTC-OEPP 27-28'!F158</f>
        <v>0</v>
      </c>
      <c r="D7866" s="2" t="str">
        <f t="shared" si="129"/>
        <v>Error?</v>
      </c>
      <c r="E7866" s="4" t="s">
        <v>1993</v>
      </c>
    </row>
    <row r="7867" spans="1:5" x14ac:dyDescent="0.2">
      <c r="A7867">
        <v>7806</v>
      </c>
      <c r="B7867" s="1832">
        <f>'PCTC-OEPP 27-28'!F160</f>
        <v>0</v>
      </c>
      <c r="D7867" s="2" t="str">
        <f t="shared" si="129"/>
        <v>Error?</v>
      </c>
      <c r="E7867" s="4" t="s">
        <v>1993</v>
      </c>
    </row>
    <row r="7868" spans="1:5" x14ac:dyDescent="0.2">
      <c r="A7868">
        <v>7807</v>
      </c>
      <c r="B7868" s="1832">
        <f>'PCTC-OEPP 27-28'!F161</f>
        <v>0</v>
      </c>
      <c r="D7868" s="2" t="str">
        <f t="shared" si="129"/>
        <v>Error?</v>
      </c>
      <c r="E7868" s="4" t="s">
        <v>1993</v>
      </c>
    </row>
    <row r="7869" spans="1:5" x14ac:dyDescent="0.2">
      <c r="A7869">
        <v>7808</v>
      </c>
      <c r="B7869" s="1832">
        <f>'PCTC-OEPP 27-28'!F162</f>
        <v>0</v>
      </c>
      <c r="D7869" s="2" t="str">
        <f t="shared" si="129"/>
        <v>Error?</v>
      </c>
      <c r="E7869" s="4" t="s">
        <v>1993</v>
      </c>
    </row>
    <row r="7870" spans="1:5" x14ac:dyDescent="0.2">
      <c r="A7870">
        <v>7809</v>
      </c>
      <c r="B7870" s="1832">
        <f>'PCTC-OEPP 27-28'!F163</f>
        <v>0</v>
      </c>
      <c r="D7870" s="2" t="str">
        <f t="shared" si="129"/>
        <v>Error?</v>
      </c>
      <c r="E7870" s="4" t="s">
        <v>1993</v>
      </c>
    </row>
    <row r="7871" spans="1:5" x14ac:dyDescent="0.2">
      <c r="A7871">
        <v>7810</v>
      </c>
      <c r="B7871" s="1832">
        <f>'PCTC-OEPP 27-28'!F164</f>
        <v>0</v>
      </c>
      <c r="D7871" s="2" t="str">
        <f t="shared" si="129"/>
        <v>Error?</v>
      </c>
      <c r="E7871" s="4" t="s">
        <v>1993</v>
      </c>
    </row>
    <row r="7872" spans="1:5" x14ac:dyDescent="0.2">
      <c r="A7872">
        <v>7811</v>
      </c>
      <c r="B7872" s="1832">
        <f>'PCTC-OEPP 27-28'!F165</f>
        <v>0</v>
      </c>
      <c r="D7872" s="2" t="str">
        <f t="shared" si="129"/>
        <v>Error?</v>
      </c>
      <c r="E7872" s="4" t="s">
        <v>1993</v>
      </c>
    </row>
    <row r="7873" spans="1:5" x14ac:dyDescent="0.2">
      <c r="A7873">
        <v>7812</v>
      </c>
      <c r="B7873" s="1832">
        <f>'PCTC-OEPP 27-28'!F166</f>
        <v>0</v>
      </c>
      <c r="D7873" s="2" t="str">
        <f t="shared" si="129"/>
        <v>Error?</v>
      </c>
      <c r="E7873" s="4" t="s">
        <v>1993</v>
      </c>
    </row>
    <row r="7874" spans="1:5" x14ac:dyDescent="0.2">
      <c r="A7874">
        <v>7813</v>
      </c>
      <c r="B7874" s="1832">
        <f>'PCTC-OEPP 27-28'!F169</f>
        <v>26071</v>
      </c>
      <c r="D7874" s="2" t="str">
        <f t="shared" si="129"/>
        <v>Error?</v>
      </c>
      <c r="E7874" s="4" t="s">
        <v>1993</v>
      </c>
    </row>
    <row r="7875" spans="1:5" x14ac:dyDescent="0.2">
      <c r="A7875">
        <v>7814</v>
      </c>
      <c r="B7875" s="1832">
        <f>'PCTC-OEPP 27-28'!F170</f>
        <v>177989</v>
      </c>
      <c r="D7875" s="2" t="str">
        <f t="shared" si="129"/>
        <v>Error?</v>
      </c>
      <c r="E7875" s="4" t="s">
        <v>1993</v>
      </c>
    </row>
    <row r="7876" spans="1:5" x14ac:dyDescent="0.2">
      <c r="A7876">
        <v>7815</v>
      </c>
      <c r="B7876" s="1832">
        <f>'PCTC-OEPP 27-28'!F171</f>
        <v>45650</v>
      </c>
      <c r="D7876" s="2" t="str">
        <f t="shared" si="129"/>
        <v>Error?</v>
      </c>
      <c r="E7876" s="4" t="s">
        <v>1993</v>
      </c>
    </row>
    <row r="7877" spans="1:5" x14ac:dyDescent="0.2">
      <c r="A7877">
        <v>7816</v>
      </c>
      <c r="B7877" s="1832">
        <f>'PCTC-OEPP 27-28'!F175</f>
        <v>3261401</v>
      </c>
      <c r="D7877" s="2" t="str">
        <f t="shared" si="129"/>
        <v>Error?</v>
      </c>
      <c r="E7877" s="4" t="s">
        <v>1993</v>
      </c>
    </row>
    <row r="7878" spans="1:5" x14ac:dyDescent="0.2">
      <c r="A7878">
        <v>7817</v>
      </c>
      <c r="B7878" s="1832">
        <f>'PCTC-OEPP 27-28'!F176</f>
        <v>12560061</v>
      </c>
      <c r="D7878" s="2" t="str">
        <f t="shared" si="129"/>
        <v>Error?</v>
      </c>
      <c r="E7878" s="4" t="s">
        <v>1993</v>
      </c>
    </row>
    <row r="7879" spans="1:5" x14ac:dyDescent="0.2">
      <c r="A7879">
        <v>7818</v>
      </c>
      <c r="B7879" s="1832">
        <f>'PCTC-OEPP 27-28'!F178</f>
        <v>14310224</v>
      </c>
      <c r="D7879" s="2" t="str">
        <f t="shared" si="129"/>
        <v>Error?</v>
      </c>
      <c r="E7879" s="4" t="s">
        <v>1993</v>
      </c>
    </row>
    <row r="7880" spans="1:5" x14ac:dyDescent="0.2">
      <c r="A7880">
        <v>7819</v>
      </c>
      <c r="B7880" s="1832">
        <f>'PCTC-OEPP 27-28'!F180</f>
        <v>14116.823517806057</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500000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1485</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A40" sqref="A40:H4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404151197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1.25156E-2</v>
      </c>
      <c r="E10" s="333" t="s">
        <v>998</v>
      </c>
      <c r="F10" s="332">
        <v>3.1039000000000001E-3</v>
      </c>
      <c r="G10" s="333" t="s">
        <v>998</v>
      </c>
      <c r="H10" s="332">
        <v>2.0026000000000002E-3</v>
      </c>
      <c r="I10" s="333" t="s">
        <v>999</v>
      </c>
      <c r="J10" s="1424">
        <f>ROUND(D10+F10+H10,5)</f>
        <v>1.762E-2</v>
      </c>
      <c r="K10" s="217"/>
      <c r="L10" s="332">
        <v>4.8460000000000002E-4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16498582</v>
      </c>
      <c r="E16" s="1547"/>
      <c r="F16" s="1546">
        <f>SUM('Acct Summary 7-8'!C17,'Acct Summary 7-8'!D17,'Acct Summary 7-8'!F17)</f>
        <v>14861630</v>
      </c>
      <c r="G16" s="1547"/>
      <c r="H16" s="1546">
        <f>SUM(D16-F16)</f>
        <v>1636952</v>
      </c>
      <c r="I16" s="1548"/>
      <c r="J16" s="1546">
        <f>SUM('Acct Summary 7-8'!C81,'Acct Summary 7-8'!D81,'Acct Summary 7-8'!F81,'Acct Summary 7-8'!I81)</f>
        <v>10233508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2046</v>
      </c>
      <c r="C31" s="344" t="s">
        <v>582</v>
      </c>
      <c r="D31" s="232" t="s">
        <v>1063</v>
      </c>
      <c r="E31" s="217"/>
      <c r="F31" s="217"/>
      <c r="G31" s="340"/>
      <c r="H31" s="1425">
        <f>IF(B31="X",(J7*0.069),IF(B32="X",(J7*0.138),"Enter x in a.or b."))</f>
        <v>27886432.593000002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17293834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13" zoomScale="110" zoomScaleNormal="110" workbookViewId="0">
      <selection activeCell="A40" sqref="A40:H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1536</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Mt Vernon Twp HSD 201</v>
      </c>
      <c r="E7" s="368"/>
      <c r="G7" s="247"/>
      <c r="H7" s="364"/>
      <c r="I7" s="364"/>
      <c r="J7" s="364"/>
      <c r="K7" s="364"/>
      <c r="L7" s="307"/>
      <c r="M7" s="307"/>
      <c r="N7" s="307"/>
      <c r="O7" s="307"/>
      <c r="P7" s="307"/>
    </row>
    <row r="8" spans="1:18" ht="12.75" x14ac:dyDescent="0.2">
      <c r="A8" s="307"/>
      <c r="B8" s="307"/>
      <c r="C8" s="366" t="s">
        <v>1115</v>
      </c>
      <c r="D8" s="369">
        <f>COVER!A13</f>
        <v>13041201017</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10233508</v>
      </c>
      <c r="I12" s="380"/>
      <c r="J12" s="380"/>
      <c r="K12" s="1559">
        <f>TRUNC((H12/H13*100000),5)/100000</f>
        <v>0.65187467249999997</v>
      </c>
      <c r="L12" s="381"/>
      <c r="M12" s="337" t="s">
        <v>1134</v>
      </c>
      <c r="N12" s="337"/>
      <c r="O12" s="1562">
        <v>0.35</v>
      </c>
      <c r="P12" s="213"/>
      <c r="Q12" s="213"/>
    </row>
    <row r="13" spans="1:18" s="382" customFormat="1" ht="12.75" x14ac:dyDescent="0.2">
      <c r="A13" s="213"/>
      <c r="B13" s="377"/>
      <c r="C13" s="2218" t="s">
        <v>1313</v>
      </c>
      <c r="D13" s="2219"/>
      <c r="E13" s="213"/>
      <c r="F13" s="383" t="s">
        <v>788</v>
      </c>
      <c r="G13" s="378"/>
      <c r="H13" s="1551">
        <f>SUM('Acct Summary 7-8'!C8+'Acct Summary 7-8'!D8+'Acct Summary 7-8'!F8+'Acct Summary 7-8'!I8)+H14</f>
        <v>15698582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-800000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14861630</v>
      </c>
      <c r="I17" s="380"/>
      <c r="J17" s="389"/>
      <c r="K17" s="1559">
        <f>TRUNC((H17/H18*100000),5)/100000</f>
        <v>0.94668614010000007</v>
      </c>
      <c r="L17" s="381"/>
      <c r="M17" s="390" t="s">
        <v>1161</v>
      </c>
      <c r="O17" s="1565" t="str">
        <f>IF(AND(O16="2", J20 &gt; 2),"1",IF(AND(O16 = "1", J20 &gt; 2),"2",IF(AND(O16="1", J20 &gt;1),"1","0")))</f>
        <v>0</v>
      </c>
      <c r="P17" s="213"/>
    </row>
    <row r="18" spans="1:18" s="382" customFormat="1" ht="11.25" x14ac:dyDescent="0.2">
      <c r="A18" s="213"/>
      <c r="B18" s="377"/>
      <c r="C18" s="2218" t="s">
        <v>1306</v>
      </c>
      <c r="D18" s="2219"/>
      <c r="E18" s="213"/>
      <c r="F18" s="391" t="s">
        <v>789</v>
      </c>
      <c r="G18" s="378"/>
      <c r="H18" s="1551">
        <f>SUM('Acct Summary 7-8'!C8+'Acct Summary 7-8'!D8+'Acct Summary 7-8'!F8+'Acct Summary 7-8'!I8)+H19</f>
        <v>15698582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-800000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5" t="s">
        <v>1395</v>
      </c>
      <c r="D24" s="2215"/>
      <c r="E24" s="213"/>
      <c r="F24" s="213" t="s">
        <v>442</v>
      </c>
      <c r="G24" s="378"/>
      <c r="H24" s="1551">
        <f>SUM('Assets-Liab 5-6'!C4+'Assets-Liab 5-6'!D4+'Assets-Liab 5-6'!F4+'Assets-Liab 5-6'!I4+'Assets-Liab 5-6'!C5+'Assets-Liab 5-6'!D5+'Assets-Liab 5-6'!F5+'Assets-Liab 5-6'!I5)</f>
        <v>10064665</v>
      </c>
      <c r="I24" s="394"/>
      <c r="J24" s="394"/>
      <c r="K24" s="1555">
        <f>TRUNC(((H24/H25*100000)/100000),2)</f>
        <v>243.8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41282.305560000001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1888</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6052972.4774700003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17293834</v>
      </c>
      <c r="I32" s="392"/>
      <c r="J32" s="392"/>
      <c r="K32" s="1555">
        <f>TRUNC(100-((((H32/H33*100))*100)/100),2)</f>
        <v>37.979999999999997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27886432.593000002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306"/>
      <c r="D3" s="1307"/>
      <c r="E3" s="1307"/>
      <c r="F3" s="1307"/>
      <c r="G3" s="1307"/>
      <c r="H3" s="1307"/>
      <c r="I3" s="1307"/>
      <c r="J3" s="1307"/>
      <c r="K3" s="1307"/>
      <c r="L3" s="1307"/>
      <c r="M3" s="1308"/>
      <c r="N3" s="1309"/>
    </row>
    <row r="4" spans="1:14" ht="13.5" customHeight="1" x14ac:dyDescent="0.2">
      <c r="A4" s="427" t="s">
        <v>1631</v>
      </c>
      <c r="B4" s="428"/>
      <c r="C4" s="1572">
        <v>5630798</v>
      </c>
      <c r="D4" s="1573">
        <v>1682382</v>
      </c>
      <c r="E4" s="1573">
        <v>36402</v>
      </c>
      <c r="F4" s="1573">
        <v>1421687</v>
      </c>
      <c r="G4" s="1573">
        <v>244277</v>
      </c>
      <c r="H4" s="1573">
        <v>394985</v>
      </c>
      <c r="I4" s="1573">
        <f>165921+1123824</f>
        <v>1289745</v>
      </c>
      <c r="J4" s="1574">
        <v>245616</v>
      </c>
      <c r="K4" s="1573">
        <v>150351</v>
      </c>
      <c r="L4" s="1573">
        <v>324822</v>
      </c>
      <c r="M4" s="1575"/>
      <c r="N4" s="1576"/>
    </row>
    <row r="5" spans="1:14" x14ac:dyDescent="0.2">
      <c r="A5" s="427" t="s">
        <v>985</v>
      </c>
      <c r="B5" s="429">
        <v>120</v>
      </c>
      <c r="C5" s="1572"/>
      <c r="D5" s="1573">
        <v>51</v>
      </c>
      <c r="E5" s="1573"/>
      <c r="F5" s="1573"/>
      <c r="G5" s="1573"/>
      <c r="H5" s="1573">
        <v>20</v>
      </c>
      <c r="I5" s="1573">
        <f>38367+1635</f>
        <v>40002</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55690</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5686488</v>
      </c>
      <c r="D13" s="1587">
        <f t="shared" ref="D13:L13" si="0">SUM(D4:D12)</f>
        <v>1682433</v>
      </c>
      <c r="E13" s="1587">
        <f t="shared" si="0"/>
        <v>36402</v>
      </c>
      <c r="F13" s="1587">
        <f t="shared" si="0"/>
        <v>1421687</v>
      </c>
      <c r="G13" s="1587">
        <f t="shared" si="0"/>
        <v>244277</v>
      </c>
      <c r="H13" s="1587">
        <f t="shared" si="0"/>
        <v>395005</v>
      </c>
      <c r="I13" s="1587">
        <f t="shared" si="0"/>
        <v>1329747</v>
      </c>
      <c r="J13" s="1587">
        <f t="shared" si="0"/>
        <v>245616</v>
      </c>
      <c r="K13" s="1587">
        <f t="shared" si="0"/>
        <v>150351</v>
      </c>
      <c r="L13" s="1587">
        <f t="shared" si="0"/>
        <v>324822</v>
      </c>
      <c r="M13" s="1575"/>
      <c r="N13" s="1576"/>
    </row>
    <row r="14" spans="1:14" ht="18" customHeight="1" thickTop="1" x14ac:dyDescent="0.2">
      <c r="A14" s="2227" t="s">
        <v>146</v>
      </c>
      <c r="B14" s="222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1859441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77291365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1174957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1235891+148839</f>
        <v>1384730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36402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17257432</v>
      </c>
    </row>
    <row r="23" spans="1:14" ht="13.5" customHeight="1" thickBot="1" x14ac:dyDescent="0.25">
      <c r="A23" s="1426" t="s">
        <v>638</v>
      </c>
      <c r="B23" s="1429"/>
      <c r="C23" s="1575"/>
      <c r="D23" s="1575"/>
      <c r="E23" s="1575"/>
      <c r="F23" s="1575"/>
      <c r="G23" s="1575"/>
      <c r="H23" s="1575"/>
      <c r="I23" s="1575"/>
      <c r="J23" s="1575"/>
      <c r="K23" s="1575"/>
      <c r="L23" s="1575"/>
      <c r="M23" s="1594">
        <f>SUM(M15:M22)</f>
        <v>81710493</v>
      </c>
      <c r="N23" s="1594">
        <f>SUM(N21:N22)</f>
        <v>17293834</v>
      </c>
    </row>
    <row r="24" spans="1:14" ht="18" customHeight="1" thickTop="1" x14ac:dyDescent="0.2">
      <c r="A24" s="2229" t="s">
        <v>594</v>
      </c>
      <c r="B24" s="223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v>-36</v>
      </c>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-113117</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324822</v>
      </c>
      <c r="M33" s="1575"/>
      <c r="N33" s="1576"/>
    </row>
    <row r="34" spans="1:14" ht="13.5" customHeight="1" thickBot="1" x14ac:dyDescent="0.25">
      <c r="A34" s="1427" t="s">
        <v>649</v>
      </c>
      <c r="B34" s="1428"/>
      <c r="C34" s="1600">
        <f>SUM(C25:C33)</f>
        <v>-113117</v>
      </c>
      <c r="D34" s="1600">
        <f t="shared" ref="D34:K34" si="1">SUM(D25:D33)</f>
        <v>0</v>
      </c>
      <c r="E34" s="1600">
        <f t="shared" si="1"/>
        <v>0</v>
      </c>
      <c r="F34" s="1600">
        <f t="shared" si="1"/>
        <v>-36</v>
      </c>
      <c r="G34" s="1600">
        <f t="shared" si="1"/>
        <v>0</v>
      </c>
      <c r="H34" s="1600">
        <f t="shared" si="1"/>
        <v>0</v>
      </c>
      <c r="I34" s="1600">
        <f t="shared" si="1"/>
        <v>0</v>
      </c>
      <c r="J34" s="1600">
        <f t="shared" si="1"/>
        <v>0</v>
      </c>
      <c r="K34" s="1600">
        <f t="shared" si="1"/>
        <v>0</v>
      </c>
      <c r="L34" s="1601">
        <f>SUM(L33)</f>
        <v>324822</v>
      </c>
      <c r="M34" s="1575"/>
      <c r="N34" s="1585"/>
    </row>
    <row r="35" spans="1:14" ht="18" customHeight="1" thickTop="1" x14ac:dyDescent="0.2">
      <c r="A35" s="2231" t="s">
        <v>526</v>
      </c>
      <c r="B35" s="223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17293834</v>
      </c>
    </row>
    <row r="37" spans="1:14" ht="13.5" thickBot="1" x14ac:dyDescent="0.25">
      <c r="A37" s="1426" t="s">
        <v>648</v>
      </c>
      <c r="B37" s="1429"/>
      <c r="C37" s="1582"/>
      <c r="D37" s="1582"/>
      <c r="E37" s="1582"/>
      <c r="F37" s="1582"/>
      <c r="G37" s="1582"/>
      <c r="H37" s="1582"/>
      <c r="I37" s="1582"/>
      <c r="J37" s="1582"/>
      <c r="K37" s="1582"/>
      <c r="L37" s="1585"/>
      <c r="M37" s="1575"/>
      <c r="N37" s="1594">
        <f>SUM(N36:N36)</f>
        <v>17293834</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5799605</v>
      </c>
      <c r="D39" s="1573">
        <v>1682433</v>
      </c>
      <c r="E39" s="1573">
        <v>36402</v>
      </c>
      <c r="F39" s="1573">
        <v>1421723</v>
      </c>
      <c r="G39" s="1573">
        <v>244277</v>
      </c>
      <c r="H39" s="1573">
        <v>395005</v>
      </c>
      <c r="I39" s="1573">
        <v>1329747</v>
      </c>
      <c r="J39" s="1574">
        <v>245616</v>
      </c>
      <c r="K39" s="1573">
        <v>150351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81710493</v>
      </c>
      <c r="N40" s="1604"/>
    </row>
    <row r="41" spans="1:14" ht="13.5" customHeight="1" thickBot="1" x14ac:dyDescent="0.25">
      <c r="A41" s="1426" t="s">
        <v>650</v>
      </c>
      <c r="B41" s="1405"/>
      <c r="C41" s="1594">
        <f>(SUM(C34,C37,C38,C39))</f>
        <v>5686488</v>
      </c>
      <c r="D41" s="1594">
        <f t="shared" ref="D41:L41" si="2">SUM(D34,D37,D38:D39)</f>
        <v>1682433</v>
      </c>
      <c r="E41" s="1594">
        <f t="shared" si="2"/>
        <v>36402</v>
      </c>
      <c r="F41" s="1594">
        <f t="shared" si="2"/>
        <v>1421687</v>
      </c>
      <c r="G41" s="1594">
        <f t="shared" si="2"/>
        <v>244277</v>
      </c>
      <c r="H41" s="1594">
        <f t="shared" si="2"/>
        <v>395005</v>
      </c>
      <c r="I41" s="1594">
        <f t="shared" si="2"/>
        <v>1329747</v>
      </c>
      <c r="J41" s="1594">
        <f t="shared" si="2"/>
        <v>245616</v>
      </c>
      <c r="K41" s="1594">
        <f t="shared" si="2"/>
        <v>150351</v>
      </c>
      <c r="L41" s="1594">
        <f t="shared" si="2"/>
        <v>324822</v>
      </c>
      <c r="M41" s="1594">
        <f>SUM(M40)</f>
        <v>81710493</v>
      </c>
      <c r="N41" s="1594">
        <f>SUM(N37)</f>
        <v>17293834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D1" colorId="8" zoomScale="110" zoomScaleNormal="110" zoomScaleSheetLayoutView="100" workbookViewId="0">
      <pane ySplit="2" topLeftCell="A71" activePane="bottomLeft" state="frozen"/>
      <selection activeCell="A40" sqref="A40:H40"/>
      <selection pane="bottomLeft" activeCell="A40" sqref="A40:H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311"/>
      <c r="D3" s="1312"/>
      <c r="E3" s="1312"/>
      <c r="F3" s="1312"/>
      <c r="G3" s="1312"/>
      <c r="H3" s="1312"/>
      <c r="I3" s="1312"/>
      <c r="J3" s="1312"/>
      <c r="K3" s="1313"/>
      <c r="L3" s="446"/>
    </row>
    <row r="4" spans="1:13" ht="15.75" customHeight="1" x14ac:dyDescent="0.2">
      <c r="A4" s="1537" t="s">
        <v>1481</v>
      </c>
      <c r="B4" s="1538">
        <v>1000</v>
      </c>
      <c r="C4" s="1606">
        <f>'Revenues 9-14'!C109</f>
        <v>6357235</v>
      </c>
      <c r="D4" s="1606">
        <f>'Revenues 9-14'!D109</f>
        <v>1729210</v>
      </c>
      <c r="E4" s="1606">
        <f>'Revenues 9-14'!E109</f>
        <v>1928257</v>
      </c>
      <c r="F4" s="1606">
        <f>'Revenues 9-14'!F109</f>
        <v>820613</v>
      </c>
      <c r="G4" s="1606">
        <f>'Revenues 9-14'!G109</f>
        <v>525892</v>
      </c>
      <c r="H4" s="1606">
        <f>'Revenues 9-14'!H109</f>
        <v>13238</v>
      </c>
      <c r="I4" s="1606">
        <f>'Revenues 9-14'!I109</f>
        <v>216763</v>
      </c>
      <c r="J4" s="1606">
        <f>'Revenues 9-14'!J109</f>
        <v>318502</v>
      </c>
      <c r="K4" s="1606">
        <f>'Revenues 9-14'!K109</f>
        <v>40351</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1483</v>
      </c>
      <c r="B6" s="1316">
        <v>3000</v>
      </c>
      <c r="C6" s="1607">
        <f>'Revenues 9-14'!C170</f>
        <v>5319748</v>
      </c>
      <c r="D6" s="1607">
        <f>'Revenues 9-14'!D170</f>
        <v>255085</v>
      </c>
      <c r="E6" s="1607">
        <f>'Revenues 9-14'!E170</f>
        <v>0</v>
      </c>
      <c r="F6" s="1607">
        <f>'Revenues 9-14'!F170</f>
        <v>370419</v>
      </c>
      <c r="G6" s="1607">
        <f>'Revenues 9-14'!G170</f>
        <v>0</v>
      </c>
      <c r="H6" s="1607">
        <f>'Revenues 9-14'!H170</f>
        <v>500000</v>
      </c>
      <c r="I6" s="1607">
        <f>'Revenues 9-14'!I170</f>
        <v>0</v>
      </c>
      <c r="J6" s="1607">
        <f>'Revenues 9-14'!J170</f>
        <v>0</v>
      </c>
      <c r="K6" s="1607">
        <f>'Revenues 9-14'!K170</f>
        <v>0</v>
      </c>
      <c r="L6" s="325"/>
      <c r="M6" s="448"/>
    </row>
    <row r="7" spans="1:13" ht="15.75" customHeight="1" x14ac:dyDescent="0.2">
      <c r="A7" s="1314" t="s">
        <v>1484</v>
      </c>
      <c r="B7" s="1316">
        <v>4000</v>
      </c>
      <c r="C7" s="1607">
        <f>'Revenues 9-14'!C267</f>
        <v>1429509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13106492</v>
      </c>
      <c r="D8" s="1594">
        <f t="shared" ref="D8:K8" si="0">SUM(D4:D7)</f>
        <v>1984295</v>
      </c>
      <c r="E8" s="1594">
        <f t="shared" si="0"/>
        <v>1928257</v>
      </c>
      <c r="F8" s="1594">
        <f t="shared" si="0"/>
        <v>1191032</v>
      </c>
      <c r="G8" s="1594">
        <f t="shared" si="0"/>
        <v>525892</v>
      </c>
      <c r="H8" s="1594">
        <f t="shared" si="0"/>
        <v>513238</v>
      </c>
      <c r="I8" s="1594">
        <f t="shared" si="0"/>
        <v>216763</v>
      </c>
      <c r="J8" s="1594">
        <f t="shared" si="0"/>
        <v>318502</v>
      </c>
      <c r="K8" s="1594">
        <f t="shared" si="0"/>
        <v>40351</v>
      </c>
      <c r="L8" s="325"/>
    </row>
    <row r="9" spans="1:13" ht="15.75" thickTop="1" x14ac:dyDescent="0.2">
      <c r="A9" s="449" t="s">
        <v>1633</v>
      </c>
      <c r="B9" s="450">
        <v>3998</v>
      </c>
      <c r="C9" s="1586">
        <v>5197142</v>
      </c>
      <c r="D9" s="1613"/>
      <c r="E9" s="1586"/>
      <c r="F9" s="1586"/>
      <c r="G9" s="1614"/>
      <c r="H9" s="1586"/>
      <c r="I9" s="1609" t="s">
        <v>1159</v>
      </c>
      <c r="J9" s="1583"/>
      <c r="K9" s="1586"/>
      <c r="L9" s="325"/>
    </row>
    <row r="10" spans="1:13" s="452" customFormat="1" ht="13.5" thickBot="1" x14ac:dyDescent="0.25">
      <c r="A10" s="1426" t="s">
        <v>1163</v>
      </c>
      <c r="B10" s="1407"/>
      <c r="C10" s="1594">
        <f>SUM(C8:C9)</f>
        <v>18303634</v>
      </c>
      <c r="D10" s="1594">
        <f t="shared" ref="D10:K10" si="1">SUM(D8:D9)</f>
        <v>1984295</v>
      </c>
      <c r="E10" s="1594">
        <f t="shared" si="1"/>
        <v>1928257</v>
      </c>
      <c r="F10" s="1594">
        <f t="shared" si="1"/>
        <v>1191032</v>
      </c>
      <c r="G10" s="1594">
        <f t="shared" si="1"/>
        <v>525892</v>
      </c>
      <c r="H10" s="1594">
        <f t="shared" si="1"/>
        <v>513238</v>
      </c>
      <c r="I10" s="1594">
        <f t="shared" si="1"/>
        <v>216763</v>
      </c>
      <c r="J10" s="1594">
        <f t="shared" si="1"/>
        <v>318502</v>
      </c>
      <c r="K10" s="1594">
        <f t="shared" si="1"/>
        <v>40351</v>
      </c>
      <c r="L10" s="451"/>
    </row>
    <row r="11" spans="1:13" s="452" customFormat="1" ht="16.7" customHeight="1" thickTop="1" x14ac:dyDescent="0.2">
      <c r="A11" s="2227" t="s">
        <v>1166</v>
      </c>
      <c r="B11" s="2228"/>
      <c r="C11" s="1602"/>
      <c r="D11" s="1603"/>
      <c r="E11" s="1603"/>
      <c r="F11" s="1603"/>
      <c r="G11" s="1603"/>
      <c r="H11" s="1603"/>
      <c r="I11" s="1603"/>
      <c r="J11" s="1603"/>
      <c r="K11" s="1615"/>
      <c r="L11" s="451"/>
    </row>
    <row r="12" spans="1:13" ht="15.75" customHeight="1" x14ac:dyDescent="0.2">
      <c r="A12" s="1314" t="s">
        <v>453</v>
      </c>
      <c r="B12" s="1316">
        <v>1000</v>
      </c>
      <c r="C12" s="1606">
        <f>'Expenditures 15-22'!K33</f>
        <v>7483851</v>
      </c>
      <c r="D12" s="1616" t="s">
        <v>1159</v>
      </c>
      <c r="E12" s="1575" t="s">
        <v>1159</v>
      </c>
      <c r="F12" s="1575" t="s">
        <v>1159</v>
      </c>
      <c r="G12" s="1606">
        <f>'Expenditures 15-22'!K229</f>
        <v>184803</v>
      </c>
      <c r="H12" s="1617"/>
      <c r="I12" s="1575" t="s">
        <v>1159</v>
      </c>
      <c r="J12" s="1575" t="s">
        <v>1159</v>
      </c>
      <c r="K12" s="1617" t="s">
        <v>1159</v>
      </c>
      <c r="L12" s="325"/>
    </row>
    <row r="13" spans="1:13" ht="15.75" customHeight="1" x14ac:dyDescent="0.2">
      <c r="A13" s="1314" t="s">
        <v>454</v>
      </c>
      <c r="B13" s="1316">
        <v>2000</v>
      </c>
      <c r="C13" s="1607">
        <f>'Expenditures 15-22'!K74</f>
        <v>4602894</v>
      </c>
      <c r="D13" s="1607">
        <f>'Expenditures 15-22'!K129</f>
        <v>1433125</v>
      </c>
      <c r="E13" s="1576" t="s">
        <v>1159</v>
      </c>
      <c r="F13" s="1607">
        <f>'Expenditures 15-22'!K184</f>
        <v>803577</v>
      </c>
      <c r="G13" s="1607">
        <f>'Expenditures 15-22'!K279</f>
        <v>356321</v>
      </c>
      <c r="H13" s="1607">
        <f>'Expenditures 15-22'!K303</f>
        <v>788054</v>
      </c>
      <c r="I13" s="1575" t="s">
        <v>1159</v>
      </c>
      <c r="J13" s="1607">
        <f>'Expenditures 15-22'!K330</f>
        <v>321651</v>
      </c>
      <c r="K13" s="1618">
        <f>'Expenditures 15-22'!K352</f>
        <v>17999</v>
      </c>
      <c r="L13" s="325"/>
    </row>
    <row r="14" spans="1:13" ht="15.75" customHeight="1" x14ac:dyDescent="0.2">
      <c r="A14" s="1314" t="s">
        <v>446</v>
      </c>
      <c r="B14" s="1316">
        <v>3000</v>
      </c>
      <c r="C14" s="1607">
        <f>'Expenditures 15-22'!K75</f>
        <v>57290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480893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2750156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12624928</v>
      </c>
      <c r="D17" s="1594">
        <f t="shared" si="2"/>
        <v>1433125</v>
      </c>
      <c r="E17" s="1594">
        <f t="shared" si="2"/>
        <v>2750156</v>
      </c>
      <c r="F17" s="1594">
        <f t="shared" si="2"/>
        <v>803577</v>
      </c>
      <c r="G17" s="1594">
        <f t="shared" si="2"/>
        <v>541124</v>
      </c>
      <c r="H17" s="1594">
        <f t="shared" si="2"/>
        <v>788054</v>
      </c>
      <c r="I17" s="1575"/>
      <c r="J17" s="1594">
        <f>SUM(J12:J16)</f>
        <v>321651</v>
      </c>
      <c r="K17" s="1594">
        <f>SUM(K12:K16)</f>
        <v>17999</v>
      </c>
      <c r="L17" s="325"/>
    </row>
    <row r="18" spans="1:12" ht="15" customHeight="1" thickTop="1" x14ac:dyDescent="0.2">
      <c r="A18" s="1430" t="s">
        <v>1634</v>
      </c>
      <c r="B18" s="1431">
        <v>4180</v>
      </c>
      <c r="C18" s="1606">
        <f t="shared" ref="C18:H18" si="3">C9</f>
        <v>5197142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17822070</v>
      </c>
      <c r="D19" s="1594">
        <f t="shared" si="4"/>
        <v>1433125</v>
      </c>
      <c r="E19" s="1594">
        <f t="shared" si="4"/>
        <v>2750156</v>
      </c>
      <c r="F19" s="1594">
        <f t="shared" si="4"/>
        <v>803577</v>
      </c>
      <c r="G19" s="1594">
        <f t="shared" si="4"/>
        <v>541124</v>
      </c>
      <c r="H19" s="1594">
        <f t="shared" si="4"/>
        <v>788054</v>
      </c>
      <c r="I19" s="1575"/>
      <c r="J19" s="1594">
        <f>SUM(J17:J18)</f>
        <v>321651</v>
      </c>
      <c r="K19" s="1594">
        <f>SUM(K17:K18)</f>
        <v>17999</v>
      </c>
      <c r="L19" s="325"/>
    </row>
    <row r="20" spans="1:12" ht="16.5" thickTop="1" thickBot="1" x14ac:dyDescent="0.25">
      <c r="A20" s="2243" t="s">
        <v>1635</v>
      </c>
      <c r="B20" s="2244"/>
      <c r="C20" s="1622">
        <f>C8-C17</f>
        <v>481564</v>
      </c>
      <c r="D20" s="1622">
        <f t="shared" ref="D20:K20" si="5">D8-D17</f>
        <v>551170</v>
      </c>
      <c r="E20" s="1622">
        <f t="shared" si="5"/>
        <v>-821899</v>
      </c>
      <c r="F20" s="1622">
        <f t="shared" si="5"/>
        <v>387455</v>
      </c>
      <c r="G20" s="1622">
        <f t="shared" si="5"/>
        <v>-15232</v>
      </c>
      <c r="H20" s="1622">
        <f t="shared" si="5"/>
        <v>-274816</v>
      </c>
      <c r="I20" s="1622">
        <f t="shared" si="5"/>
        <v>216763</v>
      </c>
      <c r="J20" s="1622">
        <f t="shared" si="5"/>
        <v>-3149</v>
      </c>
      <c r="K20" s="1622">
        <f t="shared" si="5"/>
        <v>22352</v>
      </c>
      <c r="L20" s="325"/>
    </row>
    <row r="21" spans="1:12" ht="16.7" customHeight="1" thickTop="1" x14ac:dyDescent="0.2">
      <c r="A21" s="2255" t="s">
        <v>591</v>
      </c>
      <c r="B21" s="2256"/>
      <c r="C21" s="1602"/>
      <c r="D21" s="1603"/>
      <c r="E21" s="1603"/>
      <c r="F21" s="1603"/>
      <c r="G21" s="1603"/>
      <c r="H21" s="1603"/>
      <c r="I21" s="1603"/>
      <c r="J21" s="1603"/>
      <c r="K21" s="1615"/>
      <c r="L21" s="453"/>
    </row>
    <row r="22" spans="1:12" ht="15.75" customHeight="1" collapsed="1" x14ac:dyDescent="0.2">
      <c r="A22" s="2251" t="s">
        <v>592</v>
      </c>
      <c r="B22" s="2252"/>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v>400000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1766</v>
      </c>
      <c r="B30" s="455">
        <v>7160</v>
      </c>
      <c r="C30" s="1582"/>
      <c r="D30" s="1574"/>
      <c r="E30" s="1582"/>
      <c r="F30" s="1582"/>
      <c r="G30" s="1582"/>
      <c r="H30" s="1582"/>
      <c r="I30" s="1582"/>
      <c r="J30" s="1582"/>
      <c r="K30" s="1582"/>
      <c r="L30" s="453"/>
    </row>
    <row r="31" spans="1:12" s="433" customFormat="1" ht="26.25" x14ac:dyDescent="0.2">
      <c r="A31" s="1260" t="s">
        <v>1770</v>
      </c>
      <c r="B31" s="455">
        <v>7170</v>
      </c>
      <c r="C31" s="1582"/>
      <c r="D31" s="1582"/>
      <c r="E31" s="1579"/>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800000</v>
      </c>
      <c r="F37" s="1580"/>
      <c r="G37" s="1580"/>
      <c r="H37" s="1580"/>
      <c r="I37" s="1582"/>
      <c r="J37" s="1580"/>
      <c r="K37" s="1580"/>
      <c r="L37" s="453"/>
    </row>
    <row r="38" spans="1:12" s="433" customFormat="1" x14ac:dyDescent="0.2">
      <c r="A38" s="1260" t="s">
        <v>439</v>
      </c>
      <c r="B38" s="454">
        <v>7500</v>
      </c>
      <c r="C38" s="1582"/>
      <c r="D38" s="1582"/>
      <c r="E38" s="1607">
        <f>SUM(C58:D61,H58:H61)</f>
        <v>31272</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7" t="s">
        <v>371</v>
      </c>
      <c r="B44" s="2258"/>
      <c r="C44" s="1624">
        <f>SUM(C24:C43)</f>
        <v>0</v>
      </c>
      <c r="D44" s="1624">
        <f t="shared" ref="D44:K44" si="6">SUM(D24:D43)</f>
        <v>400000</v>
      </c>
      <c r="E44" s="1624">
        <f t="shared" si="6"/>
        <v>831272</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1" t="s">
        <v>108</v>
      </c>
      <c r="B45" s="2252"/>
      <c r="C45" s="1625"/>
      <c r="D45" s="1625"/>
      <c r="E45" s="1625"/>
      <c r="F45" s="1625"/>
      <c r="G45" s="1625"/>
      <c r="H45" s="1625"/>
      <c r="I45" s="1625"/>
      <c r="J45" s="1625"/>
      <c r="K45" s="1625"/>
      <c r="L45" s="325"/>
    </row>
    <row r="46" spans="1:12" s="433" customFormat="1" ht="15.75" customHeight="1" x14ac:dyDescent="0.2">
      <c r="A46" s="2259" t="s">
        <v>109</v>
      </c>
      <c r="B46" s="226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400000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1769</v>
      </c>
      <c r="B52" s="432">
        <v>8160</v>
      </c>
      <c r="C52" s="1582"/>
      <c r="D52" s="1582"/>
      <c r="E52" s="1582"/>
      <c r="F52" s="1582"/>
      <c r="G52" s="1582"/>
      <c r="H52" s="1582"/>
      <c r="I52" s="1582"/>
      <c r="J52" s="1582"/>
      <c r="K52" s="1607">
        <f>D30</f>
        <v>0</v>
      </c>
      <c r="L52" s="453"/>
    </row>
    <row r="53" spans="1:12" s="433" customFormat="1" ht="26.25" x14ac:dyDescent="0.2">
      <c r="A53" s="1261" t="s">
        <v>1768</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v>800000</v>
      </c>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v>31272</v>
      </c>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3" t="s">
        <v>437</v>
      </c>
      <c r="B76" s="2234"/>
      <c r="C76" s="1624">
        <f t="shared" ref="C76:K76" si="7">SUM(C47:C75)</f>
        <v>0</v>
      </c>
      <c r="D76" s="1624">
        <f t="shared" si="7"/>
        <v>800000</v>
      </c>
      <c r="E76" s="1624">
        <f t="shared" si="7"/>
        <v>0</v>
      </c>
      <c r="F76" s="1624">
        <f t="shared" si="7"/>
        <v>0</v>
      </c>
      <c r="G76" s="1624">
        <f t="shared" si="7"/>
        <v>0</v>
      </c>
      <c r="H76" s="1624">
        <f t="shared" si="7"/>
        <v>31272</v>
      </c>
      <c r="I76" s="1624">
        <f t="shared" si="7"/>
        <v>400000</v>
      </c>
      <c r="J76" s="1624">
        <f t="shared" si="7"/>
        <v>0</v>
      </c>
      <c r="K76" s="1624">
        <f t="shared" si="7"/>
        <v>0</v>
      </c>
      <c r="L76" s="453"/>
    </row>
    <row r="77" spans="1:12" ht="14.25" thickTop="1" thickBot="1" x14ac:dyDescent="0.25">
      <c r="A77" s="2235" t="s">
        <v>1167</v>
      </c>
      <c r="B77" s="2236"/>
      <c r="C77" s="1624">
        <f t="shared" ref="C77:K77" si="8">C44-C76</f>
        <v>0</v>
      </c>
      <c r="D77" s="1624">
        <f t="shared" si="8"/>
        <v>-400000</v>
      </c>
      <c r="E77" s="1624">
        <f t="shared" si="8"/>
        <v>831272</v>
      </c>
      <c r="F77" s="1624">
        <f t="shared" si="8"/>
        <v>0</v>
      </c>
      <c r="G77" s="1624">
        <f t="shared" si="8"/>
        <v>0</v>
      </c>
      <c r="H77" s="1624">
        <f t="shared" si="8"/>
        <v>-31272</v>
      </c>
      <c r="I77" s="1624">
        <f t="shared" si="8"/>
        <v>-400000</v>
      </c>
      <c r="J77" s="1624">
        <f t="shared" si="8"/>
        <v>0</v>
      </c>
      <c r="K77" s="1624">
        <f t="shared" si="8"/>
        <v>0</v>
      </c>
      <c r="L77" s="325"/>
    </row>
    <row r="78" spans="1:12" ht="21.75" customHeight="1" thickTop="1" thickBot="1" x14ac:dyDescent="0.25">
      <c r="A78" s="2239" t="s">
        <v>593</v>
      </c>
      <c r="B78" s="2240"/>
      <c r="C78" s="1629">
        <f t="shared" ref="C78:K78" si="9">C20+C77</f>
        <v>481564</v>
      </c>
      <c r="D78" s="1629">
        <f t="shared" si="9"/>
        <v>151170</v>
      </c>
      <c r="E78" s="1629">
        <f t="shared" si="9"/>
        <v>9373</v>
      </c>
      <c r="F78" s="1629">
        <f t="shared" si="9"/>
        <v>387455</v>
      </c>
      <c r="G78" s="1629">
        <f t="shared" si="9"/>
        <v>-15232</v>
      </c>
      <c r="H78" s="1629">
        <f t="shared" si="9"/>
        <v>-306088</v>
      </c>
      <c r="I78" s="1629">
        <f t="shared" si="9"/>
        <v>-183237</v>
      </c>
      <c r="J78" s="1629">
        <f t="shared" si="9"/>
        <v>-3149</v>
      </c>
      <c r="K78" s="1629">
        <f t="shared" si="9"/>
        <v>22352</v>
      </c>
      <c r="L78" s="457"/>
    </row>
    <row r="79" spans="1:12" ht="13.5" thickTop="1" x14ac:dyDescent="0.2">
      <c r="A79" s="1844" t="str">
        <f>"Fund Balances - July 1, "&amp;'AFR20'!E2-1</f>
        <v>Fund Balances - July 1, 2019</v>
      </c>
      <c r="B79" s="458"/>
      <c r="C79" s="1583">
        <v>5318041</v>
      </c>
      <c r="D79" s="1630">
        <v>1531263</v>
      </c>
      <c r="E79" s="1630">
        <v>27029</v>
      </c>
      <c r="F79" s="1630">
        <v>1034268</v>
      </c>
      <c r="G79" s="1630">
        <v>259509</v>
      </c>
      <c r="H79" s="1630">
        <v>701093</v>
      </c>
      <c r="I79" s="1630">
        <v>1512984</v>
      </c>
      <c r="J79" s="1630">
        <v>248765</v>
      </c>
      <c r="K79" s="1630">
        <v>127999</v>
      </c>
      <c r="L79" s="325"/>
    </row>
    <row r="80" spans="1:12" x14ac:dyDescent="0.2">
      <c r="A80" s="2245" t="s">
        <v>1767</v>
      </c>
      <c r="B80" s="2246"/>
      <c r="C80" s="1574"/>
      <c r="D80" s="1574"/>
      <c r="E80" s="1574"/>
      <c r="F80" s="1574"/>
      <c r="G80" s="1574"/>
      <c r="H80" s="1574"/>
      <c r="I80" s="1574"/>
      <c r="J80" s="1574"/>
      <c r="K80" s="1574"/>
      <c r="L80" s="325"/>
    </row>
    <row r="81" spans="1:12" ht="13.5" thickBot="1" x14ac:dyDescent="0.25">
      <c r="A81" s="2237" t="str">
        <f>"Fund Balances - June 30, "&amp;'AFR20'!E2</f>
        <v>Fund Balances - June 30, 2020</v>
      </c>
      <c r="B81" s="2238"/>
      <c r="C81" s="1594">
        <f>(SUM(C78:C80))</f>
        <v>5799605</v>
      </c>
      <c r="D81" s="1594">
        <f>SUM(D78:D80)</f>
        <v>1682433</v>
      </c>
      <c r="E81" s="1594">
        <f t="shared" ref="E81:K81" si="10">SUM(E78:E80)</f>
        <v>36402</v>
      </c>
      <c r="F81" s="1594">
        <f t="shared" si="10"/>
        <v>1421723</v>
      </c>
      <c r="G81" s="1594">
        <f t="shared" si="10"/>
        <v>244277</v>
      </c>
      <c r="H81" s="1594">
        <f t="shared" si="10"/>
        <v>395005</v>
      </c>
      <c r="I81" s="1594">
        <f t="shared" si="10"/>
        <v>1329747</v>
      </c>
      <c r="J81" s="1594">
        <f t="shared" si="10"/>
        <v>245616</v>
      </c>
      <c r="K81" s="1594">
        <f t="shared" si="10"/>
        <v>150351</v>
      </c>
      <c r="L81" s="325"/>
    </row>
    <row r="82" spans="1:12" ht="0.75" customHeight="1" thickTop="1" thickBot="1" x14ac:dyDescent="0.25">
      <c r="A82" s="459" t="s">
        <v>340</v>
      </c>
      <c r="B82" s="460"/>
      <c r="C82" s="461">
        <f>(C81-C79)</f>
        <v>481564</v>
      </c>
      <c r="D82" s="461">
        <f t="shared" ref="D82:K82" si="11">(D81-D79)</f>
        <v>151170</v>
      </c>
      <c r="E82" s="461">
        <f t="shared" si="11"/>
        <v>9373</v>
      </c>
      <c r="F82" s="461">
        <f t="shared" si="11"/>
        <v>387455</v>
      </c>
      <c r="G82" s="461">
        <f t="shared" si="11"/>
        <v>-15232</v>
      </c>
      <c r="H82" s="461">
        <f t="shared" si="11"/>
        <v>-306088</v>
      </c>
      <c r="I82" s="461">
        <f t="shared" si="11"/>
        <v>-183237</v>
      </c>
      <c r="J82" s="461">
        <f t="shared" si="11"/>
        <v>-3149</v>
      </c>
      <c r="K82" s="461">
        <f t="shared" si="11"/>
        <v>22352</v>
      </c>
    </row>
    <row r="83" spans="1:12" ht="14.25" hidden="1" thickTop="1" thickBot="1" x14ac:dyDescent="0.25">
      <c r="A83" s="462" t="s">
        <v>341</v>
      </c>
      <c r="B83" s="428"/>
      <c r="C83" s="463">
        <f>C82/C81</f>
        <v>8.3033930759077557E-2</v>
      </c>
      <c r="D83" s="463">
        <f t="shared" ref="D83:K83" si="12">D82/D81</f>
        <v>8.9852017881246984E-2</v>
      </c>
      <c r="E83" s="463">
        <f t="shared" si="12"/>
        <v>0.25748585242569089</v>
      </c>
      <c r="F83" s="463">
        <f t="shared" si="12"/>
        <v>0.2725249573932475</v>
      </c>
      <c r="G83" s="463">
        <f t="shared" si="12"/>
        <v>-6.2355440749640778E-2</v>
      </c>
      <c r="H83" s="463">
        <f t="shared" si="12"/>
        <v>-0.77489652029721146</v>
      </c>
      <c r="I83" s="463">
        <f t="shared" si="12"/>
        <v>-0.13779839322818552</v>
      </c>
      <c r="J83" s="463">
        <f t="shared" si="12"/>
        <v>-1.2820826004820533E-2</v>
      </c>
      <c r="K83" s="463">
        <f t="shared" si="12"/>
        <v>0.14866545616590512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D1" colorId="8" zoomScaleNormal="100" zoomScaleSheetLayoutView="75" workbookViewId="0">
      <pane ySplit="2" topLeftCell="A48" activePane="bottomLeft" state="frozen"/>
      <selection activeCell="A40" sqref="A40:H40"/>
      <selection pane="bottomLeft" activeCell="F65" sqref="F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1774</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4871729</v>
      </c>
      <c r="D5" s="1586">
        <v>1208199</v>
      </c>
      <c r="E5" s="1573">
        <v>1925090</v>
      </c>
      <c r="F5" s="1631">
        <v>779511</v>
      </c>
      <c r="G5" s="1573">
        <v>194936</v>
      </c>
      <c r="H5" s="1573"/>
      <c r="I5" s="1573">
        <v>188604</v>
      </c>
      <c r="J5" s="1574">
        <v>292346</v>
      </c>
      <c r="K5" s="1573">
        <v>39011</v>
      </c>
    </row>
    <row r="6" spans="1:12" ht="15" x14ac:dyDescent="0.2">
      <c r="A6" s="427" t="s">
        <v>1642</v>
      </c>
      <c r="B6" s="429">
        <v>1130</v>
      </c>
      <c r="C6" s="1573">
        <v>195200</v>
      </c>
      <c r="D6" s="1573"/>
      <c r="E6" s="1580"/>
      <c r="F6" s="1580"/>
      <c r="G6" s="1575"/>
      <c r="H6" s="1575"/>
      <c r="I6" s="1575"/>
      <c r="J6" s="1575"/>
      <c r="K6" s="1575"/>
    </row>
    <row r="7" spans="1:12" x14ac:dyDescent="0.2">
      <c r="A7" s="427" t="s">
        <v>110</v>
      </c>
      <c r="B7" s="471">
        <v>1140</v>
      </c>
      <c r="C7" s="1573">
        <v>194936</v>
      </c>
      <c r="D7" s="1573"/>
      <c r="E7" s="1575"/>
      <c r="F7" s="1574"/>
      <c r="G7" s="1574"/>
      <c r="H7" s="1574"/>
      <c r="I7" s="1575"/>
      <c r="J7" s="1575"/>
      <c r="K7" s="1575"/>
    </row>
    <row r="8" spans="1:12" x14ac:dyDescent="0.2">
      <c r="A8" s="427" t="s">
        <v>410</v>
      </c>
      <c r="B8" s="429">
        <v>1150</v>
      </c>
      <c r="C8" s="1580"/>
      <c r="D8" s="1580"/>
      <c r="E8" s="1582"/>
      <c r="F8" s="1582"/>
      <c r="G8" s="1586">
        <f>272183+472</f>
        <v>272655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5261865</v>
      </c>
      <c r="D12" s="1633">
        <f t="shared" si="0"/>
        <v>1208199</v>
      </c>
      <c r="E12" s="1633">
        <f t="shared" si="0"/>
        <v>1925090</v>
      </c>
      <c r="F12" s="1633">
        <f t="shared" si="0"/>
        <v>779511</v>
      </c>
      <c r="G12" s="1633">
        <f t="shared" si="0"/>
        <v>467591</v>
      </c>
      <c r="H12" s="1633">
        <f t="shared" si="0"/>
        <v>0</v>
      </c>
      <c r="I12" s="1633">
        <f t="shared" si="0"/>
        <v>188604</v>
      </c>
      <c r="J12" s="1633">
        <f t="shared" si="0"/>
        <v>292346</v>
      </c>
      <c r="K12" s="1594">
        <f t="shared" si="0"/>
        <v>39011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603838</v>
      </c>
      <c r="D16" s="1573">
        <v>80000</v>
      </c>
      <c r="E16" s="1573"/>
      <c r="F16" s="1573"/>
      <c r="G16" s="1573">
        <v>55000</v>
      </c>
      <c r="H16" s="1573"/>
      <c r="I16" s="1573"/>
      <c r="J16" s="1574"/>
      <c r="K16" s="1573"/>
    </row>
    <row r="17" spans="1:11" ht="12.75" customHeight="1" x14ac:dyDescent="0.2">
      <c r="A17" s="427" t="s">
        <v>802</v>
      </c>
      <c r="B17" s="429">
        <v>1290</v>
      </c>
      <c r="C17" s="1632"/>
      <c r="D17" s="1573">
        <v>5490</v>
      </c>
      <c r="E17" s="1573"/>
      <c r="F17" s="1573"/>
      <c r="G17" s="1573"/>
      <c r="H17" s="1573"/>
      <c r="I17" s="1573"/>
      <c r="J17" s="1574"/>
      <c r="K17" s="1573"/>
    </row>
    <row r="18" spans="1:11" ht="12.75" customHeight="1" thickBot="1" x14ac:dyDescent="0.25">
      <c r="A18" s="1406" t="s">
        <v>534</v>
      </c>
      <c r="B18" s="1407"/>
      <c r="C18" s="1635">
        <f>SUM(C14:C17)</f>
        <v>603838</v>
      </c>
      <c r="D18" s="1635">
        <f t="shared" ref="D18:K18" si="1">SUM(D14:D17)</f>
        <v>85490</v>
      </c>
      <c r="E18" s="1635">
        <f t="shared" si="1"/>
        <v>0</v>
      </c>
      <c r="F18" s="1635">
        <f t="shared" si="1"/>
        <v>0</v>
      </c>
      <c r="G18" s="1635">
        <f t="shared" si="1"/>
        <v>55000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57944</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57944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52536</v>
      </c>
      <c r="D65" s="1573">
        <v>17208</v>
      </c>
      <c r="E65" s="1573">
        <v>3167</v>
      </c>
      <c r="F65" s="1574">
        <v>12254</v>
      </c>
      <c r="G65" s="1573">
        <v>3301</v>
      </c>
      <c r="H65" s="1573">
        <v>13238</v>
      </c>
      <c r="I65" s="1573">
        <f>26524+1635</f>
        <v>28159</v>
      </c>
      <c r="J65" s="1574">
        <v>1619</v>
      </c>
      <c r="K65" s="1573">
        <v>1340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52536</v>
      </c>
      <c r="D67" s="1594">
        <f t="shared" ref="D67:K67" si="2">SUM(D65:D66)</f>
        <v>17208</v>
      </c>
      <c r="E67" s="1594">
        <f t="shared" si="2"/>
        <v>3167</v>
      </c>
      <c r="F67" s="1594">
        <f t="shared" si="2"/>
        <v>12254</v>
      </c>
      <c r="G67" s="1594">
        <f t="shared" si="2"/>
        <v>3301</v>
      </c>
      <c r="H67" s="1594">
        <f t="shared" si="2"/>
        <v>13238</v>
      </c>
      <c r="I67" s="1594">
        <f t="shared" si="2"/>
        <v>28159</v>
      </c>
      <c r="J67" s="1594">
        <f t="shared" si="2"/>
        <v>1619</v>
      </c>
      <c r="K67" s="1594">
        <f t="shared" si="2"/>
        <v>1340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112656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208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112864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72568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43890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5548</v>
      </c>
      <c r="D81" s="1573"/>
      <c r="E81" s="1575"/>
      <c r="F81" s="1575"/>
      <c r="G81" s="1575"/>
      <c r="H81" s="1575"/>
      <c r="I81" s="1575"/>
      <c r="J81" s="1575"/>
      <c r="K81" s="1575"/>
    </row>
    <row r="82" spans="1:11" ht="12.75" customHeight="1" thickBot="1" x14ac:dyDescent="0.25">
      <c r="A82" s="1406" t="s">
        <v>239</v>
      </c>
      <c r="B82" s="1407"/>
      <c r="C82" s="1633">
        <f>SUM(C77:C81)</f>
        <v>122006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61248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2094</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63342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765</v>
      </c>
      <c r="E95" s="1617"/>
      <c r="F95" s="1617"/>
      <c r="G95" s="1617"/>
      <c r="H95" s="1617"/>
      <c r="I95" s="1617"/>
      <c r="J95" s="1617"/>
      <c r="K95" s="1617"/>
    </row>
    <row r="96" spans="1:11" ht="12.75" customHeight="1" x14ac:dyDescent="0.2">
      <c r="A96" s="427" t="s">
        <v>388</v>
      </c>
      <c r="B96" s="429">
        <v>1920</v>
      </c>
      <c r="C96" s="1632">
        <v>555</v>
      </c>
      <c r="D96" s="1632">
        <v>5000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7140</v>
      </c>
      <c r="D99" s="1573"/>
      <c r="E99" s="1573"/>
      <c r="F99" s="1573">
        <v>25960</v>
      </c>
      <c r="G99" s="1573"/>
      <c r="H99" s="1573"/>
      <c r="I99" s="1575"/>
      <c r="J99" s="1574">
        <v>24537</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75145</v>
      </c>
      <c r="D107" s="1573">
        <v>412548</v>
      </c>
      <c r="E107" s="1573"/>
      <c r="F107" s="1573">
        <v>2888</v>
      </c>
      <c r="G107" s="1573"/>
      <c r="H107" s="1573"/>
      <c r="I107" s="1573"/>
      <c r="J107" s="1574"/>
      <c r="K107" s="1573"/>
    </row>
    <row r="108" spans="1:12" ht="12.75" customHeight="1" thickBot="1" x14ac:dyDescent="0.25">
      <c r="A108" s="1406" t="s">
        <v>484</v>
      </c>
      <c r="B108" s="1408"/>
      <c r="C108" s="1633">
        <f>SUM(C95:C107)</f>
        <v>82840</v>
      </c>
      <c r="D108" s="1633">
        <f t="shared" ref="D108:K108" si="3">SUM(D95:D107)</f>
        <v>418313</v>
      </c>
      <c r="E108" s="1633">
        <f t="shared" si="3"/>
        <v>0</v>
      </c>
      <c r="F108" s="1633">
        <f t="shared" si="3"/>
        <v>28848</v>
      </c>
      <c r="G108" s="1633">
        <f t="shared" si="3"/>
        <v>0</v>
      </c>
      <c r="H108" s="1633">
        <f t="shared" si="3"/>
        <v>0</v>
      </c>
      <c r="I108" s="1633">
        <f t="shared" si="3"/>
        <v>0</v>
      </c>
      <c r="J108" s="1633">
        <f t="shared" si="3"/>
        <v>24537</v>
      </c>
      <c r="K108" s="1594">
        <f t="shared" si="3"/>
        <v>0</v>
      </c>
    </row>
    <row r="109" spans="1:12" ht="14.25" thickTop="1" thickBot="1" x14ac:dyDescent="0.25">
      <c r="A109" s="1409" t="s">
        <v>246</v>
      </c>
      <c r="B109" s="1410" t="s">
        <v>566</v>
      </c>
      <c r="C109" s="1641">
        <f t="shared" ref="C109:K109" si="4">SUM(C12,C18,C40,C63,C67,C75,C82,C93,C108,)</f>
        <v>6357235</v>
      </c>
      <c r="D109" s="1641">
        <f t="shared" si="4"/>
        <v>1729210</v>
      </c>
      <c r="E109" s="1641">
        <f t="shared" si="4"/>
        <v>1928257</v>
      </c>
      <c r="F109" s="1641">
        <f t="shared" si="4"/>
        <v>820613</v>
      </c>
      <c r="G109" s="1641">
        <f t="shared" si="4"/>
        <v>525892</v>
      </c>
      <c r="H109" s="1641">
        <f t="shared" si="4"/>
        <v>13238</v>
      </c>
      <c r="I109" s="1641">
        <f t="shared" si="4"/>
        <v>216763</v>
      </c>
      <c r="J109" s="1641">
        <f t="shared" si="4"/>
        <v>318502</v>
      </c>
      <c r="K109" s="1629">
        <f t="shared" si="4"/>
        <v>40351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4691892</v>
      </c>
      <c r="D117" s="1586">
        <v>245000</v>
      </c>
      <c r="E117" s="1573"/>
      <c r="F117" s="1586"/>
      <c r="G117" s="1586"/>
      <c r="H117" s="1573">
        <v>500000</v>
      </c>
      <c r="I117" s="1575"/>
      <c r="J117" s="1574"/>
      <c r="K117" s="1573"/>
    </row>
    <row r="118" spans="1:11" ht="12.75" customHeight="1" x14ac:dyDescent="0.2">
      <c r="A118" s="427" t="s">
        <v>1771</v>
      </c>
      <c r="B118" s="478">
        <v>3002</v>
      </c>
      <c r="C118" s="1632"/>
      <c r="D118" s="1573"/>
      <c r="E118" s="1573"/>
      <c r="F118" s="1573"/>
      <c r="G118" s="1573"/>
      <c r="H118" s="1573"/>
      <c r="I118" s="1575"/>
      <c r="J118" s="1574"/>
      <c r="K118" s="1573"/>
    </row>
    <row r="119" spans="1:11" ht="12.75" customHeight="1" x14ac:dyDescent="0.2">
      <c r="A119" s="427" t="s">
        <v>1772</v>
      </c>
      <c r="B119" s="478">
        <v>3005</v>
      </c>
      <c r="C119" s="1632"/>
      <c r="D119" s="1573"/>
      <c r="E119" s="1573"/>
      <c r="F119" s="1573"/>
      <c r="G119" s="1573"/>
      <c r="H119" s="1573"/>
      <c r="I119" s="1575"/>
      <c r="J119" s="1574"/>
      <c r="K119" s="1573"/>
    </row>
    <row r="120" spans="1:11" ht="12.75" customHeight="1" x14ac:dyDescent="0.2">
      <c r="A120" s="1539" t="s">
        <v>1890</v>
      </c>
      <c r="B120" s="478">
        <v>3030</v>
      </c>
      <c r="C120" s="1632"/>
      <c r="D120" s="1573"/>
      <c r="E120" s="1573"/>
      <c r="F120" s="1573"/>
      <c r="G120" s="1573"/>
      <c r="H120" s="1573"/>
      <c r="I120" s="1575"/>
      <c r="J120" s="1574"/>
      <c r="K120" s="1573"/>
    </row>
    <row r="121" spans="1:11" x14ac:dyDescent="0.2">
      <c r="A121" s="1266" t="s">
        <v>1773</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4691892</v>
      </c>
      <c r="D122" s="1633">
        <f t="shared" si="5"/>
        <v>245000</v>
      </c>
      <c r="E122" s="1633">
        <f t="shared" si="5"/>
        <v>0</v>
      </c>
      <c r="F122" s="1633">
        <f t="shared" si="5"/>
        <v>0</v>
      </c>
      <c r="G122" s="1633">
        <f t="shared" si="5"/>
        <v>0</v>
      </c>
      <c r="H122" s="1633">
        <f t="shared" si="5"/>
        <v>500000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373900</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373919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55380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7809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63189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5126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41733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240698</v>
      </c>
      <c r="G152" s="1574"/>
      <c r="H152" s="1575"/>
      <c r="I152" s="1575"/>
      <c r="J152" s="1575"/>
      <c r="K152" s="1575"/>
    </row>
    <row r="153" spans="1:11" ht="12.75" customHeight="1" x14ac:dyDescent="0.2">
      <c r="A153" s="427" t="s">
        <v>1048</v>
      </c>
      <c r="B153" s="478">
        <v>3510</v>
      </c>
      <c r="C153" s="1632"/>
      <c r="D153" s="1573"/>
      <c r="E153" s="1640"/>
      <c r="F153" s="1573">
        <v>129721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370419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65830</v>
      </c>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10085</v>
      </c>
      <c r="E167" s="1617"/>
      <c r="F167" s="1617"/>
      <c r="G167" s="1575"/>
      <c r="H167" s="1627"/>
      <c r="I167" s="1575"/>
      <c r="J167" s="1575"/>
      <c r="K167" s="1626"/>
    </row>
    <row r="168" spans="1:11" ht="14.25" thickTop="1" thickBot="1" x14ac:dyDescent="0.25">
      <c r="A168" s="1270" t="s">
        <v>70</v>
      </c>
      <c r="B168" s="484">
        <v>3999</v>
      </c>
      <c r="C168" s="1654">
        <v>78059</v>
      </c>
      <c r="D168" s="1655"/>
      <c r="E168" s="1655"/>
      <c r="F168" s="1655"/>
      <c r="G168" s="1656"/>
      <c r="H168" s="1657"/>
      <c r="I168" s="1656"/>
      <c r="J168" s="1656"/>
      <c r="K168" s="1657"/>
    </row>
    <row r="169" spans="1:11" ht="12.75" customHeight="1" thickTop="1" thickBot="1" x14ac:dyDescent="0.25">
      <c r="A169" s="2261" t="s">
        <v>395</v>
      </c>
      <c r="B169" s="2262"/>
      <c r="C169" s="1658">
        <f t="shared" ref="C169:K169" si="6">SUM(C132,C141,C145,C146:C150,C155,C156:C167,C168)</f>
        <v>627856</v>
      </c>
      <c r="D169" s="1658">
        <f t="shared" si="6"/>
        <v>10085</v>
      </c>
      <c r="E169" s="1658">
        <f t="shared" si="6"/>
        <v>0</v>
      </c>
      <c r="F169" s="1658">
        <f t="shared" si="6"/>
        <v>370419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5319748</v>
      </c>
      <c r="D170" s="1641">
        <f t="shared" si="7"/>
        <v>255085</v>
      </c>
      <c r="E170" s="1641">
        <f t="shared" si="7"/>
        <v>0</v>
      </c>
      <c r="F170" s="1641">
        <f t="shared" si="7"/>
        <v>370419</v>
      </c>
      <c r="G170" s="1641">
        <f t="shared" si="7"/>
        <v>0</v>
      </c>
      <c r="H170" s="1641">
        <f t="shared" si="7"/>
        <v>500000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3" t="s">
        <v>1474</v>
      </c>
      <c r="B172" s="226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7" t="s">
        <v>1645</v>
      </c>
      <c r="B175" s="226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1" t="s">
        <v>1644</v>
      </c>
      <c r="B176" s="227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9" t="s">
        <v>780</v>
      </c>
      <c r="B181" s="227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5" t="s">
        <v>1775</v>
      </c>
      <c r="B182" s="226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v>20674</v>
      </c>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20674</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1049</v>
      </c>
      <c r="B191" s="429">
        <v>4210</v>
      </c>
      <c r="C191" s="1573">
        <v>293450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60053</v>
      </c>
      <c r="D193" s="1575"/>
      <c r="E193" s="1640"/>
      <c r="F193" s="1575"/>
      <c r="G193" s="1664"/>
      <c r="H193" s="1575"/>
      <c r="I193" s="1575"/>
      <c r="J193" s="1575"/>
      <c r="K193" s="1575"/>
    </row>
    <row r="194" spans="1:11" ht="12.75" customHeight="1" x14ac:dyDescent="0.2">
      <c r="A194" s="427" t="s">
        <v>1433</v>
      </c>
      <c r="B194" s="429">
        <v>4225</v>
      </c>
      <c r="C194" s="1632">
        <v>22089</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375592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652990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652990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1436</v>
      </c>
      <c r="B213" s="475">
        <v>4620</v>
      </c>
      <c r="C213" s="1632">
        <v>108989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108989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21554</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21554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1891</v>
      </c>
      <c r="B261" s="429">
        <v>4981</v>
      </c>
      <c r="C261" s="1650"/>
      <c r="D261" s="1651"/>
      <c r="E261" s="1575"/>
      <c r="F261" s="1651"/>
      <c r="G261" s="1651"/>
      <c r="H261" s="1575"/>
      <c r="I261" s="1575"/>
      <c r="J261" s="1575"/>
      <c r="K261" s="1575"/>
    </row>
    <row r="262" spans="1:11" ht="12.75" customHeight="1" thickTop="1" thickBot="1" x14ac:dyDescent="0.25">
      <c r="A262" s="1540" t="s">
        <v>1892</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26071</v>
      </c>
      <c r="D263" s="1651"/>
      <c r="E263" s="1575"/>
      <c r="F263" s="1651"/>
      <c r="G263" s="1651"/>
      <c r="H263" s="1575"/>
      <c r="I263" s="1575"/>
      <c r="J263" s="1575"/>
      <c r="K263" s="1575"/>
    </row>
    <row r="264" spans="1:11" ht="12.75" customHeight="1" thickTop="1" thickBot="1" x14ac:dyDescent="0.25">
      <c r="A264" s="427" t="s">
        <v>374</v>
      </c>
      <c r="B264" s="429">
        <v>4992</v>
      </c>
      <c r="C264" s="1650">
        <v>177989</v>
      </c>
      <c r="D264" s="1651"/>
      <c r="E264" s="1575"/>
      <c r="F264" s="1651"/>
      <c r="G264" s="1651"/>
      <c r="H264" s="1575"/>
      <c r="I264" s="1575"/>
      <c r="J264" s="1575"/>
      <c r="K264" s="1575"/>
    </row>
    <row r="265" spans="1:11" s="489" customFormat="1" ht="12.75" customHeight="1" thickTop="1" thickBot="1" x14ac:dyDescent="0.25">
      <c r="A265" s="479" t="s">
        <v>75</v>
      </c>
      <c r="B265" s="475">
        <v>4998</v>
      </c>
      <c r="C265" s="1650">
        <v>45650</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1429509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1429509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13106492</v>
      </c>
      <c r="D268" s="1641">
        <f t="shared" si="12"/>
        <v>1984295</v>
      </c>
      <c r="E268" s="1641">
        <f t="shared" si="12"/>
        <v>1928257</v>
      </c>
      <c r="F268" s="1641">
        <f t="shared" si="12"/>
        <v>1191032</v>
      </c>
      <c r="G268" s="1641">
        <f t="shared" si="12"/>
        <v>525892</v>
      </c>
      <c r="H268" s="1641">
        <f t="shared" si="12"/>
        <v>513238</v>
      </c>
      <c r="I268" s="1641">
        <f t="shared" si="12"/>
        <v>216763</v>
      </c>
      <c r="J268" s="1641">
        <f t="shared" si="12"/>
        <v>318502</v>
      </c>
      <c r="K268" s="1629">
        <f t="shared" si="12"/>
        <v>40351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microsoft.com/sharepoint/v3"/>
    <ds:schemaRef ds:uri="http://schemas.openxmlformats.org/package/2006/metadata/core-properties"/>
    <ds:schemaRef ds:uri="http://purl.org/dc/elements/1.1/"/>
    <ds:schemaRef ds:uri="d21dc803-237d-4c68-8692-8d731fd29118"/>
    <ds:schemaRef ds:uri="http://schemas.microsoft.com/office/2006/metadata/properties"/>
    <ds:schemaRef ds:uri="http://purl.org/dc/terms/"/>
    <ds:schemaRef ds:uri="6ce3111e-7420-4802-b50a-75d4e9a0b980"/>
    <ds:schemaRef ds:uri="4d435f69-8686-490b-bd6d-b153bf22ab50"/>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AFR20</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Single Audit Cover</vt:lpstr>
      <vt:lpstr>Single Audit Checklist</vt:lpstr>
      <vt:lpstr>SEFA Reconcile</vt:lpstr>
      <vt:lpstr> SEFA</vt:lpstr>
      <vt:lpstr> SEFA (2)</vt:lpstr>
      <vt:lpstr> SEFA (3)</vt:lpstr>
      <vt:lpstr> SEFA (5)</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2020-10-15T19:25:33Z</cp:lastPrinted>
  <dcterms:created xsi:type="dcterms:W3CDTF">2003-10-29T19:06:34Z</dcterms:created>
  <dcterms:modified xsi:type="dcterms:W3CDTF">2020-11-10T01:09:41Z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