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0957A45-90BE-4782-9F17-B71EF33A5F72}"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B7705" i="106"/>
  <c r="D7705" i="106" s="1"/>
  <c r="E67" i="184"/>
  <c r="N67" i="184" s="1"/>
  <c r="B7180" i="106"/>
  <c r="D7180" i="106" s="1"/>
  <c r="E63" i="184"/>
  <c r="N63" i="184" s="1"/>
  <c r="B7126" i="106"/>
  <c r="D7126" i="106" s="1"/>
  <c r="E57" i="184"/>
  <c r="N57" i="184" s="1"/>
  <c r="G33" i="108"/>
  <c r="E17" i="184"/>
  <c r="H17" i="184" s="1"/>
  <c r="G30" i="108"/>
  <c r="H12" i="184"/>
  <c r="H19" i="184" s="1"/>
  <c r="L20" i="184" s="1"/>
  <c r="E19" i="184"/>
  <c r="B7198" i="106"/>
  <c r="D7198" i="106" s="1"/>
  <c r="E65" i="184"/>
  <c r="N65" i="184" s="1"/>
  <c r="B7153" i="106"/>
  <c r="D7153" i="106" s="1"/>
  <c r="E60" i="184"/>
  <c r="N60" i="184" s="1"/>
  <c r="B7135" i="106"/>
  <c r="D7135" i="106" s="1"/>
  <c r="E58" i="184"/>
  <c r="N58" i="184" s="1"/>
  <c r="B7162" i="106"/>
  <c r="D7162" i="106" s="1"/>
  <c r="E61"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2" i="106"/>
  <c r="D7222" i="106" s="1"/>
  <c r="F76" i="34"/>
  <c r="B7887" i="106" s="1"/>
  <c r="D7887" i="106" s="1"/>
  <c r="B7220" i="106"/>
  <c r="D7220" i="106" s="1"/>
  <c r="F75" i="34"/>
  <c r="B7886" i="106" s="1"/>
  <c r="D7886" i="106" s="1"/>
  <c r="G170" i="5"/>
  <c r="B5778" i="106" s="1"/>
  <c r="D5778" i="106" s="1"/>
  <c r="L114" i="29"/>
  <c r="F41" i="108"/>
  <c r="G43" i="108" s="1"/>
  <c r="N61" i="184"/>
  <c r="N68" i="184" s="1"/>
  <c r="E68" i="184"/>
  <c r="K342" i="29"/>
  <c r="F13" i="34" s="1"/>
  <c r="L16" i="11"/>
  <c r="B2061" i="106" s="1"/>
  <c r="D206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D8" i="146"/>
  <c r="B6227" i="106"/>
  <c r="D6227" i="106" s="1"/>
  <c r="J20" i="4"/>
  <c r="J78" i="4" s="1"/>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<sst xmlns="http://schemas.openxmlformats.org/spreadsheetml/2006/main" count="5213" uniqueCount="2106">
  <si>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</si>
  <si>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</si>
  <si>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</si>
  <si>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</si>
  <si>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</si>
  <si>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</si>
  <si>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</si>
  <si>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</si>
  <si>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</si>
  <si>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</si>
  <si>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</si>
  <si>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</si>
  <si>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</si>
  <si>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</si>
  <si>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</si>
  <si>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</si>
  <si>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</si>
  <si>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</si>
  <si>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</si>
  <si>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</si>
  <si>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</si>
  <si>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</si>
  <si>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</si>
  <si>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</si>
  <si>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</si>
  <si>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</si>
  <si>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</si>
  <si>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</si>
  <si>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</si>
  <si>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</si>
  <si>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</si>
  <si>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</si>
  <si>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</si>
  <si>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</si>
  <si>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</si>
  <si>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</si>
  <si>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</si>
  <si>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</si>
  <si>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</si>
  <si>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</si>
  <si>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</si>
  <si>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</si>
  <si>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</si>
  <si>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</si>
  <si>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</si>
  <si>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</si>
  <si>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</si>
  <si>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</si>
  <si>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</si>
  <si>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</si>
  <si>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</si>
  <si>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</si>
  <si>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</si>
  <si>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</si>
  <si>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</si>
  <si>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</si>
  <si>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</si>
  <si>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</si>
  <si>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</si>
  <si>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</si>
  <si>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</si>
  <si>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</si>
  <si>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</si>
  <si>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</si>
  <si>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</si>
  <si>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</si>
  <si>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</si>
  <si>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</si>
  <si>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</si>
  <si>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</si>
  <si>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</si>
  <si>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</si>
  <si>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</si>
  <si>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</si>
  <si>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</si>
  <si>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</si>
  <si>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</si>
  <si>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</si>
  <si>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</si>
  <si>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</si>
  <si>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</si>
  <si>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</si>
  <si>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</si>
  <si>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</si>
  <si>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</si>
  <si>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</si>
  <si>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</si>
  <si>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</si>
  <si>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</si>
  <si>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</si>
  <si>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</si>
  <si>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</si>
  <si>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</si>
  <si>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</si>
  <si>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</si>
  <si>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</si>
  <si>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</si>
  <si>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</si>
  <si>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</si>
  <si>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</si>
  <si>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</si>
  <si>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</si>
  <si>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</si>
  <si>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</si>
  <si>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</si>
  <si>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</si>
  <si>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</si>
  <si>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</si>
  <si>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</si>
  <si>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</si>
  <si>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</si>
  <si>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</si>
  <si>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</si>
  <si>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</si>
  <si>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</si>
  <si>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</si>
  <si>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</si>
  <si>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</si>
  <si>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</si>
  <si>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</si>
  <si>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</si>
  <si>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</si>
  <si>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</si>
  <si>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</si>
  <si>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</si>
  <si>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</si>
  <si>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</si>
  <si>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</si>
  <si>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</si>
  <si>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</si>
  <si>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</si>
  <si>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</si>
  <si>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</si>
  <si>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</si>
  <si>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</si>
  <si>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</si>
  <si>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</si>
  <si>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</si>
  <si>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</si>
  <si>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</si>
  <si>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</si>
  <si>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</si>
  <si>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</si>
  <si>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</si>
  <si>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</si>
  <si>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</si>
  <si>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</si>
  <si>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</si>
  <si>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</si>
  <si>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</si>
  <si>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</si>
  <si>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</si>
  <si>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</si>
  <si>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</si>
  <si>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</si>
  <si>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</si>
  <si>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</si>
  <si>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</si>
  <si>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</si>
  <si>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</si>
  <si>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</si>
  <si>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</si>
  <si>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</si>
  <si>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</si>
  <si>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</si>
  <si>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</si>
  <si>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</si>
  <si>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</si>
  <si>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</si>
  <si>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</si>
  <si>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</si>
  <si>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</si>
  <si>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</si>
  <si>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</si>
  <si>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</si>
  <si>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</si>
  <si>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</si>
  <si>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</si>
  <si>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</si>
  <si>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</si>
  <si>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</si>
  <si>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</si>
  <si>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</si>
  <si>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</si>
  <si>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</si>
  <si>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</si>
  <si>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</si>
  <si>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</si>
  <si>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</si>
  <si>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</si>
  <si>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</si>
  <si>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</si>
  <si>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</si>
  <si>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</si>
  <si>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</si>
  <si>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</si>
  <si>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</si>
  <si>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</si>
  <si>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</si>
  <si>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</si>
  <si>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</si>
  <si>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</si>
  <si>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</si>
  <si>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</si>
  <si>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</si>
  <si>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</si>
  <si>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</si>
  <si>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</si>
  <si>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</si>
  <si>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</si>
  <si>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</si>
  <si>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</si>
  <si>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</si>
  <si>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</si>
  <si>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</si>
  <si>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</si>
  <si>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</si>
  <si>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</si>
  <si>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</si>
  <si>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</si>
  <si>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</si>
  <si>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</si>
  <si>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</si>
  <si>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</si>
  <si>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</si>
  <si>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</si>
  <si>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</si>
  <si>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</si>
  <si>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</si>
  <si>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</si>
  <si>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</si>
  <si>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</si>
  <si>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</si>
  <si>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</si>
  <si>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</si>
  <si>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</si>
  <si>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</si>
  <si>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</si>
  <si>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</si>
  <si>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</si>
  <si>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</si>
  <si>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</si>
  <si>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</si>
  <si>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</si>
  <si>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</si>
  <si>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</si>
  <si>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</si>
  <si>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</si>
  <si>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</si>
  <si>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</si>
  <si>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</si>
  <si>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</si>
  <si>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</si>
  <si>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</si>
  <si>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</si>
  <si>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</si>
  <si>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</si>
  <si>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</si>
  <si>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</si>
  <si>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</si>
  <si>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</si>
  <si>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</si>
  <si>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</si>
  <si>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</si>
  <si>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</si>
  <si>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</si>
  <si>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</si>
  <si>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</si>
  <si>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</si>
  <si>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</si>
  <si>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</si>
  <si>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</si>
  <si>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</si>
  <si>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</si>
  <si>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</si>
  <si>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</si>
  <si>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</si>
  <si>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</si>
  <si>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</si>
  <si>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</si>
  <si>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</si>
  <si>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</si>
  <si>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</si>
  <si>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</si>
  <si>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</si>
  <si>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</si>
  <si>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</si>
  <si>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</si>
  <si>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</si>
  <si>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</si>
  <si>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</si>
  <si>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</si>
  <si>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</si>
  <si>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</si>
  <si>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</si>
  <si>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</si>
  <si>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</si>
  <si>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</si>
  <si>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</si>
  <si>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</si>
  <si>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</si>
  <si>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</si>
  <si>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</si>
  <si>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</si>
  <si>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</si>
  <si>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</si>
  <si>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</si>
  <si>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</si>
  <si>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</si>
  <si>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</si>
  <si>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</si>
  <si>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</si>
  <si>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</si>
  <si>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</si>
  <si>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</si>
  <si>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</si>
  <si>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</si>
  <si>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</si>
  <si>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</si>
  <si>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</si>
  <si>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</si>
  <si>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</si>
  <si>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</si>
  <si>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</si>
  <si>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</si>
  <si>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</si>
  <si>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</si>
  <si>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</si>
  <si>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</si>
  <si>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</si>
  <si>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</si>
  <si>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</si>
  <si>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</si>
  <si>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</si>
  <si>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</si>
  <si>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</si>
  <si>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</si>
  <si>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</si>
  <si>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</si>
  <si>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</si>
  <si>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</si>
  <si>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</si>
  <si>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</si>
  <si>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</si>
  <si>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</si>
  <si>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</si>
  <si>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</si>
  <si>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</si>
  <si>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</si>
  <si>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</si>
  <si>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</si>
  <si>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</si>
  <si>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</si>
  <si>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</si>
  <si>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</si>
  <si>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</si>
  <si>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</si>
  <si>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</si>
  <si>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</si>
  <si>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</si>
  <si>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</si>
  <si>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</si>
  <si>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</si>
  <si>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</si>
  <si>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</si>
  <si>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</si>
  <si>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</si>
  <si>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</si>
  <si>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</si>
  <si>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</si>
  <si>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</si>
  <si>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</si>
  <si>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</si>
  <si>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</si>
  <si>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</si>
  <si>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</si>
  <si>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</si>
  <si>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</si>
  <si>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</si>
  <si>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</si>
  <si>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</si>
  <si>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</si>
  <si>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</si>
  <si>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</si>
  <si>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</si>
  <si>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</si>
  <si>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</si>
  <si>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</si>
  <si>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</si>
  <si>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</si>
  <si>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</si>
  <si>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</si>
  <si>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</si>
  <si>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</si>
  <si>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</si>
  <si>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</si>
  <si>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</si>
  <si>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</si>
  <si>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</si>
  <si>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</si>
  <si>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</si>
  <si>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</si>
  <si>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</si>
  <si>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</si>
  <si>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</si>
  <si>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</si>
  <si>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</si>
  <si>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</si>
  <si>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</si>
  <si>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</si>
  <si>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</si>
  <si>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</si>
  <si>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</si>
  <si>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</si>
  <si>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</si>
  <si>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</si>
  <si>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</si>
  <si>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</si>
  <si>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</si>
  <si>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</si>
  <si>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</si>
  <si>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</si>
  <si>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</si>
  <si>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</si>
  <si>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</si>
  <si>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</si>
  <si>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</si>
  <si>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</si>
  <si>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</si>
  <si>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</si>
  <si>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</si>
  <si>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</si>
  <si>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</si>
  <si>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</si>
  <si>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</si>
  <si>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</si>
  <si>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</si>
  <si>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</si>
  <si>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</si>
  <si>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</si>
  <si>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</si>
  <si>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</si>
  <si>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</si>
  <si>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</si>
  <si>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</si>
  <si>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</si>
  <si>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</si>
  <si>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</si>
  <si>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</si>
  <si>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</si>
  <si>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</si>
  <si>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</si>
  <si>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</si>
  <si>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</si>
  <si>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</si>
  <si>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</si>
  <si>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</si>
  <si>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</si>
  <si>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</si>
  <si>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</si>
  <si>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</si>
  <si>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</si>
  <si>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</si>
  <si>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</si>
  <si>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</si>
  <si>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</si>
  <si>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</si>
  <si>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</si>
  <si>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</si>
  <si>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</si>
  <si>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</si>
  <si>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</si>
  <si>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</si>
  <si>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</si>
  <si>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</si>
  <si>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</si>
  <si>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</si>
  <si>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</si>
  <si>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</si>
  <si>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</si>
  <si>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</si>
  <si>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</si>
  <si>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</si>
  <si>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</si>
  <si>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</si>
  <si>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</si>
  <si>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</si>
  <si>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</si>
  <si>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</si>
  <si>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</si>
  <si>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</si>
  <si>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</si>
  <si>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</si>
  <si>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</si>
  <si>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</si>
  <si>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</si>
  <si>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</si>
  <si>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</si>
  <si>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</si>
  <si>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</si>
  <si>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</si>
  <si>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</si>
  <si>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</si>
  <si>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</si>
  <si>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</si>
  <si>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</si>
  <si>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</si>
  <si>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</si>
  <si>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</si>
  <si>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</si>
  <si>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</si>
  <si>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</si>
  <si>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</si>
  <si>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</si>
  <si>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</si>
  <si>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</si>
  <si>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</si>
  <si>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</si>
  <si>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</si>
  <si>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</si>
  <si>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</si>
  <si>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</si>
  <si>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</si>
  <si>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</si>
  <si>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</si>
  <si>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</si>
  <si>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</si>
  <si>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</si>
  <si>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</si>
  <si>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</si>
  <si>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</si>
  <si>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</si>
  <si>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</si>
  <si>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</si>
  <si>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</si>
  <si>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</si>
  <si>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</si>
  <si>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</si>
  <si>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</si>
  <si>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</si>
  <si>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</si>
  <si>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</si>
  <si>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</si>
  <si>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</si>
  <si>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</si>
  <si>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</si>
  <si>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</si>
  <si>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</si>
  <si>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</si>
  <si>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</si>
  <si>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</si>
  <si>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</si>
  <si>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</si>
  <si>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</si>
  <si>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</si>
  <si>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</si>
  <si>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</si>
  <si>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</si>
  <si>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</si>
  <si>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</si>
  <si>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</si>
  <si>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</si>
  <si>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</si>
  <si>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</si>
  <si>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</si>
  <si>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</si>
  <si>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</si>
  <si>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</si>
  <si>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</si>
  <si>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</si>
  <si>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</si>
  <si>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</si>
  <si>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</si>
  <si>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</si>
  <si>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</si>
  <si>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</si>
  <si>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</si>
  <si>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</si>
  <si>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</si>
  <si>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</si>
  <si>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</si>
  <si>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</si>
  <si>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</si>
  <si>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</si>
  <si>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</si>
  <si>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</si>
  <si>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</si>
  <si>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</si>
  <si>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</si>
  <si>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</si>
  <si>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</si>
  <si>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</si>
  <si>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</si>
  <si>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</si>
  <si>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</si>
  <si>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</si>
  <si>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</si>
  <si>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</si>
  <si>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</si>
  <si>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</si>
  <si>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</si>
  <si>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</si>
  <si>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</si>
  <si>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</si>
  <si>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</si>
  <si>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</si>
  <si>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</si>
  <si>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</si>
  <si>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</si>
  <si>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</si>
  <si>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</si>
  <si>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</si>
  <si>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</si>
  <si>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</si>
  <si>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</si>
  <si>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</si>
  <si>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</si>
  <si>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</si>
  <si>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</si>
  <si>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</si>
  <si>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</si>
  <si>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</si>
  <si>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</si>
  <si>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</si>
  <si>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</si>
  <si>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</si>
  <si>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</si>
  <si>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</si>
  <si>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</si>
  <si>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</si>
  <si>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</si>
  <si>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</si>
  <si>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</si>
  <si>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</si>
  <si>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</si>
  <si>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</si>
  <si>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</si>
  <si>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</si>
  <si>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</si>
  <si>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</si>
  <si>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</si>
  <si>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</si>
  <si>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</si>
  <si>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</si>
  <si>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</si>
  <si>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</si>
  <si>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</si>
  <si>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</si>
  <si>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</si>
  <si>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</si>
  <si>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</si>
  <si>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</si>
  <si>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</si>
  <si>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</si>
  <si>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</si>
  <si>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</si>
  <si>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</si>
  <si>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</si>
  <si>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</si>
  <si>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</si>
  <si>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</si>
  <si>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</si>
  <si>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</si>
  <si>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</si>
  <si>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</si>
  <si>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</si>
  <si>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</si>
  <si>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</si>
  <si>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</si>
  <si>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</si>
  <si>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</si>
  <si>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</si>
  <si>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</si>
  <si>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</si>
  <si>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</si>
  <si>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</si>
  <si>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</si>
  <si>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</si>
  <si>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</si>
  <si>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</si>
  <si>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</si>
  <si>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</si>
  <si>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</si>
  <si>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</si>
  <si>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</si>
  <si>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</si>
  <si>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</si>
  <si>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</si>
  <si>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</si>
  <si>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</si>
  <si>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</si>
  <si>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</si>
  <si>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</si>
  <si>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</si>
  <si>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</si>
  <si>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</si>
  <si>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</si>
  <si>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</si>
  <si>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</si>
  <si>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</si>
  <si>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</si>
  <si>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</si>
  <si>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</si>
  <si>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</si>
  <si>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</si>
  <si>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</si>
  <si>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</si>
  <si>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</si>
  <si>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</si>
  <si>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</si>
  <si>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</si>
  <si>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</si>
  <si>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</si>
  <si>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</si>
  <si>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</si>
  <si>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</si>
  <si>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</si>
  <si>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</si>
  <si>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</si>
  <si>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</si>
  <si>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</si>
  <si>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</si>
  <si>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</si>
  <si>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</si>
  <si>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</si>
  <si>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</si>
  <si>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</si>
  <si>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</si>
  <si>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</si>
  <si>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</si>
  <si>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</si>
  <si>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</si>
  <si>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</si>
  <si>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</si>
  <si>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</si>
  <si>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</si>
  <si>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</si>
  <si>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</si>
  <si>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</si>
  <si>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</si>
  <si>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</si>
  <si>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</si>
  <si>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</si>
  <si>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</si>
  <si>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</si>
  <si>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</si>
  <si>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</si>
  <si>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</si>
  <si>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</si>
  <si>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</si>
  <si>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</si>
  <si>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</si>
  <si>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</si>
  <si>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</si>
  <si>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</si>
  <si>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</si>
  <si>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</si>
  <si>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</si>
  <si>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</si>
  <si>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</si>
  <si>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</si>
  <si>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</si>
  <si>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</si>
  <si>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</si>
  <si>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</si>
  <si>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</si>
  <si>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</si>
  <si>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</si>
  <si>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</si>
  <si>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</si>
  <si>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</si>
  <si>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</si>
  <si>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</si>
  <si>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</si>
  <si>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</si>
  <si>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</si>
  <si>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</si>
  <si>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</si>
  <si>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</si>
  <si>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</si>
  <si>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</si>
  <si>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</si>
  <si>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</si>
  <si>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</si>
  <si>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</si>
  <si>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</si>
  <si>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</si>
  <si>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</si>
  <si>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</si>
  <si>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</si>
  <si>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</si>
  <si>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</si>
  <si>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</si>
  <si>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</si>
  <si>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</si>
  <si>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</si>
  <si>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</si>
  <si>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</si>
  <si>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</si>
  <si>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</si>
  <si>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</si>
  <si>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</si>
  <si>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</si>
  <si>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</si>
  <si>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</si>
  <si>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</si>
  <si>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</si>
  <si>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</si>
  <si>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</si>
  <si>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</si>
  <si>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</si>
  <si>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</si>
  <si>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</si>
  <si>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</si>
  <si>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</si>
  <si>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</si>
  <si>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</si>
  <si>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</si>
  <si>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</si>
  <si>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</si>
  <si>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</si>
  <si>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</si>
  <si>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</si>
  <si>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</si>
  <si>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</si>
  <si>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</si>
  <si>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</si>
  <si>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</si>
  <si>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</si>
  <si>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</si>
  <si>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</si>
  <si>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</si>
  <si>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</si>
  <si>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</si>
  <si>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</si>
  <si>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</si>
  <si>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</si>
  <si>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</si>
  <si>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</si>
  <si>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</si>
  <si>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</si>
  <si>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</si>
  <si>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</si>
  <si>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</si>
  <si>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</si>
  <si>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</si>
  <si>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</si>
  <si>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</si>
  <si>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</si>
  <si>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</si>
  <si>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</si>
  <si>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</si>
  <si>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</si>
  <si>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</si>
  <si>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</si>
  <si>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</si>
  <si>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</si>
  <si>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</si>
  <si>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</si>
  <si>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</si>
  <si>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</si>
  <si>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</si>
  <si>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</si>
  <si>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</si>
  <si>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</si>
  <si>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</si>
  <si>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</si>
  <si>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</si>
  <si>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</si>
  <si>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</si>
  <si>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</si>
  <si>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</si>
  <si>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</si>
  <si>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</si>
  <si>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</si>
  <si>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</si>
  <si>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</si>
  <si>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</si>
  <si>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</si>
  <si>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</si>
  <si>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</si>
  <si>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</si>
  <si>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</si>
  <si>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</si>
  <si>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</si>
  <si>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</si>
  <si>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</si>
  <si>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</si>
  <si>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</si>
  <si>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</si>
  <si>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</si>
  <si>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</si>
  <si>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</si>
  <si>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</si>
  <si>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</si>
  <si>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</si>
  <si>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</si>
  <si>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</si>
  <si>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</si>
  <si>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</si>
  <si>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</si>
  <si>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</si>
  <si>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</si>
  <si>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</si>
  <si>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</si>
  <si>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</si>
  <si>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</si>
  <si>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</si>
  <si>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</si>
  <si>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</si>
  <si>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</si>
  <si>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</si>
  <si>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</si>
  <si>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</si>
  <si>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</si>
  <si>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</si>
  <si>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</si>
  <si>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</si>
  <si>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</si>
  <si>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</si>
  <si>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</si>
  <si>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</si>
  <si>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</si>
  <si>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</si>
  <si>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</si>
  <si>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</si>
  <si>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</si>
  <si>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</si>
  <si>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</si>
  <si>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</si>
  <si>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</si>
  <si>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</si>
  <si>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</si>
  <si>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</si>
  <si>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</si>
  <si>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</si>
  <si>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</si>
  <si>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</si>
  <si>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</si>
  <si>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</si>
  <si>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</si>
  <si>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</si>
  <si>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</si>
  <si>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</si>
  <si>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</si>
  <si>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</si>
  <si>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</si>
  <si>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</si>
  <si>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</si>
  <si>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</si>
  <si>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</si>
  <si>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</si>
  <si>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</si>
  <si>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</si>
  <si>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</si>
  <si>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</si>
  <si>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</si>
  <si>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</si>
  <si>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</si>
  <si>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</si>
  <si>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</si>
  <si>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</si>
  <si>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</si>
  <si>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</si>
  <si>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</si>
  <si>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</si>
  <si>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</si>
  <si>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</si>
  <si>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</si>
  <si>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</si>
  <si>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</si>
  <si>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</si>
  <si>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</si>
  <si>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</si>
  <si>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</si>
  <si>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</si>
  <si>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</si>
  <si>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</si>
  <si>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</si>
  <si>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</si>
  <si>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</si>
  <si>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</si>
  <si>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</si>
  <si>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</si>
  <si>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</si>
  <si>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</si>
  <si>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</si>
  <si>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</si>
  <si>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</si>
  <si>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</si>
  <si>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</si>
  <si>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</si>
  <si>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</si>
  <si>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</si>
  <si>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</si>
  <si>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</si>
  <si>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</si>
  <si>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</si>
  <si>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</si>
  <si>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</si>
  <si>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</si>
  <si>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</si>
  <si>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</si>
  <si>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</si>
  <si>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</si>
  <si>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</si>
  <si>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</si>
  <si>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</si>
  <si>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</si>
  <si>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</si>
  <si>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</si>
  <si>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</si>
  <si>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</si>
  <si>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</si>
  <si>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</si>
  <si>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</si>
  <si>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</si>
  <si>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</si>
  <si>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</si>
  <si>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</si>
  <si>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</si>
  <si>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</si>
  <si>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</si>
  <si>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</si>
  <si>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</si>
  <si>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</si>
  <si>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</si>
  <si>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</si>
  <si>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</si>
  <si>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</si>
  <si>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</si>
  <si>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</si>
  <si>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</si>
  <si>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</si>
  <si>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</si>
  <si>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</si>
  <si>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</si>
  <si>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</si>
  <si>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</si>
  <si>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</si>
  <si>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</si>
  <si>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</si>
  <si>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</si>
  <si>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</si>
  <si>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</si>
  <si>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</si>
  <si>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</si>
  <si>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</si>
  <si>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</si>
  <si>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</si>
  <si>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</si>
  <si>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</si>
  <si>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</si>
  <si>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</si>
  <si>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</si>
  <si>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</si>
  <si>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</si>
  <si>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</si>
  <si>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</si>
  <si>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</si>
  <si>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</si>
  <si>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</si>
  <si>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</si>
  <si>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</si>
  <si>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</si>
  <si>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</si>
  <si>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</si>
  <si>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</si>
  <si>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</si>
  <si>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</si>
  <si>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</si>
  <si>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</si>
  <si>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</si>
  <si>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</si>
  <si>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</si>
  <si>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</si>
  <si>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</si>
  <si>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</si>
  <si>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</si>
  <si>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</si>
  <si>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</si>
  <si>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</si>
  <si>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</si>
  <si>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</si>
  <si>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</si>
  <si>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</si>
  <si>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</si>
  <si>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</si>
  <si>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</si>
  <si>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</si>
  <si>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</si>
  <si>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</si>
  <si>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</si>
  <si>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</si>
  <si>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</si>
  <si>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</si>
  <si>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</si>
  <si>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</si>
  <si>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</si>
  <si>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</si>
  <si>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</si>
  <si>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</si>
  <si>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</si>
  <si>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</si>
  <si>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</si>
  <si>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</si>
  <si>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</si>
  <si>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</si>
  <si>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</si>
  <si>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</si>
  <si>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</si>
  <si>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</si>
  <si>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</si>
  <si>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</si>
  <si>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</si>
  <si>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</si>
  <si>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</si>
  <si>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</si>
  <si>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</si>
  <si>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</si>
  <si>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</si>
  <si>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</si>
  <si>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</si>
  <si>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</si>
  <si>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</si>
  <si>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</si>
  <si>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</si>
  <si>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</si>
  <si>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</si>
  <si>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</si>
  <si>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</si>
  <si>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</si>
  <si>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</si>
  <si>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</si>
  <si>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</si>
  <si>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</si>
  <si>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</si>
  <si>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</si>
  <si>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</si>
  <si>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</si>
  <si>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</si>
  <si>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</si>
  <si>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</si>
  <si>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</si>
  <si>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</si>
  <si>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</si>
  <si>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</si>
  <si>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</si>
  <si>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</si>
  <si>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</si>
  <si>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</si>
  <si>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</si>
  <si>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</si>
  <si>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</si>
  <si>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</si>
  <si>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</si>
  <si>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</si>
  <si>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</si>
  <si>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</si>
  <si>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</si>
  <si>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</si>
  <si>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</si>
  <si>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</si>
  <si>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</si>
  <si>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</si>
  <si>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</si>
  <si>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</si>
  <si>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</si>
  <si>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</si>
  <si>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</si>
  <si>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</si>
  <si>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</si>
  <si>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</si>
  <si>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</si>
  <si>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</si>
  <si>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</si>
  <si>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</si>
  <si>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</si>
  <si>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</si>
  <si>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</si>
  <si>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</si>
  <si>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</si>
  <si>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</si>
  <si>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</si>
  <si>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</si>
  <si>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</si>
  <si>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</si>
  <si>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</si>
  <si>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</si>
  <si>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</si>
  <si>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</si>
  <si>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</si>
  <si>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</si>
  <si>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</si>
  <si>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</si>
  <si>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</si>
  <si>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</si>
  <si>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</si>
  <si>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</si>
  <si>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</si>
  <si>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</si>
  <si>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</si>
  <si>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</si>
  <si>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</si>
  <si>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</si>
  <si>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</si>
  <si>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</si>
  <si>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</si>
  <si>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</si>
  <si>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</si>
  <si>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</si>
  <si>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</si>
  <si>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</si>
  <si>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</si>
  <si>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</si>
  <si>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</si>
  <si>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</si>
  <si>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</si>
  <si>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</si>
  <si>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</si>
  <si>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</si>
  <si>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</si>
  <si>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</si>
  <si>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</si>
  <si>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</si>
  <si>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</si>
  <si>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</si>
  <si>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</si>
  <si>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</si>
  <si>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</si>
  <si>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</si>
  <si>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</si>
  <si>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</si>
  <si>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</si>
  <si>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</si>
  <si>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</si>
  <si>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</si>
  <si>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</si>
  <si>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</si>
  <si>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</si>
  <si>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</si>
  <si>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</si>
  <si>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</si>
  <si>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</si>
  <si>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</si>
  <si>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</si>
  <si>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</si>
  <si>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</si>
  <si>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</si>
  <si>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</si>
  <si>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</si>
  <si>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</si>
  <si>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</si>
  <si>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</si>
  <si>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</si>
  <si>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</si>
  <si>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</si>
  <si>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</si>
  <si>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</si>
  <si>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</si>
  <si>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</si>
  <si>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</si>
  <si>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</si>
  <si>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</si>
  <si>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</si>
  <si>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</si>
  <si>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</si>
  <si>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</si>
  <si>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</si>
  <si>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</si>
  <si>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</si>
  <si>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</si>
  <si>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</si>
  <si>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</si>
  <si>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</si>
  <si>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</si>
  <si>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</si>
  <si>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</si>
  <si>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</si>
  <si>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</si>
  <si>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</si>
  <si>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</si>
  <si>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</si>
  <si>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</si>
  <si>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</si>
  <si>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</si>
  <si>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</si>
  <si>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</si>
  <si>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</si>
  <si>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</si>
  <si>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</si>
  <si>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</si>
  <si>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</si>
  <si>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</si>
  <si>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</si>
  <si>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</si>
  <si>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</si>
  <si>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</si>
  <si>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</si>
  <si>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</si>
  <si>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</si>
  <si>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</si>
  <si>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</si>
  <si>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</si>
  <si>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</si>
  <si>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</si>
  <si>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</si>
  <si>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</si>
  <si>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</si>
  <si>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</si>
  <si>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</si>
  <si>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</si>
  <si>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</si>
  <si>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</si>
  <si>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</si>
  <si>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</si>
  <si>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</si>
  <si>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</si>
  <si>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</si>
  <si>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</si>
  <si>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</si>
  <si>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</si>
  <si>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</si>
  <si>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</si>
  <si>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</si>
  <si>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</si>
  <si>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</si>
  <si>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</si>
  <si>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</si>
  <si>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</si>
  <si>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</si>
  <si>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</si>
  <si>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</si>
  <si>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</si>
  <si>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</si>
  <si>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</si>
  <si>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</si>
  <si>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</si>
  <si>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</si>
  <si>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</si>
  <si>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</si>
  <si>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</si>
  <si>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</si>
  <si>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</si>
  <si>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</si>
  <si>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</si>
  <si>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</si>
  <si>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</si>
  <si>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</si>
  <si>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</si>
  <si>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</si>
  <si>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</si>
  <si>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</si>
  <si>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</si>
  <si>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</si>
  <si>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</si>
  <si>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</si>
  <si>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</si>
  <si>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</si>
  <si>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</si>
  <si>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</si>
  <si>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</si>
  <si>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</si>
  <si>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</si>
  <si>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</si>
  <si>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</si>
  <si>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</si>
  <si>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</si>
  <si>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</si>
  <si>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</si>
  <si>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</si>
  <si>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</si>
  <si>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</si>
  <si>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</si>
  <si>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</si>
  <si>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</si>
  <si>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</si>
  <si>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</si>
  <si>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</si>
  <si>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</si>
  <si>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</si>
  <si>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</si>
  <si>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</si>
  <si>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</si>
  <si>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</si>
  <si>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</si>
  <si>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</si>
  <si>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</si>
  <si>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</si>
  <si>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</si>
  <si>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</si>
  <si>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</si>
  <si>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</si>
  <si>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</si>
  <si>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</si>
  <si>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</si>
  <si>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</si>
  <si>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</si>
  <si>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</si>
  <si>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</si>
  <si>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</si>
  <si>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</si>
  <si>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</si>
  <si>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</si>
  <si>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</si>
  <si>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</si>
  <si>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</si>
  <si>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</si>
  <si>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</si>
  <si>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</si>
  <si>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</si>
  <si>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</si>
  <si>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</si>
  <si>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</si>
  <si>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</si>
  <si>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</si>
  <si>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</si>
  <si>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</si>
  <si>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</si>
  <si>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</si>
  <si>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</si>
  <si>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</si>
  <si>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</si>
  <si>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</si>
  <si>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</si>
  <si>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</si>
  <si>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</si>
  <si>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</si>
  <si>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</si>
  <si>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</si>
  <si>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</si>
  <si>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</si>
  <si>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</si>
  <si>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</si>
  <si>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</si>
  <si>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</si>
  <si>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</si>
  <si>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</si>
  <si>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</si>
  <si>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</si>
  <si>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</si>
  <si>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</si>
  <si>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</si>
  <si>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</si>
  <si>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</si>
  <si>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</si>
  <si>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</si>
  <si>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</si>
  <si>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</si>
  <si>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</si>
  <si>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</si>
  <si>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</si>
  <si>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</si>
  <si>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</si>
  <si>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</si>
  <si>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</si>
  <si>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</si>
  <si>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</si>
  <si>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</si>
  <si>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</si>
  <si>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</si>
  <si>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</si>
  <si>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</si>
  <si>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</si>
  <si>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</si>
  <si>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</si>
  <si>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</si>
  <si>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</si>
  <si>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</si>
  <si>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</si>
  <si>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</si>
  <si>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</si>
  <si>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</si>
  <si>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</si>
  <si>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</si>
  <si>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</si>
  <si>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</si>
  <si>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</si>
  <si>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</si>
  <si>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</si>
  <si>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</si>
  <si>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</si>
  <si>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</si>
  <si>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</si>
  <si>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</si>
  <si>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</si>
  <si>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</si>
  <si>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</si>
  <si>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</si>
  <si>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</si>
  <si>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</si>
  <si>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</si>
  <si>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</si>
  <si>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</si>
  <si>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</si>
  <si>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</si>
  <si>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</si>
  <si>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</si>
  <si>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</si>
  <si>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</si>
  <si>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</si>
  <si>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</si>
  <si>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</si>
  <si>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</si>
  <si>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</si>
  <si>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</si>
  <si>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</si>
  <si>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</si>
  <si>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</si>
  <si>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</si>
  <si>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</si>
  <si>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</si>
  <si>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</si>
  <si>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</si>
  <si>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</si>
  <si>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</si>
  <si>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</si>
  <si>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</si>
  <si>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</si>
  <si>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</si>
  <si>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</si>
  <si>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</si>
  <si>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</si>
  <si>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</si>
  <si>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</si>
  <si>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</si>
  <si>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</si>
  <si>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</si>
  <si>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</si>
  <si>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</si>
  <si>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</si>
  <si>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</si>
  <si>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</si>
  <si>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</si>
  <si>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</si>
  <si>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</si>
  <si>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</si>
  <si>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</si>
  <si>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</si>
  <si>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</si>
  <si>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</si>
  <si>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</si>
  <si>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</si>
  <si>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</si>
  <si>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</si>
  <si>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</si>
  <si>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</si>
  <si>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</si>
  <si>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</si>
  <si>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</si>
  <si>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</si>
  <si>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</si>
  <si>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</si>
  <si>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</si>
  <si>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</si>
  <si>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</si>
  <si>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</si>
  <si>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</si>
  <si>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</si>
  <si>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</si>
  <si>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</si>
  <si>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</si>
  <si>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</si>
  <si>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</si>
  <si>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</si>
  <si>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</si>
  <si>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</si>
  <si>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</si>
  <si>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</si>
  <si>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</si>
  <si>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</si>
  <si>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</si>
  <si>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</si>
  <si>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</si>
  <si>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</si>
  <si>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</si>
  <si>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</si>
  <si>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</si>
  <si>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</si>
  <si>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</si>
  <si>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</si>
  <si>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</si>
  <si>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</si>
  <si>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</si>
  <si>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</si>
  <si>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</si>
  <si>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</si>
  <si>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</si>
  <si>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</si>
  <si>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</si>
  <si>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</si>
  <si>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</si>
  <si>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</si>
  <si>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</si>
  <si>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</si>
  <si>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</si>
  <si>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</si>
  <si>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</si>
  <si>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</si>
  <si>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</si>
  <si>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</si>
  <si>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</si>
  <si>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</si>
  <si>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</si>
  <si>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</si>
  <si>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</si>
  <si>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</si>
  <si>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</si>
  <si>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</si>
  <si>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</si>
  <si>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</si>
  <si>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</si>
  <si>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</si>
  <si>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</si>
  <si>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</si>
  <si>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</si>
  <si>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</si>
  <si>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</si>
  <si>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</si>
  <si>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</si>
  <si>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</si>
  <si>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</si>
  <si>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</si>
  <si>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</si>
  <si>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</si>
  <si>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</si>
  <si>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</si>
  <si>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</si>
  <si>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</si>
  <si>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</si>
  <si>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</si>
  <si>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</si>
  <si>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</si>
  <si>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</si>
  <si>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</si>
  <si>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</si>
  <si>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</si>
  <si>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</si>
  <si>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</si>
  <si>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</si>
  <si>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</si>
  <si>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</si>
  <si>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</si>
  <si>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</si>
  <si>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</si>
  <si>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</si>
  <si>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</si>
  <si>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</si>
  <si>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</si>
  <si>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</si>
  <si>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</si>
  <si>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</si>
  <si>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</si>
  <si>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</si>
  <si>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</si>
  <si>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</si>
  <si>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</si>
  <si>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</si>
  <si>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</si>
  <si>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</si>
  <si>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</si>
  <si>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</si>
  <si>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</si>
  <si>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</si>
  <si>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</si>
  <si>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</si>
  <si>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</si>
  <si>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</si>
  <si>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</si>
  <si>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</si>
  <si>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</si>
  <si>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</si>
  <si>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</si>
  <si>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</si>
  <si>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</si>
  <si>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</si>
  <si>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</si>
  <si>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</si>
  <si>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</si>
  <si>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</si>
  <si>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</si>
  <si>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</si>
  <si>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</si>
  <si>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</si>
  <si>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</si>
  <si>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</si>
  <si>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</si>
  <si>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</si>
  <si>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</si>
  <si>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</si>
  <si>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</si>
  <si>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</si>
  <si>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</si>
  <si>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</si>
  <si>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</si>
  <si>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</si>
  <si>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</si>
  <si>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</si>
  <si>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</si>
  <si>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</si>
  <si>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</si>
  <si>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</si>
  <si>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</si>
  <si>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</si>
  <si>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</si>
  <si>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</si>
  <si>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</si>
  <si>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</si>
  <si>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</si>
  <si>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</si>
  <si>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</si>
  <si>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</si>
  <si>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</si>
  <si>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</si>
  <si>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</si>
  <si>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</si>
  <si>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</si>
  <si>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</si>
  <si>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</si>
  <si>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</si>
  <si>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</si>
  <si>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</si>
  <si>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</si>
  <si>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</si>
  <si>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</si>
  <si>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</si>
  <si>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</si>
  <si>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</si>
  <si>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</si>
  <si>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</si>
  <si>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</si>
  <si>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</si>
  <si>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</si>
  <si>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</si>
  <si>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</si>
  <si>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</si>
  <si>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</si>
  <si>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</si>
  <si>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</si>
  <si>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</si>
  <si>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</si>
  <si>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</si>
  <si>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</si>
  <si>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</si>
  <si>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</si>
  <si>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</si>
  <si>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</si>
  <si>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</si>
  <si>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</si>
  <si>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</si>
  <si>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</si>
  <si>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</si>
  <si>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</si>
  <si>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</si>
  <si>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</si>
  <si>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</si>
  <si>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</si>
  <si>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</si>
  <si>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</si>
  <si>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</si>
  <si>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</si>
  <si>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</si>
  <si>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</si>
  <si>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</si>
  <si>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</si>
  <si>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</si>
  <si>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</si>
  <si>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</si>
  <si>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</si>
  <si>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</si>
  <si>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</si>
  <si>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</si>
  <si>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</si>
  <si>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</si>
  <si>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</si>
  <si>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</si>
  <si>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</si>
  <si>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</si>
  <si>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</si>
  <si>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</si>
  <si>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</si>
  <si>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</si>
  <si>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</si>
  <si>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</si>
  <si>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</si>
  <si>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</si>
  <si>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</si>
  <si>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</si>
  <si>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</si>
  <si>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</si>
  <si>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</si>
  <si>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</si>
  <si>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</si>
  <si>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</si>
  <si>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</si>
  <si>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</si>
  <si>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</si>
  <si>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</si>
  <si>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</si>
  <si>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</si>
  <si>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</si>
  <si>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</si>
  <si>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</si>
  <si>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</si>
  <si>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</si>
  <si>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</si>
  <si>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</si>
  <si>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</si>
  <si>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</si>
  <si>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</si>
  <si>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</si>
  <si>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</si>
  <si>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</si>
  <si>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</si>
  <si>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</si>
  <si>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</si>
  <si>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</si>
  <si>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</si>
  <si>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</si>
  <si>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</si>
  <si>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</si>
  <si>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</si>
  <si>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</si>
  <si>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</si>
  <si>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</si>
  <si>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</si>
  <si>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</si>
  <si>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</si>
  <si>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</si>
  <si>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</si>
  <si>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</si>
  <si>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</si>
  <si>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</si>
  <si>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</si>
  <si>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</si>
  <si>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</si>
  <si>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</si>
  <si>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</si>
  <si>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</si>
  <si>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</si>
  <si>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</si>
  <si>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</si>
  <si>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</si>
  <si>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</si>
  <si>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</si>
  <si>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</si>
  <si>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</si>
  <si>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</si>
  <si>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</si>
  <si>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</si>
  <si>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</si>
  <si>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</si>
  <si>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</si>
  <si>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</si>
  <si>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</si>
  <si>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</si>
  <si>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</si>
  <si>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</si>
  <si>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</si>
  <si>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</si>
  <si>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</si>
  <si>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</si>
  <si>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</si>
  <si>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</si>
  <si>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</si>
  <si>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</si>
  <si>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</si>
  <si>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</si>
  <si>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</si>
  <si>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</si>
  <si>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</si>
  <si>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</si>
  <si>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</si>
  <si>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</si>
  <si>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</si>
  <si>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</si>
  <si>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</si>
  <si>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</si>
  <si>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</si>
  <si>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</si>
  <si>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</si>
  <si>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</si>
  <si>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</si>
  <si>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</si>
  <si>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</si>
  <si>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</si>
  <si>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</si>
  <si>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</si>
  <si>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</si>
  <si>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</si>
  <si>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</si>
  <si>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</si>
  <si>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</si>
  <si>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</si>
  <si>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</si>
  <si>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</si>
  <si>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</si>
  <si>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</si>
  <si>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</si>
  <si>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</si>
  <si>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</si>
  <si>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</si>
  <si>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</si>
  <si>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</si>
  <si>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</si>
  <si>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</si>
  <si>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</si>
  <si>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</si>
  <si>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</si>
  <si>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</si>
  <si>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</si>
  <si>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</si>
  <si>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</si>
  <si>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</si>
  <si>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</si>
  <si>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</si>
  <si>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</si>
  <si>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</si>
  <si>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</si>
  <si>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</si>
  <si>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</si>
  <si>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</si>
  <si>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</si>
  <si>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</si>
  <si>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</si>
  <si>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</si>
  <si>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</si>
  <si>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</si>
  <si>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</si>
  <si>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</si>
  <si>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</si>
  <si>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</si>
  <si>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</si>
  <si>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</si>
  <si>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</si>
  <si>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</si>
  <si>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</si>
  <si>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</si>
  <si>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</si>
  <si>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</si>
  <si>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</si>
  <si>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</si>
  <si>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</si>
  <si>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</si>
  <si>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</si>
  <si>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</si>
  <si>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</si>
  <si>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</si>
  <si>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</si>
  <si>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</si>
  <si>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</si>
  <si>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</si>
  <si>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</si>
  <si>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</si>
  <si>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</si>
  <si>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</si>
  <si>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</si>
  <si>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</si>
  <si>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</si>
  <si>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</si>
  <si>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</si>
  <si>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</si>
  <si>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</si>
  <si>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</si>
  <si>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</si>
  <si>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</si>
  <si>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</si>
  <si>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</si>
  <si>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</si>
  <si>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</si>
  <si>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</si>
  <si>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</si>
  <si>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</si>
  <si>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</si>
  <si>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</si>
  <si>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</si>
  <si>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</si>
  <si>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</si>
  <si>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</si>
  <si>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</si>
  <si>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</si>
  <si>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</si>
  <si>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</si>
  <si>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</si>
  <si>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</si>
  <si>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</si>
  <si>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</si>
  <si>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</si>
  <si>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</si>
  <si>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</si>
  <si>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</si>
  <si>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</si>
  <si>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</si>
  <si>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</si>
  <si>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</si>
  <si>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</si>
  <si>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</si>
  <si>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</si>
  <si>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</si>
  <si>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</si>
  <si>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</si>
  <si>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</si>
  <si>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</si>
  <si>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</si>
  <si>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</si>
  <si>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</si>
  <si>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</si>
  <si>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</si>
  <si>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</si>
  <si>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</si>
  <si>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</si>
  <si>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</si>
  <si>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</si>
  <si>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</si>
  <si>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</si>
  <si>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</si>
  <si>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</si>
  <si>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</si>
  <si>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</si>
  <si>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</si>
  <si>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</si>
  <si>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</si>
  <si>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</si>
  <si>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</si>
  <si>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</si>
  <si>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</si>
  <si>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</si>
  <si>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</si>
  <si>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</si>
  <si>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</si>
  <si>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</si>
  <si>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</si>
  <si>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</si>
  <si>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</si>
  <si>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</si>
  <si>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</si>
  <si>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</si>
  <si>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</si>
  <si>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</si>
  <si>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</si>
  <si>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</si>
  <si>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</si>
  <si>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</si>
  <si>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</si>
  <si>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</si>
  <si>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</si>
  <si>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</si>
  <si>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</si>
  <si>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</si>
  <si>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</si>
  <si>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</si>
  <si>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</si>
  <si>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</si>
  <si>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</si>
  <si>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</si>
  <si>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</si>
  <si>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</si>
  <si>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</si>
  <si>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</si>
  <si>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</si>
  <si>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</si>
  <si>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</si>
  <si>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</si>
  <si>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</si>
  <si>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</si>
  <si>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</si>
  <si>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</si>
  <si>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</si>
  <si>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</si>
  <si>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</si>
  <si>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JEFFERSON</t>
  </si>
  <si>
    <t>1201 BETHEL ROAD</t>
  </si>
  <si>
    <t>MT. VERNON</t>
  </si>
  <si>
    <t>ckujawa@bethelschool.net</t>
  </si>
  <si>
    <t>CRAIG KUJAWA</t>
  </si>
  <si>
    <t>618-244-8095</t>
  </si>
  <si>
    <t>618-244-8096</t>
  </si>
  <si>
    <t>x</t>
  </si>
  <si>
    <t>General Obligation Bonds(Alternate Revenue) Series 2011</t>
  </si>
  <si>
    <t>Alternate Revenue</t>
  </si>
  <si>
    <t>ED-Instruction-Purchased Service</t>
  </si>
  <si>
    <t>Rend Lake College</t>
  </si>
  <si>
    <t>US Bank</t>
  </si>
  <si>
    <t>TR-Support Services-Purchased Service</t>
  </si>
  <si>
    <t>Midwest Bus Sales, Inc.</t>
  </si>
  <si>
    <t>Egyptian Area Schools Employee Benefit Trust</t>
  </si>
  <si>
    <t>Ameren Energy Mareting</t>
  </si>
  <si>
    <t>Illinois Counties Risk Management Trust</t>
  </si>
  <si>
    <t>Regional Office of Education #13</t>
  </si>
  <si>
    <t>Franklin-Jefferson Special Education District 801</t>
  </si>
  <si>
    <t>McClellan District #12-FY 2019, 2020, &amp; 2021 &amp; Ewing Northern #115-FY2021-Sports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</si>
  <si>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</si>
  <si>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</si>
  <si>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</si>
  <si>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</si>
  <si>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</si>
  <si>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</si>
  <si>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 xml:space="preserve">Due to the small size of the District and its limited funds, hiring additional personnel is not feasible.  The District agrees with the finding and recommendation. </t>
  </si>
  <si>
    <t>Page 10, Line 72 - Milk Sales</t>
  </si>
  <si>
    <t>Page 10, Line 107 - Education - Refunds and Reimbursements; Operations &amp; Maintenance - Erate</t>
  </si>
  <si>
    <t>Page 12, Line 168 - Healthy Communities Grant</t>
  </si>
  <si>
    <t>Page 12, Line 183 - REAP Grant</t>
  </si>
  <si>
    <t>Page 15, Line 141 - Extra Duty</t>
  </si>
  <si>
    <t>Page 19, Line 237 - Extra Dutie benefits</t>
  </si>
  <si>
    <t>Page 25, Line 10 - Mobile Home Tax</t>
  </si>
  <si>
    <t xml:space="preserve">  Bethel SD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</si>
</sst>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1619250</xdr:colOff>
          <xdr:row>8</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4</xdr:col>
          <xdr:colOff>133350</xdr:colOff>
          <xdr:row>9</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2051</v>
      </c>
      <c r="C5" s="26" t="s">
        <v>904</v>
      </c>
      <c r="D5" s="81"/>
      <c r="E5" s="81"/>
      <c r="H5" s="38"/>
      <c r="I5" s="2124" t="s">
        <v>675</v>
      </c>
      <c r="J5" s="2069"/>
      <c r="K5" s="2069"/>
      <c r="L5" s="2069"/>
      <c r="M5" s="2069"/>
      <c r="N5" s="2069"/>
      <c r="O5" s="2069"/>
      <c r="P5" s="2069"/>
      <c r="Q5" s="2069"/>
      <c r="R5" s="2069"/>
      <c r="S5" s="2069"/>
      <c r="AF5" s="1826"/>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13041082002</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2070</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2105</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2071</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62870</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2072</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t="s">
        <v>2073</v>
      </c>
      <c r="B23" s="2104"/>
      <c r="C23" s="2104"/>
      <c r="D23" s="2104"/>
      <c r="E23" s="2104"/>
      <c r="F23" s="2104"/>
      <c r="G23" s="2104"/>
      <c r="H23" s="2105"/>
      <c r="T23" s="2043" t="s">
        <v>2058</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62864</v>
      </c>
      <c r="B25" s="2081"/>
      <c r="C25" s="2081"/>
      <c r="D25" s="2081"/>
      <c r="E25" s="2081"/>
      <c r="F25" s="2081"/>
      <c r="G25" s="2081"/>
      <c r="H25" s="2082"/>
      <c r="I25" s="110"/>
      <c r="J25" s="2147"/>
      <c r="K25" s="2147"/>
      <c r="L25" s="2147"/>
      <c r="M25" s="2147"/>
      <c r="N25" s="2147"/>
      <c r="O25" s="2147"/>
      <c r="P25" s="2147"/>
      <c r="Q25" s="2147"/>
      <c r="R25" s="2147"/>
      <c r="S25" s="2148"/>
      <c r="T25" s="2040" t="s">
        <v>2059</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2074</v>
      </c>
      <c r="B38" s="2113"/>
      <c r="C38" s="2113"/>
      <c r="D38" s="2113"/>
      <c r="E38" s="2113"/>
      <c r="F38" s="2081"/>
      <c r="G38" s="2081"/>
      <c r="H38" s="2082"/>
      <c r="I38" s="2132"/>
      <c r="J38" s="2052"/>
      <c r="K38" s="2052"/>
      <c r="L38" s="2052"/>
      <c r="M38" s="2052"/>
      <c r="N38" s="2052"/>
      <c r="O38" s="2052"/>
      <c r="P38" s="2053"/>
      <c r="Q38" s="2053"/>
      <c r="R38" s="2053"/>
      <c r="S38" s="2054"/>
      <c r="T38" s="2051" t="s">
        <v>2060</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2073</v>
      </c>
      <c r="B40" s="2140"/>
      <c r="C40" s="2141"/>
      <c r="D40" s="2141"/>
      <c r="E40" s="2141"/>
      <c r="F40" s="2142"/>
      <c r="G40" s="2142"/>
      <c r="H40" s="2143"/>
      <c r="I40" s="2055"/>
      <c r="J40" s="2057"/>
      <c r="K40" s="2057"/>
      <c r="L40" s="2057"/>
      <c r="M40" s="2057"/>
      <c r="N40" s="2057"/>
      <c r="O40" s="2057"/>
      <c r="P40" s="2057"/>
      <c r="Q40" s="2057"/>
      <c r="R40" s="2057"/>
      <c r="S40" s="2058"/>
      <c r="T40" s="2055" t="s">
        <v>2061</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2075</v>
      </c>
      <c r="B42" s="2130"/>
      <c r="C42" s="2131"/>
      <c r="D42" s="2144" t="s">
        <v>2076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46" activeCellId="1" sqref="I42:O42 D4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306190</v>
      </c>
      <c r="C4" s="1721"/>
      <c r="D4" s="1722">
        <f>B4-C4</f>
        <v>306190</v>
      </c>
      <c r="E4" s="1721">
        <v>319536</v>
      </c>
      <c r="F4" s="1722">
        <f>E4-C4</f>
        <v>319536</v>
      </c>
    </row>
    <row r="5" spans="1:8" ht="13.7" customHeight="1" x14ac:dyDescent="0.2">
      <c r="A5" s="579" t="s">
        <v>865</v>
      </c>
      <c r="B5" s="1723">
        <f>'Revenues 9-14'!D5</f>
        <v>63624</v>
      </c>
      <c r="C5" s="1663"/>
      <c r="D5" s="1724">
        <f t="shared" ref="D5:D18" si="0">B5-C5</f>
        <v>63624</v>
      </c>
      <c r="E5" s="1663">
        <v>68001</v>
      </c>
      <c r="F5" s="1724">
        <f>E5-C5</f>
        <v>68001</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29326</v>
      </c>
      <c r="C7" s="1663"/>
      <c r="D7" s="1724">
        <f t="shared" si="0"/>
        <v>29326</v>
      </c>
      <c r="E7" s="1663">
        <v>32001</v>
      </c>
      <c r="F7" s="1724">
        <f t="shared" si="1"/>
        <v>32001</v>
      </c>
    </row>
    <row r="8" spans="1:8" ht="13.7" customHeight="1" x14ac:dyDescent="0.2">
      <c r="A8" s="579" t="s">
        <v>1169</v>
      </c>
      <c r="B8" s="1723">
        <f>'Revenues 9-14'!G5</f>
        <v>29326</v>
      </c>
      <c r="C8" s="1663"/>
      <c r="D8" s="1724">
        <f t="shared" si="0"/>
        <v>29326</v>
      </c>
      <c r="E8" s="1663">
        <v>30000</v>
      </c>
      <c r="F8" s="1724">
        <f t="shared" si="1"/>
        <v>30000</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10440</v>
      </c>
      <c r="C10" s="1663"/>
      <c r="D10" s="1724">
        <f t="shared" si="0"/>
        <v>10440</v>
      </c>
      <c r="E10" s="1663">
        <v>11000</v>
      </c>
      <c r="F10" s="1724">
        <f t="shared" si="1"/>
        <v>11000</v>
      </c>
    </row>
    <row r="11" spans="1:8" x14ac:dyDescent="0.2">
      <c r="A11" s="579" t="s">
        <v>406</v>
      </c>
      <c r="B11" s="1723">
        <f>'Revenues 9-14'!J5</f>
        <v>115318</v>
      </c>
      <c r="C11" s="1663"/>
      <c r="D11" s="1724">
        <f t="shared" si="0"/>
        <v>115318</v>
      </c>
      <c r="E11" s="1663">
        <v>120001</v>
      </c>
      <c r="F11" s="1724">
        <f t="shared" si="1"/>
        <v>120001</v>
      </c>
    </row>
    <row r="12" spans="1:8" ht="13.7" customHeight="1" x14ac:dyDescent="0.2">
      <c r="A12" s="579" t="s">
        <v>156</v>
      </c>
      <c r="B12" s="1723">
        <f>'Revenues 9-14'!K5</f>
        <v>10936</v>
      </c>
      <c r="C12" s="1663"/>
      <c r="D12" s="1724">
        <f t="shared" si="0"/>
        <v>10936</v>
      </c>
      <c r="E12" s="1663">
        <v>11501</v>
      </c>
      <c r="F12" s="1724">
        <f t="shared" si="1"/>
        <v>11501</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4771</v>
      </c>
      <c r="C14" s="1663"/>
      <c r="D14" s="1724">
        <f t="shared" si="0"/>
        <v>4771</v>
      </c>
      <c r="E14" s="1663">
        <v>5102</v>
      </c>
      <c r="F14" s="1724">
        <f t="shared" si="1"/>
        <v>5102</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2984</v>
      </c>
      <c r="C16" s="1663"/>
      <c r="D16" s="1724">
        <f t="shared" si="0"/>
        <v>2984</v>
      </c>
      <c r="E16" s="1663">
        <v>7502</v>
      </c>
      <c r="F16" s="1724">
        <f t="shared" si="1"/>
        <v>7502</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572915</v>
      </c>
      <c r="C19" s="1725">
        <f>SUM(C4:C18)</f>
        <v>0</v>
      </c>
      <c r="D19" s="1725">
        <f>SUM(D4:D18)</f>
        <v>572915</v>
      </c>
      <c r="E19" s="1725">
        <f>SUM(E4:E18)</f>
        <v>604644</v>
      </c>
      <c r="F19" s="1725">
        <f>SUM(F4:F18)</f>
        <v>604644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D46" activeCellId="1" sqref="I42:O42 D4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3"/>
      <c r="D27" s="1663"/>
      <c r="E27" s="1663"/>
      <c r="F27" s="1731">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2078</v>
      </c>
      <c r="B32" s="595">
        <v>40725</v>
      </c>
      <c r="C32" s="1733">
        <v>225000</v>
      </c>
      <c r="D32" s="1734">
        <v>7</v>
      </c>
      <c r="E32" s="1733">
        <v>140000</v>
      </c>
      <c r="F32" s="1733"/>
      <c r="G32" s="1733"/>
      <c r="H32" s="1733">
        <v>15000</v>
      </c>
      <c r="I32" s="1735">
        <f>((E32+F32)-H32)+G32</f>
        <v>125000</v>
      </c>
      <c r="J32" s="1733">
        <v>110920</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225000</v>
      </c>
      <c r="D49" s="1741"/>
      <c r="E49" s="1735">
        <f t="shared" ref="E49:J49" si="2">SUM(E31:E48)</f>
        <v>140000</v>
      </c>
      <c r="F49" s="1735">
        <f t="shared" si="2"/>
        <v>0</v>
      </c>
      <c r="G49" s="1735">
        <f t="shared" si="2"/>
        <v>0</v>
      </c>
      <c r="H49" s="1735">
        <f t="shared" si="2"/>
        <v>15000</v>
      </c>
      <c r="I49" s="1735">
        <f t="shared" si="2"/>
        <v>125000</v>
      </c>
      <c r="J49" s="1735">
        <f t="shared" si="2"/>
        <v>110920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t="s">
        <v>2079</v>
      </c>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46" activeCellId="1" sqref="I42:O42 D4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7"/>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3">
        <v>0</v>
      </c>
      <c r="H3" s="1743">
        <v>0</v>
      </c>
      <c r="I3" s="1743">
        <v>0</v>
      </c>
      <c r="J3" s="1744">
        <v>0</v>
      </c>
      <c r="K3" s="1744">
        <v>0</v>
      </c>
    </row>
    <row r="4" spans="1:11" x14ac:dyDescent="0.2">
      <c r="A4" s="2327" t="s">
        <v>366</v>
      </c>
      <c r="B4" s="2328"/>
      <c r="C4" s="2328"/>
      <c r="D4" s="2328"/>
      <c r="E4" s="2309"/>
      <c r="F4" s="620"/>
      <c r="G4" s="1745"/>
      <c r="H4" s="1746"/>
      <c r="I4" s="1745"/>
      <c r="J4" s="1747"/>
      <c r="K4" s="1747"/>
    </row>
    <row r="5" spans="1:11" x14ac:dyDescent="0.2">
      <c r="A5" s="2347" t="s">
        <v>1060</v>
      </c>
      <c r="B5" s="2318"/>
      <c r="C5" s="2318"/>
      <c r="D5" s="2318"/>
      <c r="E5" s="2348"/>
      <c r="F5" s="622" t="s">
        <v>843</v>
      </c>
      <c r="G5" s="1748"/>
      <c r="H5" s="1743">
        <v>4771</v>
      </c>
      <c r="I5" s="1749"/>
      <c r="J5" s="1750"/>
      <c r="K5" s="1750"/>
    </row>
    <row r="6" spans="1:11" x14ac:dyDescent="0.2">
      <c r="A6" s="625" t="s">
        <v>715</v>
      </c>
      <c r="B6" s="626"/>
      <c r="C6" s="626"/>
      <c r="D6" s="626"/>
      <c r="E6" s="627"/>
      <c r="F6" s="628" t="s">
        <v>844</v>
      </c>
      <c r="G6" s="1743"/>
      <c r="H6" s="1743">
        <v>11</v>
      </c>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7" t="s">
        <v>1790</v>
      </c>
      <c r="B10" s="2318"/>
      <c r="C10" s="2318"/>
      <c r="D10" s="2318"/>
      <c r="E10" s="2349"/>
      <c r="F10" s="633" t="s">
        <v>857</v>
      </c>
      <c r="G10" s="1752"/>
      <c r="H10" s="1753">
        <v>39</v>
      </c>
      <c r="I10" s="1743"/>
      <c r="J10" s="1744"/>
      <c r="K10" s="1744"/>
    </row>
    <row r="11" spans="1:11" x14ac:dyDescent="0.2">
      <c r="A11" s="2347" t="s">
        <v>159</v>
      </c>
      <c r="B11" s="2318"/>
      <c r="C11" s="2318"/>
      <c r="D11" s="2318"/>
      <c r="E11" s="2348"/>
      <c r="F11" s="622" t="s">
        <v>847</v>
      </c>
      <c r="G11" s="1748"/>
      <c r="H11" s="1743"/>
      <c r="I11" s="1743"/>
      <c r="J11" s="1744"/>
      <c r="K11" s="1750"/>
    </row>
    <row r="12" spans="1:11" ht="13.5" thickBot="1" x14ac:dyDescent="0.25">
      <c r="A12" s="2335" t="s">
        <v>899</v>
      </c>
      <c r="B12" s="2336"/>
      <c r="C12" s="2336"/>
      <c r="D12" s="2336"/>
      <c r="E12" s="2337"/>
      <c r="F12" s="1432"/>
      <c r="G12" s="1754">
        <f>SUM(G5:G11)</f>
        <v>0</v>
      </c>
      <c r="H12" s="1754">
        <f>SUM(H5:H11)</f>
        <v>4821</v>
      </c>
      <c r="I12" s="1754">
        <f>SUM(I5:I11)</f>
        <v>0</v>
      </c>
      <c r="J12" s="1754">
        <f>SUM(J5:J11)</f>
        <v>0</v>
      </c>
      <c r="K12" s="1754">
        <f>SUM(K5:K11)</f>
        <v>0</v>
      </c>
    </row>
    <row r="13" spans="1:11" ht="13.5" thickTop="1" x14ac:dyDescent="0.2">
      <c r="A13" s="2329" t="s">
        <v>367</v>
      </c>
      <c r="B13" s="2330"/>
      <c r="C13" s="2330"/>
      <c r="D13" s="2330"/>
      <c r="E13" s="2331"/>
      <c r="F13" s="634"/>
      <c r="G13" s="1755"/>
      <c r="H13" s="1756"/>
      <c r="I13" s="1757"/>
      <c r="J13" s="1757"/>
      <c r="K13" s="1757"/>
    </row>
    <row r="14" spans="1:11" x14ac:dyDescent="0.2">
      <c r="A14" s="2353" t="s">
        <v>453</v>
      </c>
      <c r="B14" s="2353"/>
      <c r="C14" s="2353"/>
      <c r="D14" s="2353"/>
      <c r="E14" s="2354"/>
      <c r="F14" s="635" t="s">
        <v>849</v>
      </c>
      <c r="G14" s="1752"/>
      <c r="H14" s="1743">
        <v>4821</v>
      </c>
      <c r="I14" s="1748"/>
      <c r="J14" s="1750"/>
      <c r="K14" s="1744"/>
    </row>
    <row r="15" spans="1:11" x14ac:dyDescent="0.2">
      <c r="A15" s="2318" t="s">
        <v>4</v>
      </c>
      <c r="B15" s="2318"/>
      <c r="C15" s="2318"/>
      <c r="D15" s="2318"/>
      <c r="E15" s="2348"/>
      <c r="F15" s="635" t="s">
        <v>850</v>
      </c>
      <c r="G15" s="1748"/>
      <c r="H15" s="1743"/>
      <c r="I15" s="1743"/>
      <c r="J15" s="1744"/>
      <c r="K15" s="1744"/>
    </row>
    <row r="16" spans="1:11" x14ac:dyDescent="0.2">
      <c r="A16" s="2318" t="s">
        <v>295</v>
      </c>
      <c r="B16" s="2318"/>
      <c r="C16" s="2318"/>
      <c r="D16" s="2318"/>
      <c r="E16" s="2348"/>
      <c r="F16" s="635" t="s">
        <v>917</v>
      </c>
      <c r="G16" s="1749"/>
      <c r="H16" s="1745"/>
      <c r="I16" s="1745"/>
      <c r="J16" s="1747"/>
      <c r="K16" s="1747"/>
    </row>
    <row r="17" spans="1:15" x14ac:dyDescent="0.2">
      <c r="A17" s="2342" t="s">
        <v>929</v>
      </c>
      <c r="B17" s="2342"/>
      <c r="C17" s="2342"/>
      <c r="D17" s="2342"/>
      <c r="E17" s="2343"/>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55" t="s">
        <v>1786</v>
      </c>
      <c r="B19" s="2355"/>
      <c r="C19" s="2355"/>
      <c r="D19" s="2355"/>
      <c r="E19" s="2356"/>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5"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4821</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6" activeCellId="1" sqref="I42:O42 D4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11500</v>
      </c>
      <c r="D5" s="1769"/>
      <c r="E5" s="1769"/>
      <c r="F5" s="1764">
        <f>(C5+D5)-E5</f>
        <v>11500</v>
      </c>
      <c r="G5" s="676"/>
      <c r="H5" s="680"/>
      <c r="I5" s="680"/>
      <c r="J5" s="680"/>
      <c r="K5" s="637"/>
      <c r="L5" s="1441">
        <f>F5-K5</f>
        <v>11500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2199135</v>
      </c>
      <c r="D8" s="1770">
        <v>2625</v>
      </c>
      <c r="E8" s="1770">
        <v>4354</v>
      </c>
      <c r="F8" s="1764">
        <f>(C8+D8)-E8</f>
        <v>2197406</v>
      </c>
      <c r="G8" s="681">
        <v>50</v>
      </c>
      <c r="H8" s="619">
        <v>1137314</v>
      </c>
      <c r="I8" s="619">
        <v>33687</v>
      </c>
      <c r="J8" s="619">
        <v>4354</v>
      </c>
      <c r="K8" s="1441">
        <f>(H8+I8)-J8</f>
        <v>1166647</v>
      </c>
      <c r="L8" s="1441">
        <f>F8-K8</f>
        <v>1030759</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26234</v>
      </c>
      <c r="D10" s="1771">
        <v>52946</v>
      </c>
      <c r="E10" s="1771"/>
      <c r="F10" s="1772">
        <f>(C10+D10)-E10</f>
        <v>79180</v>
      </c>
      <c r="G10" s="681">
        <v>20</v>
      </c>
      <c r="H10" s="683">
        <v>25130</v>
      </c>
      <c r="I10" s="683">
        <v>323</v>
      </c>
      <c r="J10" s="683"/>
      <c r="K10" s="1441">
        <f>(H10+I10)-J10</f>
        <v>25453</v>
      </c>
      <c r="L10" s="1441">
        <f>F10-K10</f>
        <v>53727</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614652</v>
      </c>
      <c r="D12" s="1770">
        <v>35176</v>
      </c>
      <c r="E12" s="1770">
        <v>11950</v>
      </c>
      <c r="F12" s="1764">
        <f>(C12+D12)-E12</f>
        <v>637878</v>
      </c>
      <c r="G12" s="681">
        <v>10</v>
      </c>
      <c r="H12" s="619">
        <v>501083</v>
      </c>
      <c r="I12" s="619">
        <v>25344</v>
      </c>
      <c r="J12" s="619">
        <v>11950</v>
      </c>
      <c r="K12" s="1441">
        <f>(H12+I12)-J12</f>
        <v>514477</v>
      </c>
      <c r="L12" s="1441">
        <f>F12-K12</f>
        <v>123401</v>
      </c>
    </row>
    <row r="13" spans="1:14" ht="14.25" thickTop="1" thickBot="1" x14ac:dyDescent="0.25">
      <c r="A13" s="684" t="s">
        <v>1112</v>
      </c>
      <c r="B13" s="679">
        <v>252</v>
      </c>
      <c r="C13" s="1770">
        <v>5157</v>
      </c>
      <c r="D13" s="1770"/>
      <c r="E13" s="1770"/>
      <c r="F13" s="1764">
        <f>(C13+D13)-E13</f>
        <v>5157</v>
      </c>
      <c r="G13" s="681">
        <v>5</v>
      </c>
      <c r="H13" s="619">
        <v>2922</v>
      </c>
      <c r="I13" s="619">
        <v>1032</v>
      </c>
      <c r="J13" s="619"/>
      <c r="K13" s="1441">
        <f>(H13+I13)-J13</f>
        <v>3954</v>
      </c>
      <c r="L13" s="1441">
        <f>F13-K13</f>
        <v>1203</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2856678</v>
      </c>
      <c r="D16" s="1764">
        <f>SUM(D3,D5:D6,D8:D10,D12:D15)</f>
        <v>90747</v>
      </c>
      <c r="E16" s="1764">
        <f>SUM(E3,E5:E6,E8:E10,E12:E15)</f>
        <v>16304</v>
      </c>
      <c r="F16" s="1764">
        <f>SUM(F3,F5:F6,F8:F10,F12:F15)</f>
        <v>2931121</v>
      </c>
      <c r="G16" s="681"/>
      <c r="H16" s="1434">
        <f>SUM(H3,H6,H8:H10,H12:H14,)</f>
        <v>1666449</v>
      </c>
      <c r="I16" s="1434">
        <f>SUM(I3,I6,I8:I10,I12:I14,)</f>
        <v>60386</v>
      </c>
      <c r="J16" s="1434">
        <f>SUM(J3,J6,J8:J10,J12:J14,)</f>
        <v>16304</v>
      </c>
      <c r="K16" s="1434">
        <f>(H16+I16)-J16</f>
        <v>1710531</v>
      </c>
      <c r="L16" s="1434">
        <f>F16-K16</f>
        <v>1220590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60386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D46" activeCellId="1" sqref="I42:O42 D4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1415732</v>
      </c>
      <c r="G8" s="701"/>
    </row>
    <row r="9" spans="1:9" x14ac:dyDescent="0.2">
      <c r="A9" s="705" t="s">
        <v>457</v>
      </c>
      <c r="B9" s="706" t="s">
        <v>1848</v>
      </c>
      <c r="C9" s="707"/>
      <c r="D9" s="705" t="s">
        <v>498</v>
      </c>
      <c r="E9" s="704"/>
      <c r="F9" s="1774">
        <f>'Expenditures 15-22'!K151</f>
        <v>96117</v>
      </c>
      <c r="G9" s="708"/>
    </row>
    <row r="10" spans="1:9" x14ac:dyDescent="0.2">
      <c r="A10" s="705" t="s">
        <v>496</v>
      </c>
      <c r="B10" s="706" t="s">
        <v>1849</v>
      </c>
      <c r="C10" s="707"/>
      <c r="D10" s="705" t="s">
        <v>498</v>
      </c>
      <c r="E10" s="704"/>
      <c r="F10" s="1774">
        <f>'Expenditures 15-22'!K174</f>
        <v>23435</v>
      </c>
      <c r="G10" s="708"/>
    </row>
    <row r="11" spans="1:9" x14ac:dyDescent="0.2">
      <c r="A11" s="705" t="s">
        <v>458</v>
      </c>
      <c r="B11" s="706" t="s">
        <v>1850</v>
      </c>
      <c r="C11" s="707"/>
      <c r="D11" s="705" t="s">
        <v>498</v>
      </c>
      <c r="E11" s="704"/>
      <c r="F11" s="1774">
        <f>'Expenditures 15-22'!K210</f>
        <v>57146</v>
      </c>
      <c r="G11" s="708"/>
    </row>
    <row r="12" spans="1:9" x14ac:dyDescent="0.2">
      <c r="A12" s="705" t="s">
        <v>459</v>
      </c>
      <c r="B12" s="706" t="s">
        <v>1851</v>
      </c>
      <c r="C12" s="707"/>
      <c r="D12" s="705" t="s">
        <v>498</v>
      </c>
      <c r="E12" s="704"/>
      <c r="F12" s="1774">
        <f>'Expenditures 15-22'!K295</f>
        <v>67743</v>
      </c>
      <c r="G12" s="708"/>
    </row>
    <row r="13" spans="1:9" x14ac:dyDescent="0.2">
      <c r="A13" s="705" t="s">
        <v>106</v>
      </c>
      <c r="B13" s="706" t="s">
        <v>1852</v>
      </c>
      <c r="C13" s="707"/>
      <c r="D13" s="705" t="s">
        <v>498</v>
      </c>
      <c r="E13" s="704"/>
      <c r="F13" s="1774">
        <f>'Expenditures 15-22'!K342</f>
        <v>137233</v>
      </c>
      <c r="G13" s="709"/>
    </row>
    <row r="14" spans="1:9" ht="12" customHeight="1" thickBot="1" x14ac:dyDescent="0.25">
      <c r="A14" s="1442"/>
      <c r="B14" s="1443"/>
      <c r="C14" s="1444"/>
      <c r="D14" s="1445" t="s">
        <v>498</v>
      </c>
      <c r="E14" s="1446" t="s">
        <v>952</v>
      </c>
      <c r="F14" s="1775">
        <f>SUM(F8:F13)</f>
        <v>1797406</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27668</v>
      </c>
      <c r="G53" s="701"/>
    </row>
    <row r="54" spans="1:7" x14ac:dyDescent="0.2">
      <c r="A54" s="705" t="s">
        <v>456</v>
      </c>
      <c r="B54" s="705" t="s">
        <v>1459</v>
      </c>
      <c r="C54" s="724" t="s">
        <v>975</v>
      </c>
      <c r="D54" s="720" t="s">
        <v>1086</v>
      </c>
      <c r="E54" s="704"/>
      <c r="F54" s="1781">
        <f>'Expenditures 15-22'!G114</f>
        <v>5007</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0</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15000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10200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57875</v>
      </c>
      <c r="G77" s="701"/>
    </row>
    <row r="78" spans="1:9" s="728" customFormat="1" ht="12" customHeight="1" thickTop="1" thickBot="1" x14ac:dyDescent="0.25">
      <c r="A78" s="1449"/>
      <c r="B78" s="1447"/>
      <c r="C78" s="1444"/>
      <c r="D78" s="1448" t="s">
        <v>2012</v>
      </c>
      <c r="E78" s="1446"/>
      <c r="F78" s="1787">
        <f>(F14-F77)</f>
        <v>1739531</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179.6</v>
      </c>
      <c r="G79" s="733"/>
      <c r="H79" s="705"/>
      <c r="I79" s="705"/>
    </row>
    <row r="80" spans="1:9" s="728" customFormat="1" ht="12" customHeight="1" thickBot="1" x14ac:dyDescent="0.25">
      <c r="A80" s="1451"/>
      <c r="B80" s="1447"/>
      <c r="C80" s="1444"/>
      <c r="D80" s="1448" t="s">
        <v>2013</v>
      </c>
      <c r="E80" s="1446" t="s">
        <v>952</v>
      </c>
      <c r="F80" s="1789">
        <f>IF(F79&gt;0,F78/F79," Complete Line 79")</f>
        <v>9685.584632516704</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1427</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1315</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890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12650</v>
      </c>
      <c r="G104" s="745"/>
    </row>
    <row r="105" spans="1:7" x14ac:dyDescent="0.2">
      <c r="A105" s="741" t="s">
        <v>456</v>
      </c>
      <c r="B105" s="741" t="s">
        <v>803</v>
      </c>
      <c r="C105" s="743">
        <f>'Revenues 9-14'!B106</f>
        <v>1993</v>
      </c>
      <c r="D105" s="744" t="str">
        <f>'Revenues 9-14'!A106</f>
        <v>Other Local Fees (Describe &amp; Itemize)</v>
      </c>
      <c r="E105" s="739"/>
      <c r="F105" s="1792">
        <f>('Revenues 9-14'!C106)</f>
        <v>273</v>
      </c>
      <c r="G105" s="745"/>
    </row>
    <row r="106" spans="1:7" x14ac:dyDescent="0.2">
      <c r="A106" s="741" t="s">
        <v>500</v>
      </c>
      <c r="B106" s="741" t="s">
        <v>1910</v>
      </c>
      <c r="C106" s="746">
        <v>3100</v>
      </c>
      <c r="D106" s="752" t="str">
        <f>'Revenues 9-14'!A132</f>
        <v>Total Special Education</v>
      </c>
      <c r="E106" s="739"/>
      <c r="F106" s="1792">
        <f>SUM('Revenues 9-14'!C132:D132,'Revenues 9-14'!F132)</f>
        <v>6143</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1772</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21859</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13575</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13421</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137737</v>
      </c>
      <c r="G126" s="763"/>
    </row>
    <row r="127" spans="1:7" x14ac:dyDescent="0.2">
      <c r="A127" s="760" t="s">
        <v>663</v>
      </c>
      <c r="B127" s="760" t="s">
        <v>1931</v>
      </c>
      <c r="C127" s="765">
        <v>4300</v>
      </c>
      <c r="D127" s="766" t="str">
        <f>'Revenues 9-14'!A204</f>
        <v>Total Title I</v>
      </c>
      <c r="E127" s="739"/>
      <c r="F127" s="1792">
        <f>SUM('Revenues 9-14'!C204,'Revenues 9-14'!D204,'Revenues 9-14'!F204,'Revenues 9-14'!G204)</f>
        <v>119105</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2023</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13228</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12439</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8623</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3290</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24756</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77393</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471919</v>
      </c>
    </row>
    <row r="176" spans="1:7" ht="12" customHeight="1" x14ac:dyDescent="0.2">
      <c r="A176" s="1442"/>
      <c r="B176" s="1452"/>
      <c r="C176" s="1453"/>
      <c r="D176" s="1454" t="s">
        <v>2014</v>
      </c>
      <c r="E176" s="1455"/>
      <c r="F176" s="1792">
        <f>'PCTC-OEPP 27-28'!F78-F175</f>
        <v>1267612</v>
      </c>
    </row>
    <row r="177" spans="1:9" ht="12" customHeight="1" x14ac:dyDescent="0.2">
      <c r="A177" s="1442"/>
      <c r="B177" s="1452"/>
      <c r="C177" s="1453"/>
      <c r="D177" s="1454" t="s">
        <v>1794</v>
      </c>
      <c r="E177" s="1455"/>
      <c r="F177" s="1792">
        <f>'Cap Outlay Deprec 26'!I18</f>
        <v>60386</v>
      </c>
    </row>
    <row r="178" spans="1:9" ht="12" customHeight="1" x14ac:dyDescent="0.2">
      <c r="A178" s="1442"/>
      <c r="B178" s="1452"/>
      <c r="C178" s="1453"/>
      <c r="D178" s="1454" t="s">
        <v>2015</v>
      </c>
      <c r="E178" s="1455"/>
      <c r="F178" s="1792">
        <f>F176+F177</f>
        <v>1327998</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179.6</v>
      </c>
      <c r="G179" s="763"/>
      <c r="I179" s="701"/>
    </row>
    <row r="180" spans="1:9" ht="12" customHeight="1" thickBot="1" x14ac:dyDescent="0.25">
      <c r="A180" s="1442"/>
      <c r="B180" s="1456"/>
      <c r="C180" s="1453"/>
      <c r="D180" s="1454" t="s">
        <v>2017</v>
      </c>
      <c r="E180" s="1455" t="s">
        <v>1528</v>
      </c>
      <c r="F180" s="1797">
        <f>F178/F179</f>
        <v>7394.1982182628062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2080</v>
      </c>
      <c r="B18" s="1906">
        <v>102300300</v>
      </c>
      <c r="C18" s="2035" t="s">
        <v>2081</v>
      </c>
      <c r="D18" s="1884">
        <v>6000</v>
      </c>
      <c r="E18" s="1904">
        <f t="shared" ref="E18:E33" si="0">IF(D18&lt;25000,D18,"25,000")</f>
        <v>6000</v>
      </c>
      <c r="F18" s="1904" t="str">
        <f t="shared" ref="F18:F33" si="1">IF(D18&gt;=25000,(D18-E18),"0")</f>
        <v>0</v>
      </c>
      <c r="G18" s="1885"/>
    </row>
    <row r="19" spans="1:7" x14ac:dyDescent="0.25">
      <c r="A19" s="2034" t="s">
        <v>2080</v>
      </c>
      <c r="B19" s="1906">
        <v>101000300</v>
      </c>
      <c r="C19" s="2035" t="s">
        <v>2082</v>
      </c>
      <c r="D19" s="1884">
        <v>5724</v>
      </c>
      <c r="E19" s="1904">
        <f t="shared" si="0"/>
        <v>5724</v>
      </c>
      <c r="F19" s="1904" t="str">
        <f t="shared" si="1"/>
        <v>0</v>
      </c>
    </row>
    <row r="20" spans="1:7" x14ac:dyDescent="0.25">
      <c r="A20" s="2034" t="s">
        <v>2083</v>
      </c>
      <c r="B20" s="1906">
        <v>402550300</v>
      </c>
      <c r="C20" s="2035" t="s">
        <v>2084</v>
      </c>
      <c r="D20" s="1884">
        <v>19081</v>
      </c>
      <c r="E20" s="1904">
        <f t="shared" si="0"/>
        <v>19081</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30805</v>
      </c>
      <c r="E36" s="1891">
        <f>SUM(E18:E35)</f>
        <v>30805</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D46" activeCellId="1" sqref="I42:O42 D4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69292</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9704</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1093803</v>
      </c>
      <c r="F19" s="1801"/>
      <c r="G19" s="1803">
        <f>'Expenditures 15-22'!K33-SUM('Expenditures 15-22'!G33,'Expenditures 15-22'!I33)+'Expenditures 15-22'!D229</f>
        <v>1093803</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35105</v>
      </c>
      <c r="F21" s="1804"/>
      <c r="G21" s="1807">
        <f>'Expenditures 15-22'!K42-SUM('Expenditures 15-22'!G42,'Expenditures 15-22'!I42)+'Expenditures 15-22'!K120-SUM('Expenditures 15-22'!G120,'Expenditures 15-22'!I120)+'Expenditures 15-22'!K180-SUM('Expenditures 15-22'!G180,'Expenditures 15-22'!I180)+'Expenditures 15-22'!D238</f>
        <v>35105</v>
      </c>
      <c r="H21" s="817"/>
      <c r="I21" s="157"/>
    </row>
    <row r="22" spans="1:9" s="542" customFormat="1" ht="12" customHeight="1" x14ac:dyDescent="0.2">
      <c r="A22" s="824" t="s">
        <v>560</v>
      </c>
      <c r="B22" s="825"/>
      <c r="C22" s="823">
        <v>2200</v>
      </c>
      <c r="D22" s="1804"/>
      <c r="E22" s="1806">
        <f>'Expenditures 15-22'!K47-SUM('Expenditures 15-22'!G47,'Expenditures 15-22'!I47)+'Expenditures 15-22'!D243</f>
        <v>22065</v>
      </c>
      <c r="F22" s="1804"/>
      <c r="G22" s="1807">
        <f>'Expenditures 15-22'!K47-SUM('Expenditures 15-22'!G47,'Expenditures 15-22'!I47)+'Expenditures 15-22'!D243</f>
        <v>22065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208664</v>
      </c>
      <c r="F23" s="1804"/>
      <c r="G23" s="1806">
        <f>'Expenditures 15-22'!K53-SUM('Expenditures 15-22'!G53,'Expenditures 15-22'!I53)+'Expenditures 15-22'!D257+'Expenditures 15-22'!K330-SUM('Expenditures 15-22'!G330,'Expenditures 15-22'!I330)</f>
        <v>208664</v>
      </c>
      <c r="H23" s="817"/>
      <c r="I23" s="157"/>
    </row>
    <row r="24" spans="1:9" s="542" customFormat="1" ht="12" customHeight="1" x14ac:dyDescent="0.2">
      <c r="A24" s="824" t="s">
        <v>562</v>
      </c>
      <c r="B24" s="825"/>
      <c r="C24" s="823">
        <v>2400</v>
      </c>
      <c r="D24" s="1804"/>
      <c r="E24" s="1806">
        <f>'Expenditures 15-22'!K57-SUM('Expenditures 15-22'!G57,'Expenditures 15-22'!I57)+'Expenditures 15-22'!D261</f>
        <v>68332</v>
      </c>
      <c r="F24" s="1804"/>
      <c r="G24" s="1807">
        <f>'Expenditures 15-22'!K57-SUM('Expenditures 15-22'!G57,'Expenditures 15-22'!I57)+'Expenditures 15-22'!D261</f>
        <v>68332</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18707</v>
      </c>
      <c r="E27" s="1806">
        <f>E8</f>
        <v>0</v>
      </c>
      <c r="F27" s="1806">
        <f>'Expenditures 15-22'!K60-SUM('Expenditures 15-22'!G60,'Expenditures 15-22'!I60)+'Expenditures 15-22'!D264-E8</f>
        <v>18707</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105915</v>
      </c>
      <c r="F28" s="1808">
        <f>'Expenditures 15-22'!K61-SUM('Expenditures 15-22'!G61,'Expenditures 15-22'!I61)+'Expenditures 15-22'!K124-SUM('Expenditures 15-22'!G124,'Expenditures 15-22'!I124)+'Expenditures 15-22'!D266-E9</f>
        <v>105915</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61292</v>
      </c>
      <c r="F29" s="1804"/>
      <c r="G29" s="1807">
        <f>'Expenditures 15-22'!K62-SUM('Expenditures 15-22'!G62,'Expenditures 15-22'!I62)+'Expenditures 15-22'!K125-SUM('Expenditures 15-22'!G125,'Expenditures 15-22'!I125)+'Expenditures 15-22'!K182-SUM('Expenditures 15-22'!G182,'Expenditures 15-22'!I182)+'Expenditures 15-22'!D267</f>
        <v>61292</v>
      </c>
      <c r="H29" s="815"/>
    </row>
    <row r="30" spans="1:9" ht="12" customHeight="1" x14ac:dyDescent="0.2">
      <c r="A30" s="824" t="s">
        <v>100</v>
      </c>
      <c r="B30" s="827"/>
      <c r="C30" s="823">
        <v>2560</v>
      </c>
      <c r="D30" s="1804"/>
      <c r="E30" s="1806">
        <f>'Expenditures 15-22'!K63-SUM('Expenditures 15-22'!G63,'Expenditures 15-22'!I63)+'Expenditures 15-22'!D268-E10</f>
        <v>47921</v>
      </c>
      <c r="F30" s="1804"/>
      <c r="G30" s="1806">
        <f>'Expenditures 15-22'!K63-SUM('Expenditures 15-22'!G63,'Expenditures 15-22'!I63)+'Expenditures 15-22'!D268-E10</f>
        <v>47921</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18707</v>
      </c>
      <c r="E41" s="1808">
        <f>SUM(E19:E40)</f>
        <v>1643097</v>
      </c>
      <c r="F41" s="1808">
        <f>SUM(F19:F39)</f>
        <v>124622</v>
      </c>
      <c r="G41" s="1808">
        <f>SUM(G19:G40)</f>
        <v>1537182</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18707</v>
      </c>
      <c r="F43" s="1457" t="s">
        <v>470</v>
      </c>
      <c r="G43" s="1809">
        <f>F41</f>
        <v>124622</v>
      </c>
    </row>
    <row r="44" spans="1:7" ht="12" customHeight="1" x14ac:dyDescent="0.2">
      <c r="A44" s="817"/>
      <c r="B44" s="157"/>
      <c r="C44" s="831"/>
      <c r="D44" s="1457" t="s">
        <v>471</v>
      </c>
      <c r="E44" s="1809">
        <f>E41</f>
        <v>1643097</v>
      </c>
      <c r="F44" s="1457" t="s">
        <v>471</v>
      </c>
      <c r="G44" s="1809">
        <f>G41</f>
        <v>1537182</v>
      </c>
    </row>
    <row r="45" spans="1:7" ht="12" customHeight="1" x14ac:dyDescent="0.2">
      <c r="A45" s="817"/>
      <c r="B45" s="157"/>
      <c r="C45" s="157"/>
      <c r="D45" s="1458" t="s">
        <v>999</v>
      </c>
      <c r="E45" s="1810">
        <f>(E43/E44)</f>
        <v>1.1385207324947948E-2</v>
      </c>
      <c r="F45" s="1458" t="s">
        <v>999</v>
      </c>
      <c r="G45" s="1810">
        <f>(G43/G44)</f>
        <v>8.1071727355641693E-2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D46" activeCellId="1" sqref="I42:O42 D46"/>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Bethel SD 82</v>
      </c>
      <c r="D6" s="2403"/>
      <c r="E6" s="2403"/>
      <c r="F6" s="1481"/>
      <c r="G6" s="1506"/>
      <c r="L6" s="1506"/>
      <c r="M6" s="1854"/>
      <c r="N6" s="1854"/>
      <c r="O6" s="1854"/>
    </row>
    <row r="7" spans="1:15" ht="11.25" customHeight="1" thickBot="1" x14ac:dyDescent="0.3">
      <c r="A7" s="1479"/>
      <c r="B7" s="1480"/>
      <c r="C7" s="2404">
        <f>COVER!A13</f>
        <v>13041082002</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2077</v>
      </c>
      <c r="D14" s="1494" t="s">
        <v>2077</v>
      </c>
      <c r="E14" s="1497" t="s">
        <v>2077</v>
      </c>
      <c r="F14" s="1496" t="s">
        <v>2085</v>
      </c>
      <c r="G14" s="1506"/>
      <c r="H14" s="1506">
        <f t="shared" si="0"/>
        <v>5</v>
      </c>
      <c r="I14" s="1506">
        <f t="shared" si="1"/>
        <v>5</v>
      </c>
      <c r="J14" s="1506">
        <f t="shared" si="2"/>
        <v>5</v>
      </c>
      <c r="L14" s="1506"/>
      <c r="M14" s="1854"/>
      <c r="N14" s="1854"/>
      <c r="O14" s="1854"/>
    </row>
    <row r="15" spans="1:15" ht="12" customHeight="1" x14ac:dyDescent="0.2">
      <c r="A15" s="1492" t="s">
        <v>1371</v>
      </c>
      <c r="B15" s="1493"/>
      <c r="C15" s="1494" t="s">
        <v>2077</v>
      </c>
      <c r="D15" s="1494" t="s">
        <v>2077</v>
      </c>
      <c r="E15" s="1497" t="s">
        <v>2077</v>
      </c>
      <c r="F15" s="1496" t="s">
        <v>2086</v>
      </c>
      <c r="G15" s="1506"/>
      <c r="H15" s="1506">
        <f t="shared" si="0"/>
        <v>5</v>
      </c>
      <c r="I15" s="1506">
        <f t="shared" si="1"/>
        <v>5</v>
      </c>
      <c r="J15" s="1506">
        <f t="shared" si="2"/>
        <v>5</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2077</v>
      </c>
      <c r="D19" s="1494" t="s">
        <v>2077</v>
      </c>
      <c r="E19" s="1497" t="s">
        <v>2077</v>
      </c>
      <c r="F19" s="1496" t="s">
        <v>2087</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t="s">
        <v>2077</v>
      </c>
      <c r="D24" s="1494" t="s">
        <v>2077</v>
      </c>
      <c r="E24" s="1497" t="s">
        <v>2077</v>
      </c>
      <c r="F24" s="1496" t="s">
        <v>2088</v>
      </c>
      <c r="G24" s="1506"/>
      <c r="H24" s="1506">
        <f t="shared" si="0"/>
        <v>5</v>
      </c>
      <c r="I24" s="1506">
        <f t="shared" si="1"/>
        <v>5</v>
      </c>
      <c r="J24" s="1506">
        <f t="shared" si="2"/>
        <v>5</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2077</v>
      </c>
      <c r="D26" s="1494" t="s">
        <v>2077</v>
      </c>
      <c r="E26" s="1497" t="s">
        <v>2077</v>
      </c>
      <c r="F26" s="1496" t="s">
        <v>2089</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t="s">
        <v>2077</v>
      </c>
      <c r="D28" s="1494" t="s">
        <v>2077</v>
      </c>
      <c r="E28" s="1497" t="s">
        <v>2077</v>
      </c>
      <c r="F28" s="1496" t="s">
        <v>2088</v>
      </c>
      <c r="G28" s="1506"/>
      <c r="H28" s="1506">
        <f t="shared" si="0"/>
        <v>5</v>
      </c>
      <c r="I28" s="1506">
        <f t="shared" si="1"/>
        <v>5</v>
      </c>
      <c r="J28" s="1506">
        <f t="shared" si="2"/>
        <v>5</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t="s">
        <v>2077</v>
      </c>
      <c r="D33" s="1494" t="s">
        <v>2077</v>
      </c>
      <c r="E33" s="1497" t="s">
        <v>2077</v>
      </c>
      <c r="F33" s="1496" t="s">
        <v>2090</v>
      </c>
      <c r="G33" s="1506"/>
      <c r="H33" s="1506">
        <f t="shared" si="0"/>
        <v>5</v>
      </c>
      <c r="I33" s="1506">
        <f t="shared" si="1"/>
        <v>5</v>
      </c>
      <c r="J33" s="1506">
        <f t="shared" si="2"/>
        <v>5</v>
      </c>
      <c r="L33" s="1506"/>
      <c r="M33" s="1854"/>
      <c r="N33" s="1854"/>
      <c r="O33" s="1854"/>
    </row>
    <row r="34" spans="1:15" ht="12" customHeight="1" x14ac:dyDescent="0.25">
      <c r="A34" s="1498"/>
      <c r="B34" s="1498"/>
      <c r="C34" s="1498"/>
      <c r="D34" s="1498"/>
      <c r="E34" s="1498"/>
      <c r="F34" s="1498"/>
      <c r="G34" s="1506"/>
      <c r="H34" s="1506">
        <f>SUM(H11:H32)</f>
        <v>30</v>
      </c>
      <c r="I34" s="1506">
        <f>SUM(I11:I32)</f>
        <v>30</v>
      </c>
      <c r="J34" s="1506">
        <f>SUM(J11:J32)</f>
        <v>30</v>
      </c>
      <c r="K34" s="1506">
        <f>SUM(H34:J34)</f>
        <v>90</v>
      </c>
      <c r="L34" s="1506"/>
      <c r="M34" s="1854"/>
      <c r="N34" s="1854"/>
      <c r="O34" s="1854"/>
    </row>
    <row r="35" spans="1:15" ht="12" customHeight="1" x14ac:dyDescent="0.2">
      <c r="A35" s="1499" t="s">
        <v>1376</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1375</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6" activeCellId="1" sqref="I42:O42 A46:N47"/>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19" t="str">
        <f>COVER!A17</f>
        <v xml:space="preserve">  Bethel SD 82</v>
      </c>
      <c r="K6" s="2419"/>
      <c r="L6" s="2420"/>
      <c r="M6" s="838"/>
      <c r="N6" s="1996"/>
    </row>
    <row r="7" spans="1:14" x14ac:dyDescent="0.2">
      <c r="A7" s="2421" t="s">
        <v>864</v>
      </c>
      <c r="B7" s="2422"/>
      <c r="C7" s="2422"/>
      <c r="D7" s="2422"/>
      <c r="E7" s="2423"/>
      <c r="F7" s="839"/>
      <c r="G7" s="838"/>
      <c r="H7" s="838"/>
      <c r="I7" s="1922" t="s">
        <v>369</v>
      </c>
      <c r="J7" s="2424">
        <f>COVER!A13</f>
        <v>13041082002</v>
      </c>
      <c r="K7" s="2424"/>
      <c r="L7" s="2424"/>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5" t="s">
        <v>478</v>
      </c>
      <c r="B11" s="2426"/>
      <c r="C11" s="2427"/>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61832</v>
      </c>
      <c r="F12" s="1940"/>
      <c r="G12" s="1966">
        <f>G68</f>
        <v>12565</v>
      </c>
      <c r="H12" s="1942">
        <f t="shared" ref="H12:H18" si="0">SUM(E12:G12)</f>
        <v>74397</v>
      </c>
      <c r="I12" s="1941">
        <v>64350</v>
      </c>
      <c r="J12" s="1940"/>
      <c r="K12" s="1941">
        <v>13020</v>
      </c>
      <c r="L12" s="1942">
        <f t="shared" ref="L12:L18" si="1">SUM(I12:K12)</f>
        <v>77370</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8" t="s">
        <v>7</v>
      </c>
      <c r="C18" s="2429"/>
      <c r="D18" s="2430"/>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61832</v>
      </c>
      <c r="F19" s="1948">
        <f t="shared" si="2"/>
        <v>0</v>
      </c>
      <c r="G19" s="1948">
        <f t="shared" ref="G19" si="3">SUM(G12:G17)-G18</f>
        <v>12565</v>
      </c>
      <c r="H19" s="1948">
        <f t="shared" si="2"/>
        <v>74397</v>
      </c>
      <c r="I19" s="1948">
        <f t="shared" si="2"/>
        <v>64350</v>
      </c>
      <c r="J19" s="1948">
        <f t="shared" si="2"/>
        <v>0</v>
      </c>
      <c r="K19" s="1948">
        <f t="shared" si="2"/>
        <v>13020</v>
      </c>
      <c r="L19" s="1948">
        <f t="shared" si="2"/>
        <v>77370</v>
      </c>
      <c r="M19" s="838"/>
      <c r="N19" s="1996"/>
    </row>
    <row r="20" spans="1:14" ht="13.5" thickTop="1" x14ac:dyDescent="0.2">
      <c r="A20" s="2001">
        <v>9</v>
      </c>
      <c r="B20" s="2431" t="s">
        <v>2021</v>
      </c>
      <c r="C20" s="2431"/>
      <c r="D20" s="2432"/>
      <c r="E20" s="1949"/>
      <c r="F20" s="1949"/>
      <c r="G20" s="1949"/>
      <c r="H20" s="1949"/>
      <c r="I20" s="1949"/>
      <c r="J20" s="1949"/>
      <c r="K20" s="1949"/>
      <c r="L20" s="1950">
        <f>IF(AND(H19&gt;0,L19&gt;0),(((L19-H19)/H19)),"Enter Budget Data")</f>
        <v>3.9961288761643614E-2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3"/>
      <c r="D27" s="2433"/>
      <c r="E27" s="843"/>
      <c r="F27" s="2434"/>
      <c r="G27" s="2434"/>
      <c r="H27" s="2434"/>
      <c r="I27" s="838"/>
      <c r="J27" s="838"/>
      <c r="K27" s="838"/>
      <c r="L27" s="838"/>
      <c r="M27" s="838"/>
      <c r="N27" s="1996"/>
    </row>
    <row r="28" spans="1:14" x14ac:dyDescent="0.2">
      <c r="A28" s="1995"/>
      <c r="B28" s="2005"/>
      <c r="C28" s="1955" t="s">
        <v>1026</v>
      </c>
      <c r="D28" s="844"/>
      <c r="E28" s="1956"/>
      <c r="F28" s="2435" t="s">
        <v>1492</v>
      </c>
      <c r="G28" s="2435"/>
      <c r="H28" s="2435"/>
      <c r="I28" s="838"/>
      <c r="J28" s="838"/>
      <c r="K28" s="838"/>
      <c r="L28" s="838"/>
      <c r="M28" s="838"/>
      <c r="N28" s="1996"/>
    </row>
    <row r="29" spans="1:14" x14ac:dyDescent="0.2">
      <c r="A29" s="1995"/>
      <c r="B29" s="2005"/>
      <c r="C29" s="2436"/>
      <c r="D29" s="2436"/>
      <c r="E29" s="845"/>
      <c r="F29" s="2436"/>
      <c r="G29" s="2436"/>
      <c r="H29" s="2436"/>
      <c r="I29" s="838"/>
      <c r="J29" s="838"/>
      <c r="K29" s="838"/>
      <c r="L29" s="838"/>
      <c r="M29" s="838"/>
      <c r="N29" s="1996"/>
    </row>
    <row r="30" spans="1:14" x14ac:dyDescent="0.2">
      <c r="A30" s="1995"/>
      <c r="B30" s="2005"/>
      <c r="C30" s="1958" t="s">
        <v>1544</v>
      </c>
      <c r="D30" s="838"/>
      <c r="E30" s="1957"/>
      <c r="F30" s="2418" t="s">
        <v>1493</v>
      </c>
      <c r="G30" s="2418"/>
      <c r="H30" s="241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9" t="s">
        <v>2024</v>
      </c>
      <c r="D34" s="2440"/>
      <c r="E34" s="2440"/>
      <c r="F34" s="2440"/>
      <c r="G34" s="2440"/>
      <c r="H34" s="2440"/>
      <c r="I34" s="2440"/>
      <c r="J34" s="2440"/>
      <c r="K34" s="2014"/>
      <c r="L34" s="838"/>
      <c r="M34" s="838"/>
      <c r="N34" s="1996"/>
    </row>
    <row r="35" spans="1:14" x14ac:dyDescent="0.2">
      <c r="A35" s="1995"/>
      <c r="B35" s="838"/>
      <c r="C35" s="2440"/>
      <c r="D35" s="2440"/>
      <c r="E35" s="2440"/>
      <c r="F35" s="2440"/>
      <c r="G35" s="2440"/>
      <c r="H35" s="2440"/>
      <c r="I35" s="2440"/>
      <c r="J35" s="244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9" t="s">
        <v>2025</v>
      </c>
      <c r="D37" s="2440"/>
      <c r="E37" s="2440"/>
      <c r="F37" s="2440"/>
      <c r="G37" s="2440"/>
      <c r="H37" s="2440"/>
      <c r="I37" s="2440"/>
      <c r="J37" s="2440"/>
      <c r="K37" s="2014"/>
      <c r="L37" s="2016"/>
      <c r="M37" s="838"/>
      <c r="N37" s="1996"/>
    </row>
    <row r="38" spans="1:14" x14ac:dyDescent="0.2">
      <c r="A38" s="1995"/>
      <c r="B38" s="838"/>
      <c r="C38" s="2440"/>
      <c r="D38" s="2440"/>
      <c r="E38" s="2440"/>
      <c r="F38" s="2440"/>
      <c r="G38" s="2440"/>
      <c r="H38" s="2440"/>
      <c r="I38" s="2440"/>
      <c r="J38" s="244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1" t="s">
        <v>2026</v>
      </c>
      <c r="D40" s="2442"/>
      <c r="E40" s="2442"/>
      <c r="F40" s="2442"/>
      <c r="G40" s="2442"/>
      <c r="H40" s="2442"/>
      <c r="I40" s="2442"/>
      <c r="J40" s="244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19" t="str">
        <f>J6</f>
        <v xml:space="preserve">  Bethel SD 82</v>
      </c>
      <c r="M52" s="2419"/>
      <c r="N52" s="2449"/>
    </row>
    <row r="53" spans="1:14" x14ac:dyDescent="0.2">
      <c r="A53" s="1980"/>
      <c r="B53" s="1981"/>
      <c r="C53" s="1981"/>
      <c r="D53" s="1981"/>
      <c r="E53" s="1981"/>
      <c r="F53" s="1981"/>
      <c r="G53" s="1981"/>
      <c r="H53" s="1981"/>
      <c r="I53" s="1981"/>
      <c r="J53" s="1981"/>
      <c r="K53" s="1922" t="s">
        <v>369</v>
      </c>
      <c r="L53" s="2424">
        <f>J7</f>
        <v>13041082002</v>
      </c>
      <c r="M53" s="2424"/>
      <c r="N53" s="245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1"/>
      <c r="B55" s="2452"/>
      <c r="C55" s="2452"/>
      <c r="D55" s="1968"/>
      <c r="E55" s="1968"/>
      <c r="F55" s="1968"/>
      <c r="G55" s="2453" t="s">
        <v>2030</v>
      </c>
      <c r="H55" s="2453"/>
      <c r="I55" s="2453"/>
      <c r="J55" s="2453"/>
      <c r="K55" s="2453"/>
      <c r="L55" s="2453"/>
      <c r="M55" s="2453"/>
      <c r="N55" s="2454"/>
    </row>
    <row r="56" spans="1:14" ht="63.75" x14ac:dyDescent="0.2">
      <c r="A56" s="2455" t="s">
        <v>2031</v>
      </c>
      <c r="B56" s="2456"/>
      <c r="C56" s="245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8" t="s">
        <v>296</v>
      </c>
      <c r="B57" s="2459"/>
      <c r="C57" s="245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7" t="s">
        <v>2041</v>
      </c>
      <c r="B58" s="2438"/>
      <c r="C58" s="2438"/>
      <c r="D58" s="1965">
        <v>2362</v>
      </c>
      <c r="E58" s="1975">
        <f>'Expenditures 15-22'!K320</f>
        <v>6766</v>
      </c>
      <c r="F58" s="1970"/>
      <c r="G58" s="2029"/>
      <c r="H58" s="2030"/>
      <c r="I58" s="2030"/>
      <c r="J58" s="2030"/>
      <c r="K58" s="2030"/>
      <c r="L58" s="2030"/>
      <c r="M58" s="2030">
        <v>6766</v>
      </c>
      <c r="N58" s="1973">
        <f>IF((SUM(G58:M58))=E58,SUM(G58:M58),"Column N does not agree with Column E")</f>
        <v>6766</v>
      </c>
    </row>
    <row r="59" spans="1:14" ht="24.75" customHeight="1" x14ac:dyDescent="0.2">
      <c r="A59" s="2460" t="s">
        <v>297</v>
      </c>
      <c r="B59" s="2461"/>
      <c r="C59" s="2461"/>
      <c r="D59" s="1965">
        <v>2363</v>
      </c>
      <c r="E59" s="1975">
        <f>'Expenditures 15-22'!K321</f>
        <v>1940</v>
      </c>
      <c r="F59" s="1970"/>
      <c r="G59" s="2029"/>
      <c r="H59" s="2030"/>
      <c r="I59" s="2030"/>
      <c r="J59" s="2030"/>
      <c r="K59" s="2030"/>
      <c r="L59" s="2030"/>
      <c r="M59" s="2030">
        <v>1940</v>
      </c>
      <c r="N59" s="1973">
        <f>IF((SUM(G59:M59))=E59,SUM(G59:M59),"Column N does not agree with Column E")</f>
        <v>1940</v>
      </c>
    </row>
    <row r="60" spans="1:14" ht="24" customHeight="1" x14ac:dyDescent="0.2">
      <c r="A60" s="2460" t="s">
        <v>236</v>
      </c>
      <c r="B60" s="2461"/>
      <c r="C60" s="2461"/>
      <c r="D60" s="1965">
        <v>2364</v>
      </c>
      <c r="E60" s="1975">
        <f>'Expenditures 15-22'!K322</f>
        <v>13986</v>
      </c>
      <c r="F60" s="1970"/>
      <c r="G60" s="2029"/>
      <c r="H60" s="2030"/>
      <c r="I60" s="2030"/>
      <c r="J60" s="2030"/>
      <c r="K60" s="2030"/>
      <c r="L60" s="2030"/>
      <c r="M60" s="2030">
        <v>13986</v>
      </c>
      <c r="N60" s="1973">
        <f t="shared" ref="N60:N67" si="4">IF((SUM(G60:M60))=E60,SUM(G60:M60),"Column N does not agree with Column E")</f>
        <v>13986</v>
      </c>
    </row>
    <row r="61" spans="1:14" ht="24.75" customHeight="1" x14ac:dyDescent="0.2">
      <c r="A61" s="2460" t="s">
        <v>697</v>
      </c>
      <c r="B61" s="2461"/>
      <c r="C61" s="2461"/>
      <c r="D61" s="1965">
        <v>2365</v>
      </c>
      <c r="E61" s="1975">
        <f>'Expenditures 15-22'!K323</f>
        <v>103778</v>
      </c>
      <c r="F61" s="1970"/>
      <c r="G61" s="2029">
        <v>12565</v>
      </c>
      <c r="H61" s="2030"/>
      <c r="I61" s="2030"/>
      <c r="J61" s="2030"/>
      <c r="K61" s="2030"/>
      <c r="L61" s="2030"/>
      <c r="M61" s="2030">
        <v>91213</v>
      </c>
      <c r="N61" s="1973">
        <f t="shared" si="4"/>
        <v>103778</v>
      </c>
    </row>
    <row r="62" spans="1:14" ht="24" customHeight="1" x14ac:dyDescent="0.2">
      <c r="A62" s="2460" t="s">
        <v>237</v>
      </c>
      <c r="B62" s="2461"/>
      <c r="C62" s="2461"/>
      <c r="D62" s="1965">
        <v>2366</v>
      </c>
      <c r="E62" s="1975">
        <f>'Expenditures 15-22'!K324</f>
        <v>0</v>
      </c>
      <c r="F62" s="1970"/>
      <c r="G62" s="2029"/>
      <c r="H62" s="2030"/>
      <c r="I62" s="2030"/>
      <c r="J62" s="2030"/>
      <c r="K62" s="2030"/>
      <c r="L62" s="2030"/>
      <c r="M62" s="2030"/>
      <c r="N62" s="1973">
        <f t="shared" si="4"/>
        <v>0</v>
      </c>
    </row>
    <row r="63" spans="1:14" ht="24" customHeight="1" x14ac:dyDescent="0.2">
      <c r="A63" s="2437" t="s">
        <v>1022</v>
      </c>
      <c r="B63" s="2438"/>
      <c r="C63" s="2438"/>
      <c r="D63" s="1965">
        <v>2367</v>
      </c>
      <c r="E63" s="1975">
        <f>'Expenditures 15-22'!K325</f>
        <v>0</v>
      </c>
      <c r="F63" s="1970"/>
      <c r="G63" s="2029"/>
      <c r="H63" s="2030"/>
      <c r="I63" s="2030"/>
      <c r="J63" s="2030"/>
      <c r="K63" s="2030"/>
      <c r="L63" s="2030"/>
      <c r="M63" s="2030"/>
      <c r="N63" s="1973">
        <f t="shared" si="4"/>
        <v>0</v>
      </c>
    </row>
    <row r="64" spans="1:14" ht="24" customHeight="1" x14ac:dyDescent="0.2">
      <c r="A64" s="2460" t="s">
        <v>1023</v>
      </c>
      <c r="B64" s="2461"/>
      <c r="C64" s="2461"/>
      <c r="D64" s="1965">
        <v>2368</v>
      </c>
      <c r="E64" s="1975">
        <f>'Expenditures 15-22'!K326</f>
        <v>0</v>
      </c>
      <c r="F64" s="1970"/>
      <c r="G64" s="2029"/>
      <c r="H64" s="2030"/>
      <c r="I64" s="2030"/>
      <c r="J64" s="2030"/>
      <c r="K64" s="2030"/>
      <c r="L64" s="2030"/>
      <c r="M64" s="2030"/>
      <c r="N64" s="1973">
        <f t="shared" si="4"/>
        <v>0</v>
      </c>
    </row>
    <row r="65" spans="1:14" ht="24" customHeight="1" x14ac:dyDescent="0.2">
      <c r="A65" s="2460" t="s">
        <v>965</v>
      </c>
      <c r="B65" s="2461"/>
      <c r="C65" s="2461"/>
      <c r="D65" s="1965">
        <v>2369</v>
      </c>
      <c r="E65" s="1975">
        <f>'Expenditures 15-22'!K327</f>
        <v>563</v>
      </c>
      <c r="F65" s="1970"/>
      <c r="G65" s="2029"/>
      <c r="H65" s="2030"/>
      <c r="I65" s="2030"/>
      <c r="J65" s="2030"/>
      <c r="K65" s="2030"/>
      <c r="L65" s="2030"/>
      <c r="M65" s="2030">
        <v>563</v>
      </c>
      <c r="N65" s="1973">
        <f t="shared" si="4"/>
        <v>563</v>
      </c>
    </row>
    <row r="66" spans="1:14" ht="24" customHeight="1" x14ac:dyDescent="0.2">
      <c r="A66" s="2460" t="s">
        <v>469</v>
      </c>
      <c r="B66" s="2461"/>
      <c r="C66" s="2461"/>
      <c r="D66" s="1965">
        <v>2371</v>
      </c>
      <c r="E66" s="1975">
        <f>'Expenditures 15-22'!K328</f>
        <v>0</v>
      </c>
      <c r="F66" s="1970"/>
      <c r="G66" s="2029"/>
      <c r="H66" s="2030"/>
      <c r="I66" s="2030"/>
      <c r="J66" s="2030"/>
      <c r="K66" s="2030"/>
      <c r="L66" s="2030"/>
      <c r="M66" s="2030"/>
      <c r="N66" s="1973">
        <f t="shared" si="4"/>
        <v>0</v>
      </c>
    </row>
    <row r="67" spans="1:14" ht="24.75" customHeight="1" x14ac:dyDescent="0.2">
      <c r="A67" s="2462" t="s">
        <v>2042</v>
      </c>
      <c r="B67" s="2463"/>
      <c r="C67" s="2463"/>
      <c r="D67" s="1967">
        <v>2372</v>
      </c>
      <c r="E67" s="1976">
        <f>'Expenditures 15-22'!K329</f>
        <v>0</v>
      </c>
      <c r="F67" s="1970"/>
      <c r="G67" s="2031"/>
      <c r="H67" s="2032"/>
      <c r="I67" s="2032"/>
      <c r="J67" s="2032"/>
      <c r="K67" s="2032"/>
      <c r="L67" s="2032"/>
      <c r="M67" s="2032"/>
      <c r="N67" s="1973">
        <f t="shared" si="4"/>
        <v>0</v>
      </c>
    </row>
    <row r="68" spans="1:14" x14ac:dyDescent="0.2">
      <c r="A68" s="2464" t="s">
        <v>1151</v>
      </c>
      <c r="B68" s="2465"/>
      <c r="C68" s="2465"/>
      <c r="D68" s="1968"/>
      <c r="E68" s="1972">
        <f>SUM(E57:E67)</f>
        <v>127033</v>
      </c>
      <c r="F68" s="1971"/>
      <c r="G68" s="1972">
        <f t="shared" ref="G68:N68" si="5">SUM(G57:G67)</f>
        <v>12565</v>
      </c>
      <c r="H68" s="1972">
        <f t="shared" si="5"/>
        <v>0</v>
      </c>
      <c r="I68" s="1972">
        <f t="shared" si="5"/>
        <v>0</v>
      </c>
      <c r="J68" s="1972">
        <f t="shared" si="5"/>
        <v>0</v>
      </c>
      <c r="K68" s="1972">
        <f t="shared" si="5"/>
        <v>0</v>
      </c>
      <c r="L68" s="1972">
        <f t="shared" si="5"/>
        <v>0</v>
      </c>
      <c r="M68" s="1972">
        <f t="shared" si="5"/>
        <v>114468</v>
      </c>
      <c r="N68" s="1986">
        <f t="shared" si="5"/>
        <v>127033</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8" sqref="A1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2098</v>
      </c>
    </row>
    <row r="6" spans="1:2" x14ac:dyDescent="0.2">
      <c r="A6" s="847"/>
    </row>
    <row r="7" spans="1:2" x14ac:dyDescent="0.2">
      <c r="A7" s="847">
        <v>2</v>
      </c>
      <c r="B7" s="307" t="s">
        <v>2099</v>
      </c>
    </row>
    <row r="8" spans="1:2" x14ac:dyDescent="0.2">
      <c r="A8" s="847"/>
    </row>
    <row r="9" spans="1:2" x14ac:dyDescent="0.2">
      <c r="A9" s="847">
        <v>3</v>
      </c>
      <c r="B9" s="307" t="s">
        <v>2100</v>
      </c>
    </row>
    <row r="10" spans="1:2" x14ac:dyDescent="0.2">
      <c r="A10" s="847"/>
    </row>
    <row r="11" spans="1:2" x14ac:dyDescent="0.2">
      <c r="A11" s="847">
        <v>4</v>
      </c>
      <c r="B11" s="307" t="s">
        <v>2101</v>
      </c>
    </row>
    <row r="12" spans="1:2" x14ac:dyDescent="0.2">
      <c r="A12" s="847"/>
    </row>
    <row r="13" spans="1:2" x14ac:dyDescent="0.2">
      <c r="A13" s="847">
        <v>5</v>
      </c>
      <c r="B13" s="307" t="s">
        <v>2102</v>
      </c>
    </row>
    <row r="14" spans="1:2" x14ac:dyDescent="0.2">
      <c r="A14" s="847"/>
    </row>
    <row r="15" spans="1:2" x14ac:dyDescent="0.2">
      <c r="A15" s="847">
        <v>6</v>
      </c>
      <c r="B15" s="307" t="s">
        <v>2103</v>
      </c>
    </row>
    <row r="16" spans="1:2" x14ac:dyDescent="0.2">
      <c r="A16" s="847"/>
    </row>
    <row r="17" spans="1:2" x14ac:dyDescent="0.2">
      <c r="A17" s="847">
        <v>7</v>
      </c>
      <c r="B17" s="307" t="s">
        <v>2104</v>
      </c>
    </row>
    <row r="18" spans="1:2" x14ac:dyDescent="0.2">
      <c r="A18" s="847"/>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Bethel SD 82</v>
      </c>
    </row>
    <row r="65" spans="2:2" x14ac:dyDescent="0.2">
      <c r="B65" s="848">
        <f>COVER!A13</f>
        <v>13041082002</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46" activeCellId="1" sqref="I42:O42 D4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6" activeCellId="1" sqref="I42:O42 D4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5</xdr:row>
                <xdr:rowOff>0</xdr:rowOff>
              </from>
              <to>
                <xdr:col>1</xdr:col>
                <xdr:colOff>1619250</xdr:colOff>
                <xdr:row>8</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2</xdr:col>
                <xdr:colOff>0</xdr:colOff>
                <xdr:row>6</xdr:row>
                <xdr:rowOff>0</xdr:rowOff>
              </from>
              <to>
                <xdr:col>4</xdr:col>
                <xdr:colOff>133350</xdr:colOff>
                <xdr:row>9</xdr:row>
                <xdr:rowOff>28575</xdr:rowOff>
              </to>
            </anchor>
          </objectPr>
        </oleObject>
      </mc:Choice>
      <mc:Fallback>
        <oleObject progId="Package2"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6" activeCellId="1" sqref="I42:O42 D4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1502481</v>
      </c>
      <c r="C8" s="1812">
        <f>'Acct Summary 7-8'!D8</f>
        <v>90355</v>
      </c>
      <c r="D8" s="1812">
        <f>'Acct Summary 7-8'!F8</f>
        <v>62007</v>
      </c>
      <c r="E8" s="1812">
        <f>'Acct Summary 7-8'!I8</f>
        <v>10622</v>
      </c>
      <c r="F8" s="1812">
        <f>SUM(B8:E8)</f>
        <v>1665465</v>
      </c>
    </row>
    <row r="9" spans="1:8" s="857" customFormat="1" ht="14.25" customHeight="1" thickBot="1" x14ac:dyDescent="0.25">
      <c r="A9" s="856" t="s">
        <v>1353</v>
      </c>
      <c r="B9" s="1813">
        <f>'Acct Summary 7-8'!C17</f>
        <v>1415732</v>
      </c>
      <c r="C9" s="1813">
        <f>'Acct Summary 7-8'!D17</f>
        <v>96117</v>
      </c>
      <c r="D9" s="1813">
        <f>'Acct Summary 7-8'!F17</f>
        <v>57146</v>
      </c>
      <c r="E9" s="1812"/>
      <c r="F9" s="1812">
        <f>SUM(B9:E9)</f>
        <v>1568995</v>
      </c>
    </row>
    <row r="10" spans="1:8" s="857" customFormat="1" ht="14.25" thickTop="1" thickBot="1" x14ac:dyDescent="0.25">
      <c r="A10" s="858" t="s">
        <v>1354</v>
      </c>
      <c r="B10" s="1814">
        <f>(B8-B9)</f>
        <v>86749</v>
      </c>
      <c r="C10" s="1814">
        <f>(C8-C9)</f>
        <v>-5762</v>
      </c>
      <c r="D10" s="1814">
        <f>(D8-D9)</f>
        <v>4861</v>
      </c>
      <c r="E10" s="1813">
        <f>(E8-E9)</f>
        <v>10622</v>
      </c>
      <c r="F10" s="1815">
        <f>SUM(F8-F9)</f>
        <v>96470</v>
      </c>
    </row>
    <row r="11" spans="1:8" s="857" customFormat="1" ht="14.25" thickTop="1" thickBot="1" x14ac:dyDescent="0.25">
      <c r="A11" s="859" t="s">
        <v>1903</v>
      </c>
      <c r="B11" s="1816">
        <f>'Acct Summary 7-8'!C81</f>
        <v>1173142</v>
      </c>
      <c r="C11" s="1816">
        <f>'Acct Summary 7-8'!D81</f>
        <v>20707</v>
      </c>
      <c r="D11" s="1816">
        <f>'Acct Summary 7-8'!F81</f>
        <v>49132</v>
      </c>
      <c r="E11" s="1816">
        <f>'Acct Summary 7-8'!I81</f>
        <v>0</v>
      </c>
      <c r="F11" s="1817">
        <f>SUM(B11:E11)</f>
        <v>1242981</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46" activeCellId="1" sqref="I42:O42 D4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13041082002</v>
      </c>
      <c r="E2" s="1541">
        <v>2020</v>
      </c>
      <c r="F2" s="1541">
        <v>1</v>
      </c>
      <c r="G2" s="1897">
        <v>101000300</v>
      </c>
    </row>
    <row r="3" spans="1:7" ht="15" x14ac:dyDescent="0.25">
      <c r="A3" t="s">
        <v>950</v>
      </c>
      <c r="B3" s="135" t="str">
        <f>COVER!A15</f>
        <v>JEFFERSON</v>
      </c>
      <c r="E3" s="1829" t="s">
        <v>1971</v>
      </c>
      <c r="F3" s="1829" t="s">
        <v>1970</v>
      </c>
      <c r="G3" s="1897">
        <v>101000400</v>
      </c>
    </row>
    <row r="4" spans="1:7" ht="15" x14ac:dyDescent="0.25">
      <c r="A4" t="s">
        <v>1000</v>
      </c>
      <c r="B4" s="135" t="str">
        <f>COVER!A17</f>
        <v xml:space="preserve">  Bethel SD 82</v>
      </c>
      <c r="E4" s="1827">
        <v>44119</v>
      </c>
      <c r="F4" s="1828">
        <v>44151</v>
      </c>
      <c r="G4" s="1897">
        <v>101000600</v>
      </c>
    </row>
    <row r="5" spans="1:7" ht="15" x14ac:dyDescent="0.25">
      <c r="A5" t="s">
        <v>699</v>
      </c>
      <c r="B5" s="135" t="str">
        <f>COVER!A38</f>
        <v>CRAIG KUJAWA</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36161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1173142</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1173142</v>
      </c>
      <c r="D92" s="2" t="str">
        <f t="shared" si="0"/>
        <v>Error?</v>
      </c>
      <c r="G92" s="1897">
        <v>102640600</v>
      </c>
    </row>
    <row r="93" spans="1:7" ht="15" x14ac:dyDescent="0.25">
      <c r="A93" s="5">
        <v>32</v>
      </c>
      <c r="B93" s="1831">
        <f>'Assets-Liab 5-6'!C41</f>
        <v>1173142</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20707</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20707</v>
      </c>
      <c r="D123" s="2" t="str">
        <f t="shared" si="0"/>
        <v>Error?</v>
      </c>
      <c r="G123" s="1897">
        <v>203000400</v>
      </c>
    </row>
    <row r="124" spans="1:7" ht="15" x14ac:dyDescent="0.25">
      <c r="A124" s="5">
        <v>63</v>
      </c>
      <c r="B124" s="1831">
        <f>'Assets-Liab 5-6'!D41</f>
        <v>20707</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14080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14080</v>
      </c>
      <c r="D140" s="2" t="str">
        <f t="shared" si="1"/>
        <v>Error?</v>
      </c>
    </row>
    <row r="141" spans="1:7" x14ac:dyDescent="0.2">
      <c r="A141" s="5">
        <v>80</v>
      </c>
      <c r="B141" s="1831">
        <f>'Assets-Liab 5-6'!E41</f>
        <v>14080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49132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49132</v>
      </c>
      <c r="D170" s="2" t="str">
        <f t="shared" si="1"/>
        <v>Error?</v>
      </c>
    </row>
    <row r="171" spans="1:4" x14ac:dyDescent="0.2">
      <c r="A171" s="5">
        <v>110</v>
      </c>
      <c r="B171" s="1831">
        <f>'Assets-Liab 5-6'!F41</f>
        <v>49132</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34149</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34149</v>
      </c>
      <c r="D189" s="2" t="str">
        <f t="shared" si="1"/>
        <v>Error?</v>
      </c>
    </row>
    <row r="190" spans="1:4" x14ac:dyDescent="0.2">
      <c r="A190" s="5">
        <v>129</v>
      </c>
      <c r="B190" s="1831">
        <f>'Assets-Liab 5-6'!G41</f>
        <v>34149</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50024</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24</v>
      </c>
      <c r="D212" s="2" t="str">
        <f t="shared" si="2"/>
        <v>Error?</v>
      </c>
    </row>
    <row r="213" spans="1:4" x14ac:dyDescent="0.2">
      <c r="A213" s="12">
        <v>152</v>
      </c>
      <c r="B213" s="1831">
        <f>'Assets-Liab 5-6'!H41</f>
        <v>50024</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11500</v>
      </c>
      <c r="D273" s="2" t="str">
        <f t="shared" si="3"/>
        <v>Error?</v>
      </c>
    </row>
    <row r="274" spans="1:4" x14ac:dyDescent="0.2">
      <c r="A274" s="5">
        <v>213</v>
      </c>
      <c r="B274" s="1831">
        <f>'Assets-Liab 5-6'!M17</f>
        <v>2197406</v>
      </c>
      <c r="D274" s="2" t="str">
        <f t="shared" si="3"/>
        <v>Error?</v>
      </c>
    </row>
    <row r="275" spans="1:4" x14ac:dyDescent="0.2">
      <c r="A275" s="5">
        <v>214</v>
      </c>
      <c r="B275" s="1831">
        <f>'Assets-Liab 5-6'!M18</f>
        <v>79180</v>
      </c>
      <c r="D275" s="2" t="str">
        <f t="shared" si="3"/>
        <v>Error?</v>
      </c>
    </row>
    <row r="276" spans="1:4" x14ac:dyDescent="0.2">
      <c r="A276" s="5">
        <v>215</v>
      </c>
      <c r="B276" s="1831">
        <f>'Assets-Liab 5-6'!M19</f>
        <v>643035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2931121</v>
      </c>
      <c r="C279" s="2" t="s">
        <v>569</v>
      </c>
      <c r="D279" s="2" t="str">
        <f t="shared" si="3"/>
        <v>Error?</v>
      </c>
    </row>
    <row r="280" spans="1:4" x14ac:dyDescent="0.2">
      <c r="A280" s="5">
        <v>219</v>
      </c>
      <c r="B280" s="1831">
        <f>'Assets-Liab 5-6'!M40</f>
        <v>2931121</v>
      </c>
      <c r="D280" s="2" t="str">
        <f t="shared" si="3"/>
        <v>Error?</v>
      </c>
    </row>
    <row r="281" spans="1:4" x14ac:dyDescent="0.2">
      <c r="A281" s="5">
        <v>220</v>
      </c>
      <c r="B281" s="1831">
        <f>'Assets-Liab 5-6'!M41</f>
        <v>2931121</v>
      </c>
      <c r="C281" s="2" t="s">
        <v>569</v>
      </c>
      <c r="D281" s="2" t="str">
        <f t="shared" si="3"/>
        <v>Error?</v>
      </c>
    </row>
    <row r="282" spans="1:4" x14ac:dyDescent="0.2">
      <c r="A282" s="5">
        <v>221</v>
      </c>
      <c r="B282" s="1831">
        <f>'Assets-Liab 5-6'!N21</f>
        <v>14080</v>
      </c>
      <c r="D282" s="2" t="str">
        <f t="shared" si="3"/>
        <v>Error?</v>
      </c>
    </row>
    <row r="283" spans="1:4" x14ac:dyDescent="0.2">
      <c r="A283" s="5">
        <v>222</v>
      </c>
      <c r="B283" s="1831">
        <f>'Assets-Liab 5-6'!N22</f>
        <v>110920</v>
      </c>
      <c r="D283" s="2" t="str">
        <f t="shared" si="3"/>
        <v>Error?</v>
      </c>
    </row>
    <row r="284" spans="1:4" x14ac:dyDescent="0.2">
      <c r="A284" s="5">
        <v>223</v>
      </c>
      <c r="B284" s="1831">
        <f>'Assets-Liab 5-6'!N23</f>
        <v>125000</v>
      </c>
      <c r="C284" s="2" t="s">
        <v>569</v>
      </c>
      <c r="D284" s="2" t="str">
        <f t="shared" si="3"/>
        <v>Error?</v>
      </c>
    </row>
    <row r="285" spans="1:4" x14ac:dyDescent="0.2">
      <c r="A285" s="5">
        <v>224</v>
      </c>
      <c r="B285" s="1831">
        <f>'Assets-Liab 5-6'!N36</f>
        <v>125000</v>
      </c>
      <c r="D285" s="2" t="str">
        <f t="shared" si="3"/>
        <v>Error?</v>
      </c>
    </row>
    <row r="286" spans="1:4" x14ac:dyDescent="0.2">
      <c r="A286" s="10">
        <v>225</v>
      </c>
      <c r="B286" s="1831"/>
      <c r="D286" s="2" t="str">
        <f t="shared" si="3"/>
        <v>OK</v>
      </c>
    </row>
    <row r="287" spans="1:4" x14ac:dyDescent="0.2">
      <c r="A287" s="5">
        <v>226</v>
      </c>
      <c r="B287" s="1831">
        <f>'Assets-Liab 5-6'!N37</f>
        <v>125000</v>
      </c>
      <c r="C287" s="2" t="s">
        <v>569</v>
      </c>
      <c r="D287" s="2" t="str">
        <f t="shared" si="3"/>
        <v>Error?</v>
      </c>
    </row>
    <row r="288" spans="1:4" x14ac:dyDescent="0.2">
      <c r="A288" s="5">
        <v>227</v>
      </c>
      <c r="B288" s="1831">
        <f>'Assets-Liab 5-6'!N41</f>
        <v>125000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10622</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591856</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9158</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848968</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2394</v>
      </c>
      <c r="D726" s="2" t="str">
        <f t="shared" si="10"/>
        <v>Error?</v>
      </c>
    </row>
    <row r="727" spans="1:4" x14ac:dyDescent="0.2">
      <c r="A727" s="5">
        <v>666</v>
      </c>
      <c r="B727" s="1831">
        <f>'Expenditures 15-22'!C42</f>
        <v>2394</v>
      </c>
      <c r="C727" s="2" t="s">
        <v>569</v>
      </c>
      <c r="D727" s="2" t="str">
        <f t="shared" si="10"/>
        <v>Error?</v>
      </c>
    </row>
    <row r="728" spans="1:4" x14ac:dyDescent="0.2">
      <c r="A728" s="5">
        <v>667</v>
      </c>
      <c r="B728" s="1831">
        <f>'Expenditures 15-22'!C44</f>
        <v>1000</v>
      </c>
      <c r="D728" s="2" t="str">
        <f t="shared" si="10"/>
        <v>Error?</v>
      </c>
    </row>
    <row r="729" spans="1:4" x14ac:dyDescent="0.2">
      <c r="A729" s="5">
        <v>668</v>
      </c>
      <c r="B729" s="1831">
        <f>'Expenditures 15-22'!C45</f>
        <v>1400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2400</v>
      </c>
      <c r="C731" s="2" t="s">
        <v>569</v>
      </c>
      <c r="D731" s="2" t="str">
        <f t="shared" si="10"/>
        <v>Error?</v>
      </c>
    </row>
    <row r="732" spans="1:4" x14ac:dyDescent="0.2">
      <c r="A732" s="5">
        <v>671</v>
      </c>
      <c r="B732" s="1831">
        <f>'Expenditures 15-22'!C49</f>
        <v>1087</v>
      </c>
      <c r="D732" s="2" t="str">
        <f t="shared" si="10"/>
        <v>Error?</v>
      </c>
    </row>
    <row r="733" spans="1:4" x14ac:dyDescent="0.2">
      <c r="A733" s="5">
        <v>672</v>
      </c>
      <c r="B733" s="1831">
        <f>'Expenditures 15-22'!C50</f>
        <v>53422</v>
      </c>
      <c r="D733" s="2" t="str">
        <f t="shared" si="10"/>
        <v>Error?</v>
      </c>
    </row>
    <row r="734" spans="1:4" x14ac:dyDescent="0.2">
      <c r="A734" s="5">
        <v>673</v>
      </c>
      <c r="B734" s="1831">
        <f>'Expenditures 15-22'!C53</f>
        <v>54509</v>
      </c>
      <c r="C734" s="2" t="s">
        <v>569</v>
      </c>
      <c r="D734" s="2" t="str">
        <f t="shared" si="10"/>
        <v>Error?</v>
      </c>
    </row>
    <row r="735" spans="1:4" x14ac:dyDescent="0.2">
      <c r="A735" s="5">
        <v>674</v>
      </c>
      <c r="B735" s="1831">
        <f>'Expenditures 15-22'!C55</f>
        <v>57925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57925</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15225</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32456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47681</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164909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1013877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110070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181</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129342</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318</v>
      </c>
      <c r="D784" s="2" t="str">
        <f t="shared" si="11"/>
        <v>Error?</v>
      </c>
    </row>
    <row r="785" spans="1:4" x14ac:dyDescent="0.2">
      <c r="A785" s="5">
        <v>724</v>
      </c>
      <c r="B785" s="1831">
        <f>'Expenditures 15-22'!D42</f>
        <v>318</v>
      </c>
      <c r="C785" s="2" t="s">
        <v>569</v>
      </c>
      <c r="D785" s="2" t="str">
        <f t="shared" si="11"/>
        <v>Error?</v>
      </c>
    </row>
    <row r="786" spans="1:4" x14ac:dyDescent="0.2">
      <c r="A786" s="5">
        <v>725</v>
      </c>
      <c r="B786" s="1831">
        <f>'Expenditures 15-22'!D44</f>
        <v>1585</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1585</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6891</v>
      </c>
      <c r="D791" s="2" t="str">
        <f t="shared" si="11"/>
        <v>Error?</v>
      </c>
    </row>
    <row r="792" spans="1:4" x14ac:dyDescent="0.2">
      <c r="A792" s="5">
        <v>731</v>
      </c>
      <c r="B792" s="1831">
        <f>'Expenditures 15-22'!D53</f>
        <v>6891</v>
      </c>
      <c r="C792" s="2" t="s">
        <v>569</v>
      </c>
      <c r="D792" s="2" t="str">
        <f t="shared" si="11"/>
        <v>Error?</v>
      </c>
    </row>
    <row r="793" spans="1:4" x14ac:dyDescent="0.2">
      <c r="A793" s="5">
        <v>732</v>
      </c>
      <c r="B793" s="1831">
        <f>'Expenditures 15-22'!D55</f>
        <v>3597</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3597</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12391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141733</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11926</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16509</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104</v>
      </c>
      <c r="D842" s="2" t="str">
        <f t="shared" si="12"/>
        <v>Error?</v>
      </c>
    </row>
    <row r="843" spans="1:4" x14ac:dyDescent="0.2">
      <c r="A843" s="5">
        <v>782</v>
      </c>
      <c r="B843" s="1831">
        <f>'Expenditures 15-22'!E42</f>
        <v>104</v>
      </c>
      <c r="C843" s="2" t="s">
        <v>569</v>
      </c>
      <c r="D843" s="2" t="str">
        <f t="shared" si="12"/>
        <v>Error?</v>
      </c>
    </row>
    <row r="844" spans="1:4" x14ac:dyDescent="0.2">
      <c r="A844" s="5">
        <v>783</v>
      </c>
      <c r="B844" s="1831">
        <f>'Expenditures 15-22'!E44</f>
        <v>129</v>
      </c>
      <c r="D844" s="2" t="str">
        <f t="shared" si="12"/>
        <v>Error?</v>
      </c>
    </row>
    <row r="845" spans="1:4" x14ac:dyDescent="0.2">
      <c r="A845" s="5">
        <v>784</v>
      </c>
      <c r="B845" s="1831">
        <f>'Expenditures 15-22'!E45</f>
        <v>9143</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9272</v>
      </c>
      <c r="C847" s="2" t="s">
        <v>569</v>
      </c>
      <c r="D847" s="2" t="str">
        <f t="shared" si="12"/>
        <v>Error?</v>
      </c>
    </row>
    <row r="848" spans="1:4" x14ac:dyDescent="0.2">
      <c r="A848" s="5">
        <v>787</v>
      </c>
      <c r="B848" s="1831">
        <f>'Expenditures 15-22'!E49</f>
        <v>12348</v>
      </c>
      <c r="D848" s="2" t="str">
        <f t="shared" si="12"/>
        <v>Error?</v>
      </c>
    </row>
    <row r="849" spans="1:4" x14ac:dyDescent="0.2">
      <c r="A849" s="5">
        <v>788</v>
      </c>
      <c r="B849" s="1831">
        <f>'Expenditures 15-22'!E50</f>
        <v>591</v>
      </c>
      <c r="D849" s="2" t="str">
        <f t="shared" si="12"/>
        <v>Error?</v>
      </c>
    </row>
    <row r="850" spans="1:4" x14ac:dyDescent="0.2">
      <c r="A850" s="5">
        <v>789</v>
      </c>
      <c r="B850" s="1831">
        <f>'Expenditures 15-22'!E53</f>
        <v>12939</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732</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3873</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4605</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26920</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45889</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28704</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3410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61350</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859</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25904</v>
      </c>
      <c r="D899" s="2" t="str">
        <f t="shared" si="13"/>
        <v>Error?</v>
      </c>
    </row>
    <row r="900" spans="1:4" x14ac:dyDescent="0.2">
      <c r="A900" s="5">
        <v>839</v>
      </c>
      <c r="B900" s="1831">
        <f>'Expenditures 15-22'!F41</f>
        <v>3788</v>
      </c>
      <c r="D900" s="2" t="str">
        <f t="shared" si="13"/>
        <v>Error?</v>
      </c>
    </row>
    <row r="901" spans="1:4" x14ac:dyDescent="0.2">
      <c r="A901" s="5">
        <v>840</v>
      </c>
      <c r="B901" s="1831">
        <f>'Expenditures 15-22'!F42</f>
        <v>30551</v>
      </c>
      <c r="C901" s="2" t="s">
        <v>569</v>
      </c>
      <c r="D901" s="2" t="str">
        <f t="shared" si="13"/>
        <v>Error?</v>
      </c>
    </row>
    <row r="902" spans="1:4" x14ac:dyDescent="0.2">
      <c r="A902" s="5">
        <v>841</v>
      </c>
      <c r="B902" s="1831">
        <f>'Expenditures 15-22'!F44</f>
        <v>7614</v>
      </c>
      <c r="D902" s="2" t="str">
        <f t="shared" si="13"/>
        <v>Error?</v>
      </c>
    </row>
    <row r="903" spans="1:4" x14ac:dyDescent="0.2">
      <c r="A903" s="5">
        <v>842</v>
      </c>
      <c r="B903" s="1831">
        <f>'Expenditures 15-22'!F45</f>
        <v>982</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8596</v>
      </c>
      <c r="C905" s="2" t="s">
        <v>569</v>
      </c>
      <c r="D905" s="2" t="str">
        <f t="shared" si="13"/>
        <v>Error?</v>
      </c>
    </row>
    <row r="906" spans="1:4" x14ac:dyDescent="0.2">
      <c r="A906" s="5">
        <v>845</v>
      </c>
      <c r="B906" s="1831">
        <f>'Expenditures 15-22'!F49</f>
        <v>1381</v>
      </c>
      <c r="D906" s="2" t="str">
        <f t="shared" si="13"/>
        <v>Error?</v>
      </c>
    </row>
    <row r="907" spans="1:4" x14ac:dyDescent="0.2">
      <c r="A907" s="5">
        <v>846</v>
      </c>
      <c r="B907" s="1831">
        <f>'Expenditures 15-22'!F50</f>
        <v>37</v>
      </c>
      <c r="D907" s="2" t="str">
        <f t="shared" si="13"/>
        <v>Error?</v>
      </c>
    </row>
    <row r="908" spans="1:4" x14ac:dyDescent="0.2">
      <c r="A908" s="5">
        <v>847</v>
      </c>
      <c r="B908" s="1831">
        <f>'Expenditures 15-22'!F53</f>
        <v>1418</v>
      </c>
      <c r="C908" s="2" t="s">
        <v>569</v>
      </c>
      <c r="D908" s="2" t="str">
        <f t="shared" si="13"/>
        <v>Error?</v>
      </c>
    </row>
    <row r="909" spans="1:4" x14ac:dyDescent="0.2">
      <c r="A909" s="5">
        <v>848</v>
      </c>
      <c r="B909" s="1831">
        <f>'Expenditures 15-22'!F55</f>
        <v>1164</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1164</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316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75531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75847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117576</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178926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5007</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5007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325</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325</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3876</v>
      </c>
      <c r="D1022" s="2" t="str">
        <f t="shared" si="14"/>
        <v>Error?</v>
      </c>
    </row>
    <row r="1023" spans="1:4" x14ac:dyDescent="0.2">
      <c r="A1023" s="5">
        <v>962</v>
      </c>
      <c r="B1023" s="1831">
        <f>'Expenditures 15-22'!H50</f>
        <v>891</v>
      </c>
      <c r="D1023" s="2" t="str">
        <f t="shared" ref="D1023:D1086" si="15">IF(ISBLANK(B1023),"OK",IF(A1023-B1023=0,"OK","Error?"))</f>
        <v>Error?</v>
      </c>
    </row>
    <row r="1024" spans="1:4" x14ac:dyDescent="0.2">
      <c r="A1024" s="5">
        <v>963</v>
      </c>
      <c r="B1024" s="1831">
        <f>'Expenditures 15-22'!H53</f>
        <v>4767</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4767</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25208</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30300</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742556</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13074</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1061501</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859</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25904</v>
      </c>
      <c r="C1113" s="2" t="s">
        <v>569</v>
      </c>
      <c r="D1113" s="2" t="str">
        <f t="shared" si="16"/>
        <v>Error?</v>
      </c>
    </row>
    <row r="1114" spans="1:4" x14ac:dyDescent="0.2">
      <c r="A1114" s="5">
        <v>1053</v>
      </c>
      <c r="B1114" s="1831">
        <f>'Expenditures 15-22'!K41</f>
        <v>6604</v>
      </c>
      <c r="C1114" s="2" t="s">
        <v>569</v>
      </c>
      <c r="D1114" s="2" t="str">
        <f t="shared" si="16"/>
        <v>Error?</v>
      </c>
    </row>
    <row r="1115" spans="1:4" x14ac:dyDescent="0.2">
      <c r="A1115" s="5">
        <v>1054</v>
      </c>
      <c r="B1115" s="1831">
        <f>'Expenditures 15-22'!K42</f>
        <v>33367</v>
      </c>
      <c r="C1115" s="2" t="s">
        <v>569</v>
      </c>
      <c r="D1115" s="2" t="str">
        <f t="shared" si="16"/>
        <v>Error?</v>
      </c>
    </row>
    <row r="1116" spans="1:4" x14ac:dyDescent="0.2">
      <c r="A1116" s="5">
        <v>1055</v>
      </c>
      <c r="B1116" s="1831">
        <f>'Expenditures 15-22'!K44</f>
        <v>10328</v>
      </c>
      <c r="C1116" s="2" t="s">
        <v>569</v>
      </c>
      <c r="D1116" s="2" t="str">
        <f t="shared" si="16"/>
        <v>Error?</v>
      </c>
    </row>
    <row r="1117" spans="1:4" x14ac:dyDescent="0.2">
      <c r="A1117" s="5">
        <v>1056</v>
      </c>
      <c r="B1117" s="1831">
        <f>'Expenditures 15-22'!K45</f>
        <v>11525</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21853</v>
      </c>
      <c r="C1119" s="2" t="s">
        <v>569</v>
      </c>
      <c r="D1119" s="2" t="str">
        <f t="shared" si="16"/>
        <v>Error?</v>
      </c>
    </row>
    <row r="1120" spans="1:4" x14ac:dyDescent="0.2">
      <c r="A1120" s="5">
        <v>1059</v>
      </c>
      <c r="B1120" s="1831">
        <f>'Expenditures 15-22'!K49</f>
        <v>18692</v>
      </c>
      <c r="C1120" s="2" t="s">
        <v>569</v>
      </c>
      <c r="D1120" s="2" t="str">
        <f t="shared" si="16"/>
        <v>Error?</v>
      </c>
    </row>
    <row r="1121" spans="1:4" x14ac:dyDescent="0.2">
      <c r="A1121" s="5">
        <v>1060</v>
      </c>
      <c r="B1121" s="1831">
        <f>'Expenditures 15-22'!K50</f>
        <v>61832</v>
      </c>
      <c r="C1121" s="2" t="s">
        <v>569</v>
      </c>
      <c r="D1121" s="2" t="str">
        <f t="shared" si="16"/>
        <v>Error?</v>
      </c>
    </row>
    <row r="1122" spans="1:4" x14ac:dyDescent="0.2">
      <c r="A1122" s="5">
        <v>1061</v>
      </c>
      <c r="B1122" s="1831">
        <f>'Expenditures 15-22'!K53</f>
        <v>80524</v>
      </c>
      <c r="C1122" s="2" t="s">
        <v>569</v>
      </c>
      <c r="D1122" s="2" t="str">
        <f t="shared" si="16"/>
        <v>Error?</v>
      </c>
    </row>
    <row r="1123" spans="1:4" x14ac:dyDescent="0.2">
      <c r="A1123" s="5">
        <v>1062</v>
      </c>
      <c r="B1123" s="1831">
        <f>'Expenditures 15-22'!K55</f>
        <v>62686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62686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16273</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111860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128133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326563</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27668</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1415732</v>
      </c>
      <c r="C1152" s="2" t="s">
        <v>569</v>
      </c>
      <c r="D1152" s="2" t="str">
        <f t="shared" si="17"/>
        <v>Error?</v>
      </c>
    </row>
    <row r="1153" spans="1:4" x14ac:dyDescent="0.2">
      <c r="A1153" s="5">
        <v>1092</v>
      </c>
      <c r="B1153" s="1831">
        <f>'Expenditures 15-22'!K115</f>
        <v>86749</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48216</v>
      </c>
      <c r="D1221" s="2" t="str">
        <f t="shared" si="18"/>
        <v>Error?</v>
      </c>
    </row>
    <row r="1222" spans="1:4" x14ac:dyDescent="0.2">
      <c r="A1222" s="10">
        <v>1161</v>
      </c>
      <c r="B1222" s="1831"/>
      <c r="D1222" s="2" t="str">
        <f t="shared" si="18"/>
        <v>OK</v>
      </c>
    </row>
    <row r="1223" spans="1:4" x14ac:dyDescent="0.2">
      <c r="A1223" s="5">
        <v>1162</v>
      </c>
      <c r="B1223" s="1831">
        <f>'Expenditures 15-22'!C127</f>
        <v>48216</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48216</v>
      </c>
      <c r="C1225" s="2" t="s">
        <v>569</v>
      </c>
      <c r="D1225" s="2" t="str">
        <f t="shared" si="18"/>
        <v>Error?</v>
      </c>
    </row>
    <row r="1226" spans="1:4" x14ac:dyDescent="0.2">
      <c r="A1226" s="5">
        <v>1165</v>
      </c>
      <c r="B1226" s="1831">
        <f>'Expenditures 15-22'!C151</f>
        <v>48216</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31692</v>
      </c>
      <c r="D1237" s="2" t="str">
        <f t="shared" si="18"/>
        <v>Error?</v>
      </c>
    </row>
    <row r="1238" spans="1:4" x14ac:dyDescent="0.2">
      <c r="A1238" s="10">
        <v>1177</v>
      </c>
      <c r="B1238" s="1831"/>
      <c r="D1238" s="2" t="str">
        <f t="shared" si="18"/>
        <v>OK</v>
      </c>
    </row>
    <row r="1239" spans="1:4" x14ac:dyDescent="0.2">
      <c r="A1239" s="5">
        <v>1178</v>
      </c>
      <c r="B1239" s="1831">
        <f>'Expenditures 15-22'!E127</f>
        <v>31692</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31692</v>
      </c>
      <c r="C1241" s="2" t="s">
        <v>569</v>
      </c>
      <c r="D1241" s="2" t="str">
        <f t="shared" si="18"/>
        <v>Error?</v>
      </c>
    </row>
    <row r="1242" spans="1:4" x14ac:dyDescent="0.2">
      <c r="A1242" s="5">
        <v>1181</v>
      </c>
      <c r="B1242" s="1831">
        <f>'Expenditures 15-22'!E151</f>
        <v>31692</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16209</v>
      </c>
      <c r="D1245" s="2" t="str">
        <f t="shared" si="18"/>
        <v>Error?</v>
      </c>
    </row>
    <row r="1246" spans="1:4" x14ac:dyDescent="0.2">
      <c r="A1246" s="10">
        <v>1185</v>
      </c>
      <c r="B1246" s="1831"/>
      <c r="D1246" s="2" t="str">
        <f t="shared" si="18"/>
        <v>OK</v>
      </c>
    </row>
    <row r="1247" spans="1:4" x14ac:dyDescent="0.2">
      <c r="A1247" s="5">
        <v>1186</v>
      </c>
      <c r="B1247" s="1831">
        <f>'Expenditures 15-22'!F127</f>
        <v>16209</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16209</v>
      </c>
      <c r="C1249" s="2" t="s">
        <v>569</v>
      </c>
      <c r="D1249" s="2" t="str">
        <f t="shared" si="18"/>
        <v>Error?</v>
      </c>
    </row>
    <row r="1250" spans="1:4" x14ac:dyDescent="0.2">
      <c r="A1250" s="5">
        <v>1189</v>
      </c>
      <c r="B1250" s="1831">
        <f>'Expenditures 15-22'!F151</f>
        <v>16209</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96117</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96117</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96117</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96117</v>
      </c>
      <c r="C1288" s="2" t="s">
        <v>569</v>
      </c>
      <c r="D1288" s="2" t="str">
        <f t="shared" si="19"/>
        <v>Error?</v>
      </c>
    </row>
    <row r="1289" spans="1:4" x14ac:dyDescent="0.2">
      <c r="A1289" s="5">
        <v>1228</v>
      </c>
      <c r="B1289" s="1831">
        <f>'Expenditures 15-22'!K152</f>
        <v>-5762</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8435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15000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23435</v>
      </c>
      <c r="C1317" s="2" t="s">
        <v>569</v>
      </c>
      <c r="D1317" s="2" t="str">
        <f t="shared" si="19"/>
        <v>Error?</v>
      </c>
    </row>
    <row r="1318" spans="1:4" x14ac:dyDescent="0.2">
      <c r="A1318" s="5">
        <v>1257</v>
      </c>
      <c r="B1318" s="1831">
        <f>'Expenditures 15-22'!H174</f>
        <v>23435</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8435</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15000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23435</v>
      </c>
      <c r="C1331" s="2" t="s">
        <v>569</v>
      </c>
      <c r="D1331" s="2" t="str">
        <f t="shared" si="19"/>
        <v>Error?</v>
      </c>
    </row>
    <row r="1332" spans="1:4" x14ac:dyDescent="0.2">
      <c r="A1332" s="5">
        <v>1271</v>
      </c>
      <c r="B1332" s="1831">
        <f>'Expenditures 15-22'!K174</f>
        <v>23435</v>
      </c>
      <c r="C1332" s="2" t="s">
        <v>569</v>
      </c>
      <c r="D1332" s="2" t="str">
        <f t="shared" si="19"/>
        <v>Error?</v>
      </c>
    </row>
    <row r="1333" spans="1:4" x14ac:dyDescent="0.2">
      <c r="A1333" s="5">
        <v>1272</v>
      </c>
      <c r="B1333" s="1831">
        <f>'Expenditures 15-22'!K175</f>
        <v>12711</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29286</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29286</v>
      </c>
      <c r="C1339" s="2" t="s">
        <v>569</v>
      </c>
      <c r="D1339" s="2" t="str">
        <f t="shared" si="19"/>
        <v>Error?</v>
      </c>
    </row>
    <row r="1340" spans="1:4" x14ac:dyDescent="0.2">
      <c r="A1340" s="5">
        <v>1279</v>
      </c>
      <c r="B1340" s="1831">
        <f>'Expenditures 15-22'!C210</f>
        <v>29286</v>
      </c>
      <c r="C1340" s="2" t="s">
        <v>569</v>
      </c>
      <c r="D1340" s="2" t="str">
        <f t="shared" si="19"/>
        <v>Error?</v>
      </c>
    </row>
    <row r="1341" spans="1:4" x14ac:dyDescent="0.2">
      <c r="A1341" s="5">
        <v>1280</v>
      </c>
      <c r="B1341" s="1831">
        <f>'Expenditures 15-22'!D182</f>
        <v>718</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718</v>
      </c>
      <c r="C1345" s="2" t="s">
        <v>569</v>
      </c>
      <c r="D1345" s="2" t="str">
        <f t="shared" si="20"/>
        <v>Error?</v>
      </c>
    </row>
    <row r="1346" spans="1:4" x14ac:dyDescent="0.2">
      <c r="A1346" s="5">
        <v>1285</v>
      </c>
      <c r="B1346" s="1831">
        <f>'Expenditures 15-22'!D210</f>
        <v>718</v>
      </c>
      <c r="C1346" s="2" t="s">
        <v>569</v>
      </c>
      <c r="D1346" s="2" t="str">
        <f t="shared" si="20"/>
        <v>Error?</v>
      </c>
    </row>
    <row r="1347" spans="1:4" x14ac:dyDescent="0.2">
      <c r="A1347" s="5">
        <v>1286</v>
      </c>
      <c r="B1347" s="1831">
        <f>'Expenditures 15-22'!E182</f>
        <v>21181</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21181</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21181</v>
      </c>
      <c r="C1353" s="2" t="s">
        <v>569</v>
      </c>
      <c r="D1353" s="2" t="str">
        <f t="shared" si="20"/>
        <v>Error?</v>
      </c>
    </row>
    <row r="1354" spans="1:4" x14ac:dyDescent="0.2">
      <c r="A1354" s="5">
        <v>1293</v>
      </c>
      <c r="B1354" s="1831">
        <f>'Expenditures 15-22'!F182</f>
        <v>5961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5961</v>
      </c>
      <c r="C1358" s="2" t="s">
        <v>569</v>
      </c>
      <c r="D1358" s="2" t="str">
        <f t="shared" si="20"/>
        <v>Error?</v>
      </c>
    </row>
    <row r="1359" spans="1:4" x14ac:dyDescent="0.2">
      <c r="A1359" s="5">
        <v>1298</v>
      </c>
      <c r="B1359" s="1831">
        <f>'Expenditures 15-22'!F210</f>
        <v>5961</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57146</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57146</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57146</v>
      </c>
      <c r="C1388" s="2" t="s">
        <v>569</v>
      </c>
      <c r="D1388" s="2" t="str">
        <f t="shared" si="20"/>
        <v>Error?</v>
      </c>
    </row>
    <row r="1389" spans="1:4" x14ac:dyDescent="0.2">
      <c r="A1389" s="5">
        <v>1328</v>
      </c>
      <c r="B1389" s="1831">
        <f>'Expenditures 15-22'!K211</f>
        <v>4861</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898</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37309</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1703</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35</v>
      </c>
      <c r="D1416" s="2" t="str">
        <f t="shared" si="21"/>
        <v>Error?</v>
      </c>
    </row>
    <row r="1417" spans="1:4" x14ac:dyDescent="0.2">
      <c r="A1417" s="5">
        <v>1356</v>
      </c>
      <c r="B1417" s="1831">
        <f>'Expenditures 15-22'!D238</f>
        <v>1738</v>
      </c>
      <c r="C1417" s="2" t="s">
        <v>569</v>
      </c>
      <c r="D1417" s="2" t="str">
        <f t="shared" si="21"/>
        <v>Error?</v>
      </c>
    </row>
    <row r="1418" spans="1:4" x14ac:dyDescent="0.2">
      <c r="A1418" s="5">
        <v>1357</v>
      </c>
      <c r="B1418" s="1831">
        <f>'Expenditures 15-22'!D240</f>
        <v>15</v>
      </c>
      <c r="D1418" s="2" t="str">
        <f t="shared" si="21"/>
        <v>Error?</v>
      </c>
    </row>
    <row r="1419" spans="1:4" x14ac:dyDescent="0.2">
      <c r="A1419" s="5">
        <v>1358</v>
      </c>
      <c r="B1419" s="1831">
        <f>'Expenditures 15-22'!D241</f>
        <v>197</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212</v>
      </c>
      <c r="C1421" s="2" t="s">
        <v>569</v>
      </c>
      <c r="D1421" s="2" t="str">
        <f t="shared" si="21"/>
        <v>Error?</v>
      </c>
    </row>
    <row r="1422" spans="1:4" x14ac:dyDescent="0.2">
      <c r="A1422" s="5">
        <v>1361</v>
      </c>
      <c r="B1422" s="1831">
        <f>'Expenditures 15-22'!D245</f>
        <v>171</v>
      </c>
      <c r="D1422" s="2" t="str">
        <f t="shared" si="21"/>
        <v>Error?</v>
      </c>
    </row>
    <row r="1423" spans="1:4" x14ac:dyDescent="0.2">
      <c r="A1423" s="5">
        <v>1362</v>
      </c>
      <c r="B1423" s="1831">
        <f>'Expenditures 15-22'!D246</f>
        <v>936</v>
      </c>
      <c r="D1423" s="2" t="str">
        <f t="shared" si="21"/>
        <v>Error?</v>
      </c>
    </row>
    <row r="1424" spans="1:4" x14ac:dyDescent="0.2">
      <c r="A1424" s="5">
        <v>1363</v>
      </c>
      <c r="B1424" s="1831">
        <f>'Expenditures 15-22'!D257</f>
        <v>1107</v>
      </c>
      <c r="C1424" s="2" t="s">
        <v>569</v>
      </c>
      <c r="D1424" s="2" t="str">
        <f t="shared" si="21"/>
        <v>Error?</v>
      </c>
    </row>
    <row r="1425" spans="1:4" x14ac:dyDescent="0.2">
      <c r="A1425" s="5">
        <v>1364</v>
      </c>
      <c r="B1425" s="1831">
        <f>'Expenditures 15-22'!D259</f>
        <v>5646</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5646</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2434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9798</v>
      </c>
      <c r="D1431" s="2" t="str">
        <f t="shared" si="21"/>
        <v>Error?</v>
      </c>
    </row>
    <row r="1432" spans="1:4" x14ac:dyDescent="0.2">
      <c r="A1432" s="5">
        <v>1371</v>
      </c>
      <c r="B1432" s="1831">
        <f>'Expenditures 15-22'!D267</f>
        <v>4146</v>
      </c>
      <c r="D1432" s="2" t="str">
        <f t="shared" si="21"/>
        <v>Error?</v>
      </c>
    </row>
    <row r="1433" spans="1:4" x14ac:dyDescent="0.2">
      <c r="A1433" s="5">
        <v>1372</v>
      </c>
      <c r="B1433" s="1831">
        <f>'Expenditures 15-22'!D268</f>
        <v>5353</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21731</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30434</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67743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898</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37309</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1703</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35</v>
      </c>
      <c r="C1480" s="2" t="s">
        <v>569</v>
      </c>
      <c r="D1480" s="2" t="str">
        <f t="shared" si="22"/>
        <v>Error?</v>
      </c>
    </row>
    <row r="1481" spans="1:4" x14ac:dyDescent="0.2">
      <c r="A1481" s="5">
        <v>1420</v>
      </c>
      <c r="B1481" s="1831">
        <f>'Expenditures 15-22'!K238</f>
        <v>1738</v>
      </c>
      <c r="C1481" s="2" t="s">
        <v>569</v>
      </c>
      <c r="D1481" s="2" t="str">
        <f t="shared" si="22"/>
        <v>Error?</v>
      </c>
    </row>
    <row r="1482" spans="1:4" x14ac:dyDescent="0.2">
      <c r="A1482" s="5">
        <v>1421</v>
      </c>
      <c r="B1482" s="1831">
        <f>'Expenditures 15-22'!K240</f>
        <v>15</v>
      </c>
      <c r="C1482" s="2" t="s">
        <v>569</v>
      </c>
      <c r="D1482" s="2" t="str">
        <f t="shared" si="22"/>
        <v>Error?</v>
      </c>
    </row>
    <row r="1483" spans="1:4" x14ac:dyDescent="0.2">
      <c r="A1483" s="5">
        <v>1422</v>
      </c>
      <c r="B1483" s="1831">
        <f>'Expenditures 15-22'!K241</f>
        <v>197</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212</v>
      </c>
      <c r="C1485" s="2" t="s">
        <v>569</v>
      </c>
      <c r="D1485" s="2" t="str">
        <f t="shared" si="22"/>
        <v>Error?</v>
      </c>
    </row>
    <row r="1486" spans="1:4" x14ac:dyDescent="0.2">
      <c r="A1486" s="5">
        <v>1425</v>
      </c>
      <c r="B1486" s="1831">
        <f>'Expenditures 15-22'!K245</f>
        <v>171</v>
      </c>
      <c r="C1486" s="2" t="s">
        <v>569</v>
      </c>
      <c r="D1486" s="2" t="str">
        <f t="shared" si="22"/>
        <v>Error?</v>
      </c>
    </row>
    <row r="1487" spans="1:4" x14ac:dyDescent="0.2">
      <c r="A1487" s="5">
        <v>1426</v>
      </c>
      <c r="B1487" s="1831">
        <f>'Expenditures 15-22'!K246</f>
        <v>936</v>
      </c>
      <c r="C1487" s="2" t="s">
        <v>569</v>
      </c>
      <c r="D1487" s="2" t="str">
        <f t="shared" si="22"/>
        <v>Error?</v>
      </c>
    </row>
    <row r="1488" spans="1:4" x14ac:dyDescent="0.2">
      <c r="A1488" s="5">
        <v>1427</v>
      </c>
      <c r="B1488" s="1831">
        <f>'Expenditures 15-22'!K257</f>
        <v>1107</v>
      </c>
      <c r="C1488" s="2" t="s">
        <v>569</v>
      </c>
      <c r="D1488" s="2" t="str">
        <f t="shared" si="22"/>
        <v>Error?</v>
      </c>
    </row>
    <row r="1489" spans="1:4" x14ac:dyDescent="0.2">
      <c r="A1489" s="5">
        <v>1428</v>
      </c>
      <c r="B1489" s="1831">
        <f>'Expenditures 15-22'!K259</f>
        <v>5646</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5646</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2434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9798</v>
      </c>
      <c r="C1495" s="2" t="s">
        <v>569</v>
      </c>
      <c r="D1495" s="2" t="str">
        <f t="shared" si="22"/>
        <v>Error?</v>
      </c>
    </row>
    <row r="1496" spans="1:4" x14ac:dyDescent="0.2">
      <c r="A1496" s="5">
        <v>1435</v>
      </c>
      <c r="B1496" s="1831">
        <f>'Expenditures 15-22'!K267</f>
        <v>4146</v>
      </c>
      <c r="C1496" s="2" t="s">
        <v>569</v>
      </c>
      <c r="D1496" s="2" t="str">
        <f t="shared" si="22"/>
        <v>Error?</v>
      </c>
    </row>
    <row r="1497" spans="1:4" x14ac:dyDescent="0.2">
      <c r="A1497" s="5">
        <v>1436</v>
      </c>
      <c r="B1497" s="1831">
        <f>'Expenditures 15-22'!K268</f>
        <v>5353</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21731</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30434</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67743</v>
      </c>
      <c r="C1517" s="2" t="s">
        <v>569</v>
      </c>
      <c r="D1517" s="2" t="str">
        <f t="shared" si="22"/>
        <v>Error?</v>
      </c>
    </row>
    <row r="1518" spans="1:4" x14ac:dyDescent="0.2">
      <c r="A1518" s="5">
        <v>1457</v>
      </c>
      <c r="B1518" s="1831">
        <f>'Expenditures 15-22'!K296</f>
        <v>7664</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28097</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28097</v>
      </c>
      <c r="C1535" s="2" t="s">
        <v>569</v>
      </c>
      <c r="D1535" s="2" t="str">
        <f t="shared" ref="D1535:D1598" si="23">IF(ISBLANK(B1535),"OK",IF(A1535-B1535=0,"OK","Error?"))</f>
        <v>Error?</v>
      </c>
    </row>
    <row r="1536" spans="1:4" x14ac:dyDescent="0.2">
      <c r="A1536" s="5">
        <v>1475</v>
      </c>
      <c r="B1536" s="1831">
        <f>'Expenditures 15-22'!E312</f>
        <v>28097</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55571</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55571</v>
      </c>
      <c r="C1547" s="2" t="s">
        <v>569</v>
      </c>
      <c r="D1547" s="2" t="str">
        <f t="shared" si="23"/>
        <v>Error?</v>
      </c>
    </row>
    <row r="1548" spans="1:4" x14ac:dyDescent="0.2">
      <c r="A1548" s="5">
        <v>1487</v>
      </c>
      <c r="B1548" s="1831">
        <f>'Expenditures 15-22'!G312</f>
        <v>55571</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83668</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83668</v>
      </c>
      <c r="C1559" s="2" t="s">
        <v>569</v>
      </c>
      <c r="D1559" s="2" t="str">
        <f t="shared" si="23"/>
        <v>Error?</v>
      </c>
    </row>
    <row r="1560" spans="1:4" x14ac:dyDescent="0.2">
      <c r="A1560" s="5">
        <v>1499</v>
      </c>
      <c r="B1560" s="1831">
        <f>'Expenditures 15-22'!K312</f>
        <v>83668</v>
      </c>
      <c r="C1560" s="2" t="s">
        <v>569</v>
      </c>
      <c r="D1560" s="2" t="str">
        <f t="shared" si="23"/>
        <v>Error?</v>
      </c>
    </row>
    <row r="1561" spans="1:4" x14ac:dyDescent="0.2">
      <c r="A1561" s="5">
        <v>1500</v>
      </c>
      <c r="B1561" s="1831">
        <f>'Expenditures 15-22'!K313</f>
        <v>50003</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1075771</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1173142</v>
      </c>
      <c r="C1630" s="2" t="s">
        <v>569</v>
      </c>
      <c r="D1630" s="2" t="str">
        <f t="shared" si="24"/>
        <v>Error?</v>
      </c>
    </row>
    <row r="1631" spans="1:4" x14ac:dyDescent="0.2">
      <c r="A1631" s="5">
        <v>1570</v>
      </c>
      <c r="B1631" s="1831">
        <f>'Acct Summary 7-8'!D79</f>
        <v>26469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20707</v>
      </c>
      <c r="C1644" s="2" t="s">
        <v>569</v>
      </c>
      <c r="D1644" s="2" t="str">
        <f t="shared" si="24"/>
        <v>Error?</v>
      </c>
    </row>
    <row r="1645" spans="1:4" x14ac:dyDescent="0.2">
      <c r="A1645" s="5">
        <v>1584</v>
      </c>
      <c r="B1645" s="1831">
        <f>'Acct Summary 7-8'!E79</f>
        <v>1369</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14080</v>
      </c>
      <c r="C1658" s="2" t="s">
        <v>569</v>
      </c>
      <c r="D1658" s="2" t="str">
        <f t="shared" si="24"/>
        <v>Error?</v>
      </c>
    </row>
    <row r="1659" spans="1:4" x14ac:dyDescent="0.2">
      <c r="A1659" s="5">
        <v>1598</v>
      </c>
      <c r="B1659" s="1831">
        <f>'Acct Summary 7-8'!F79</f>
        <v>44271</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49132</v>
      </c>
      <c r="C1672" s="2" t="s">
        <v>569</v>
      </c>
      <c r="D1672" s="2" t="str">
        <f t="shared" si="25"/>
        <v>Error?</v>
      </c>
    </row>
    <row r="1673" spans="1:4" x14ac:dyDescent="0.2">
      <c r="A1673" s="5">
        <v>1612</v>
      </c>
      <c r="B1673" s="1831">
        <f>'Acct Summary 7-8'!G79</f>
        <v>26485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34149</v>
      </c>
      <c r="C1686" s="2" t="s">
        <v>569</v>
      </c>
      <c r="D1686" s="2" t="str">
        <f t="shared" si="25"/>
        <v>Error?</v>
      </c>
    </row>
    <row r="1687" spans="1:4" x14ac:dyDescent="0.2">
      <c r="A1687" s="5">
        <v>1626</v>
      </c>
      <c r="B1687" s="1831">
        <f>'Acct Summary 7-8'!H79</f>
        <v>21</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50024</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306190</v>
      </c>
      <c r="C1744" s="2" t="s">
        <v>569</v>
      </c>
      <c r="D1744" s="2" t="str">
        <f t="shared" si="26"/>
        <v>Error?</v>
      </c>
    </row>
    <row r="1745" spans="1:5" x14ac:dyDescent="0.2">
      <c r="A1745" s="5">
        <v>1684</v>
      </c>
      <c r="B1745" s="1831">
        <f>'Tax Sched 23'!B5</f>
        <v>63624</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29326</v>
      </c>
      <c r="C1747" s="2" t="s">
        <v>569</v>
      </c>
      <c r="D1747" s="2" t="str">
        <f t="shared" si="26"/>
        <v>Error?</v>
      </c>
    </row>
    <row r="1748" spans="1:5" x14ac:dyDescent="0.2">
      <c r="A1748" s="5">
        <v>1687</v>
      </c>
      <c r="B1748" s="1831">
        <f>'Tax Sched 23'!B8</f>
        <v>29326</v>
      </c>
      <c r="C1748" s="2" t="s">
        <v>569</v>
      </c>
      <c r="D1748" s="2" t="str">
        <f t="shared" si="26"/>
        <v>Error?</v>
      </c>
    </row>
    <row r="1749" spans="1:5" x14ac:dyDescent="0.2">
      <c r="A1749" s="5">
        <v>1688</v>
      </c>
      <c r="B1749" s="1831">
        <f>'Tax Sched 23'!B10</f>
        <v>10440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115318</v>
      </c>
      <c r="C1752" s="2" t="s">
        <v>569</v>
      </c>
      <c r="D1752" s="2" t="str">
        <f t="shared" si="26"/>
        <v>Error?</v>
      </c>
    </row>
    <row r="1753" spans="1:5" x14ac:dyDescent="0.2">
      <c r="A1753" s="5">
        <v>1692</v>
      </c>
      <c r="B1753" s="1831">
        <f>'Tax Sched 23'!B12</f>
        <v>10936</v>
      </c>
      <c r="C1753" s="2" t="s">
        <v>569</v>
      </c>
      <c r="D1753" s="2" t="str">
        <f t="shared" si="26"/>
        <v>Error?</v>
      </c>
    </row>
    <row r="1754" spans="1:5" x14ac:dyDescent="0.2">
      <c r="A1754" s="5">
        <v>1693</v>
      </c>
      <c r="B1754" s="1831">
        <f>'Tax Sched 23'!B14</f>
        <v>4771</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572915</v>
      </c>
      <c r="C1759" s="2" t="s">
        <v>569</v>
      </c>
      <c r="D1759" s="2" t="str">
        <f t="shared" si="26"/>
        <v>Error?</v>
      </c>
    </row>
    <row r="1760" spans="1:5" x14ac:dyDescent="0.2">
      <c r="A1760" s="5">
        <v>1699</v>
      </c>
      <c r="B1760" s="1831">
        <f>'Tax Sched 23'!D4</f>
        <v>306190</v>
      </c>
      <c r="C1760" s="2" t="s">
        <v>569</v>
      </c>
      <c r="D1760" s="2" t="str">
        <f t="shared" si="26"/>
        <v>Error?</v>
      </c>
    </row>
    <row r="1761" spans="1:7" x14ac:dyDescent="0.2">
      <c r="A1761" s="5">
        <v>1700</v>
      </c>
      <c r="B1761" s="1831">
        <f>'Tax Sched 23'!D5</f>
        <v>63624</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29326</v>
      </c>
      <c r="C1763" s="2" t="s">
        <v>569</v>
      </c>
      <c r="D1763" s="2" t="str">
        <f t="shared" si="26"/>
        <v>Error?</v>
      </c>
    </row>
    <row r="1764" spans="1:7" x14ac:dyDescent="0.2">
      <c r="A1764" s="5">
        <v>1703</v>
      </c>
      <c r="B1764" s="1831">
        <f>'Tax Sched 23'!D8</f>
        <v>29326</v>
      </c>
      <c r="C1764" s="2" t="s">
        <v>569</v>
      </c>
      <c r="D1764" s="2" t="str">
        <f t="shared" si="26"/>
        <v>Error?</v>
      </c>
    </row>
    <row r="1765" spans="1:7" x14ac:dyDescent="0.2">
      <c r="A1765" s="5">
        <v>1704</v>
      </c>
      <c r="B1765" s="1831">
        <f>'Tax Sched 23'!D10</f>
        <v>10440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115318</v>
      </c>
      <c r="C1768" s="2" t="s">
        <v>569</v>
      </c>
      <c r="D1768" s="2" t="str">
        <f t="shared" si="26"/>
        <v>Error?</v>
      </c>
    </row>
    <row r="1769" spans="1:7" x14ac:dyDescent="0.2">
      <c r="A1769" s="5">
        <v>1708</v>
      </c>
      <c r="B1769" s="1831">
        <f>'Tax Sched 23'!D12</f>
        <v>10936</v>
      </c>
      <c r="C1769" s="2" t="s">
        <v>569</v>
      </c>
      <c r="D1769" s="2" t="str">
        <f t="shared" si="26"/>
        <v>Error?</v>
      </c>
    </row>
    <row r="1770" spans="1:7" x14ac:dyDescent="0.2">
      <c r="A1770" s="5">
        <v>1709</v>
      </c>
      <c r="B1770" s="1831">
        <f>'Tax Sched 23'!D14</f>
        <v>4771</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572915</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319536</v>
      </c>
      <c r="C1792" s="2" t="s">
        <v>569</v>
      </c>
      <c r="D1792" s="2" t="str">
        <f t="shared" si="27"/>
        <v>Error?</v>
      </c>
    </row>
    <row r="1793" spans="1:4" x14ac:dyDescent="0.2">
      <c r="A1793" s="5">
        <v>1732</v>
      </c>
      <c r="B1793" s="1831">
        <f>'Tax Sched 23'!F5</f>
        <v>68001</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32001</v>
      </c>
      <c r="C1795" s="2" t="s">
        <v>569</v>
      </c>
      <c r="D1795" s="2" t="str">
        <f t="shared" si="27"/>
        <v>Error?</v>
      </c>
    </row>
    <row r="1796" spans="1:4" x14ac:dyDescent="0.2">
      <c r="A1796" s="5">
        <v>1735</v>
      </c>
      <c r="B1796" s="1831">
        <f>'Tax Sched 23'!F8</f>
        <v>30000</v>
      </c>
      <c r="C1796" s="2" t="s">
        <v>569</v>
      </c>
      <c r="D1796" s="2" t="str">
        <f t="shared" si="27"/>
        <v>Error?</v>
      </c>
    </row>
    <row r="1797" spans="1:4" x14ac:dyDescent="0.2">
      <c r="A1797" s="5">
        <v>1736</v>
      </c>
      <c r="B1797" s="1831">
        <f>'Tax Sched 23'!F10</f>
        <v>11000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120001</v>
      </c>
      <c r="C1800" s="2" t="s">
        <v>569</v>
      </c>
      <c r="D1800" s="2" t="str">
        <f t="shared" si="27"/>
        <v>Error?</v>
      </c>
    </row>
    <row r="1801" spans="1:4" x14ac:dyDescent="0.2">
      <c r="A1801" s="5">
        <v>1740</v>
      </c>
      <c r="B1801" s="1831">
        <f>'Tax Sched 23'!F12</f>
        <v>11501</v>
      </c>
      <c r="C1801" s="2" t="s">
        <v>569</v>
      </c>
      <c r="D1801" s="2" t="str">
        <f t="shared" si="27"/>
        <v>Error?</v>
      </c>
    </row>
    <row r="1802" spans="1:4" x14ac:dyDescent="0.2">
      <c r="A1802" s="5">
        <v>1741</v>
      </c>
      <c r="B1802" s="1831">
        <f>'Tax Sched 23'!F14</f>
        <v>5102</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604644</v>
      </c>
      <c r="C1807" s="2" t="s">
        <v>569</v>
      </c>
      <c r="D1807" s="2" t="str">
        <f t="shared" si="27"/>
        <v>Error?</v>
      </c>
    </row>
    <row r="1808" spans="1:4" x14ac:dyDescent="0.2">
      <c r="A1808" s="5">
        <v>1747</v>
      </c>
      <c r="B1808" s="1831">
        <f>'Tax Sched 23'!E4</f>
        <v>319536</v>
      </c>
      <c r="D1808" s="2" t="str">
        <f t="shared" si="27"/>
        <v>Error?</v>
      </c>
    </row>
    <row r="1809" spans="1:4" x14ac:dyDescent="0.2">
      <c r="A1809" s="5">
        <v>1748</v>
      </c>
      <c r="B1809" s="1831">
        <f>'Tax Sched 23'!E5</f>
        <v>68001</v>
      </c>
      <c r="D1809" s="2" t="str">
        <f t="shared" si="27"/>
        <v>Error?</v>
      </c>
    </row>
    <row r="1810" spans="1:4" x14ac:dyDescent="0.2">
      <c r="A1810" s="5">
        <v>1749</v>
      </c>
      <c r="B1810" s="1831">
        <f>'Tax Sched 23'!E6</f>
        <v>0</v>
      </c>
      <c r="D1810" s="2" t="str">
        <f t="shared" si="27"/>
        <v>Error?</v>
      </c>
    </row>
    <row r="1811" spans="1:4" x14ac:dyDescent="0.2">
      <c r="A1811" s="5">
        <v>1750</v>
      </c>
      <c r="B1811" s="1831">
        <f>'Tax Sched 23'!E7</f>
        <v>32001</v>
      </c>
      <c r="D1811" s="2" t="str">
        <f t="shared" si="27"/>
        <v>Error?</v>
      </c>
    </row>
    <row r="1812" spans="1:4" x14ac:dyDescent="0.2">
      <c r="A1812" s="5">
        <v>1751</v>
      </c>
      <c r="B1812" s="1831">
        <f>'Tax Sched 23'!E8</f>
        <v>30000</v>
      </c>
      <c r="D1812" s="2" t="str">
        <f t="shared" si="27"/>
        <v>Error?</v>
      </c>
    </row>
    <row r="1813" spans="1:4" x14ac:dyDescent="0.2">
      <c r="A1813" s="5">
        <v>1752</v>
      </c>
      <c r="B1813" s="1831">
        <f>'Tax Sched 23'!E10</f>
        <v>11000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120001</v>
      </c>
      <c r="D1816" s="2" t="str">
        <f t="shared" si="27"/>
        <v>Error?</v>
      </c>
    </row>
    <row r="1817" spans="1:4" x14ac:dyDescent="0.2">
      <c r="A1817" s="5">
        <v>1756</v>
      </c>
      <c r="B1817" s="1831">
        <f>'Tax Sched 23'!E12</f>
        <v>11501</v>
      </c>
      <c r="D1817" s="2" t="str">
        <f t="shared" si="27"/>
        <v>Error?</v>
      </c>
    </row>
    <row r="1818" spans="1:4" x14ac:dyDescent="0.2">
      <c r="A1818" s="5">
        <v>1757</v>
      </c>
      <c r="B1818" s="1831">
        <f>'Tax Sched 23'!E14</f>
        <v>5102</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604644</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140000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4771</v>
      </c>
      <c r="D1972" s="2" t="str">
        <f t="shared" si="29"/>
        <v>Error?</v>
      </c>
    </row>
    <row r="1973" spans="1:5" x14ac:dyDescent="0.2">
      <c r="A1973" s="5">
        <v>1912</v>
      </c>
      <c r="B1973" s="1831">
        <f>'Rest Tax Levies-Tort Im 25'!H6</f>
        <v>11</v>
      </c>
      <c r="D1973" s="2" t="str">
        <f t="shared" si="29"/>
        <v>Error?</v>
      </c>
    </row>
    <row r="1974" spans="1:5" x14ac:dyDescent="0.2">
      <c r="A1974" s="5">
        <v>1913</v>
      </c>
      <c r="B1974" s="1831">
        <f>'Rest Tax Levies-Tort Im 25'!H10</f>
        <v>39</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4821</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4821</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11500</v>
      </c>
      <c r="D2008" s="2" t="str">
        <f t="shared" si="30"/>
        <v>Error?</v>
      </c>
    </row>
    <row r="2009" spans="1:4" x14ac:dyDescent="0.2">
      <c r="A2009" s="5">
        <v>1948</v>
      </c>
      <c r="B2009" s="1831">
        <f>'Cap Outlay Deprec 26'!C8</f>
        <v>2199135</v>
      </c>
      <c r="D2009" s="2" t="str">
        <f t="shared" si="30"/>
        <v>Error?</v>
      </c>
    </row>
    <row r="2010" spans="1:4" x14ac:dyDescent="0.2">
      <c r="A2010" s="5">
        <v>1949</v>
      </c>
      <c r="B2010" s="1831">
        <f>'Cap Outlay Deprec 26'!C10</f>
        <v>26234</v>
      </c>
      <c r="D2010" s="2" t="str">
        <f t="shared" si="30"/>
        <v>Error?</v>
      </c>
    </row>
    <row r="2011" spans="1:4" x14ac:dyDescent="0.2">
      <c r="A2011" s="5">
        <v>1950</v>
      </c>
      <c r="B2011" s="1831">
        <f>'Cap Outlay Deprec 26'!C12</f>
        <v>614652</v>
      </c>
      <c r="D2011" s="2" t="str">
        <f t="shared" si="30"/>
        <v>Error?</v>
      </c>
    </row>
    <row r="2012" spans="1:4" x14ac:dyDescent="0.2">
      <c r="A2012" s="5">
        <v>1951</v>
      </c>
      <c r="B2012" s="1831">
        <f>'Cap Outlay Deprec 26'!C13</f>
        <v>5157</v>
      </c>
      <c r="D2012" s="2" t="str">
        <f t="shared" si="30"/>
        <v>Error?</v>
      </c>
    </row>
    <row r="2013" spans="1:4" x14ac:dyDescent="0.2">
      <c r="A2013" s="5">
        <v>1952</v>
      </c>
      <c r="B2013" s="1831">
        <f>'Cap Outlay Deprec 26'!C16</f>
        <v>2856678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2625</v>
      </c>
      <c r="D2015" s="2" t="str">
        <f t="shared" si="30"/>
        <v>Error?</v>
      </c>
    </row>
    <row r="2016" spans="1:4" x14ac:dyDescent="0.2">
      <c r="A2016" s="5">
        <v>1955</v>
      </c>
      <c r="B2016" s="1831">
        <f>'Cap Outlay Deprec 26'!D10</f>
        <v>52946</v>
      </c>
      <c r="D2016" s="2" t="str">
        <f t="shared" si="30"/>
        <v>Error?</v>
      </c>
    </row>
    <row r="2017" spans="1:4" x14ac:dyDescent="0.2">
      <c r="A2017" s="5">
        <v>1956</v>
      </c>
      <c r="B2017" s="1831">
        <f>'Cap Outlay Deprec 26'!D12</f>
        <v>35176</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90747</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4354</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11950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16304</v>
      </c>
      <c r="C2025" s="2" t="s">
        <v>569</v>
      </c>
      <c r="D2025" s="2" t="str">
        <f t="shared" si="30"/>
        <v>Error?</v>
      </c>
    </row>
    <row r="2026" spans="1:4" x14ac:dyDescent="0.2">
      <c r="A2026" s="5">
        <v>1965</v>
      </c>
      <c r="B2026" s="1831">
        <f>'Cap Outlay Deprec 26'!F5</f>
        <v>11500</v>
      </c>
      <c r="C2026" s="2" t="s">
        <v>569</v>
      </c>
      <c r="D2026" s="2" t="str">
        <f t="shared" si="30"/>
        <v>Error?</v>
      </c>
    </row>
    <row r="2027" spans="1:4" x14ac:dyDescent="0.2">
      <c r="A2027" s="5">
        <v>1966</v>
      </c>
      <c r="B2027" s="1831">
        <f>'Cap Outlay Deprec 26'!F8</f>
        <v>2197406</v>
      </c>
      <c r="C2027" s="2" t="s">
        <v>569</v>
      </c>
      <c r="D2027" s="2" t="str">
        <f t="shared" si="30"/>
        <v>Error?</v>
      </c>
    </row>
    <row r="2028" spans="1:4" x14ac:dyDescent="0.2">
      <c r="A2028" s="5">
        <v>1967</v>
      </c>
      <c r="B2028" s="1831">
        <f>'Cap Outlay Deprec 26'!F10</f>
        <v>79180</v>
      </c>
      <c r="C2028" s="2" t="s">
        <v>569</v>
      </c>
      <c r="D2028" s="2" t="str">
        <f t="shared" si="30"/>
        <v>Error?</v>
      </c>
    </row>
    <row r="2029" spans="1:4" x14ac:dyDescent="0.2">
      <c r="A2029" s="5">
        <v>1968</v>
      </c>
      <c r="B2029" s="1831">
        <f>'Cap Outlay Deprec 26'!F12</f>
        <v>637878</v>
      </c>
      <c r="C2029" s="2" t="s">
        <v>569</v>
      </c>
      <c r="D2029" s="2" t="str">
        <f t="shared" si="30"/>
        <v>Error?</v>
      </c>
    </row>
    <row r="2030" spans="1:4" x14ac:dyDescent="0.2">
      <c r="A2030" s="5">
        <v>1969</v>
      </c>
      <c r="B2030" s="1831">
        <f>'Cap Outlay Deprec 26'!F13</f>
        <v>5157</v>
      </c>
      <c r="C2030" s="2" t="s">
        <v>569</v>
      </c>
      <c r="D2030" s="2" t="str">
        <f t="shared" si="30"/>
        <v>Error?</v>
      </c>
    </row>
    <row r="2031" spans="1:4" x14ac:dyDescent="0.2">
      <c r="A2031" s="5">
        <v>1970</v>
      </c>
      <c r="B2031" s="1831">
        <f>'Cap Outlay Deprec 26'!F16</f>
        <v>2931121</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1137314</v>
      </c>
      <c r="D2033" s="2" t="str">
        <f t="shared" si="30"/>
        <v>Error?</v>
      </c>
    </row>
    <row r="2034" spans="1:4" x14ac:dyDescent="0.2">
      <c r="A2034" s="5">
        <v>1973</v>
      </c>
      <c r="B2034" s="1831">
        <f>'Cap Outlay Deprec 26'!H10</f>
        <v>25130</v>
      </c>
      <c r="D2034" s="2" t="str">
        <f t="shared" si="30"/>
        <v>Error?</v>
      </c>
    </row>
    <row r="2035" spans="1:4" x14ac:dyDescent="0.2">
      <c r="A2035" s="5">
        <v>1974</v>
      </c>
      <c r="B2035" s="1831">
        <f>'Cap Outlay Deprec 26'!H12</f>
        <v>501083</v>
      </c>
      <c r="D2035" s="2" t="str">
        <f t="shared" si="30"/>
        <v>Error?</v>
      </c>
    </row>
    <row r="2036" spans="1:4" x14ac:dyDescent="0.2">
      <c r="A2036" s="5">
        <v>1975</v>
      </c>
      <c r="B2036" s="1831">
        <f>'Cap Outlay Deprec 26'!H13</f>
        <v>2922</v>
      </c>
      <c r="D2036" s="2" t="str">
        <f t="shared" si="30"/>
        <v>Error?</v>
      </c>
    </row>
    <row r="2037" spans="1:4" x14ac:dyDescent="0.2">
      <c r="A2037" s="5">
        <v>1976</v>
      </c>
      <c r="B2037" s="1831">
        <f>'Cap Outlay Deprec 26'!H16</f>
        <v>1666449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33687</v>
      </c>
      <c r="D2039" s="2" t="str">
        <f t="shared" si="30"/>
        <v>Error?</v>
      </c>
    </row>
    <row r="2040" spans="1:4" x14ac:dyDescent="0.2">
      <c r="A2040" s="5">
        <v>1979</v>
      </c>
      <c r="B2040" s="1831">
        <f>'Cap Outlay Deprec 26'!I10</f>
        <v>323</v>
      </c>
      <c r="D2040" s="2" t="str">
        <f t="shared" si="30"/>
        <v>Error?</v>
      </c>
    </row>
    <row r="2041" spans="1:4" x14ac:dyDescent="0.2">
      <c r="A2041" s="5">
        <v>1980</v>
      </c>
      <c r="B2041" s="1831">
        <f>'Cap Outlay Deprec 26'!I12</f>
        <v>25344</v>
      </c>
      <c r="D2041" s="2" t="str">
        <f t="shared" si="30"/>
        <v>Error?</v>
      </c>
    </row>
    <row r="2042" spans="1:4" x14ac:dyDescent="0.2">
      <c r="A2042" s="5">
        <v>1981</v>
      </c>
      <c r="B2042" s="1831">
        <f>'Cap Outlay Deprec 26'!I13</f>
        <v>1032</v>
      </c>
      <c r="D2042" s="2" t="str">
        <f t="shared" si="30"/>
        <v>Error?</v>
      </c>
    </row>
    <row r="2043" spans="1:4" x14ac:dyDescent="0.2">
      <c r="A2043" s="5">
        <v>1982</v>
      </c>
      <c r="B2043" s="1831">
        <f>'Cap Outlay Deprec 26'!I16</f>
        <v>60386</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4354</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11950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16304</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1166647</v>
      </c>
      <c r="C2051" s="2" t="s">
        <v>569</v>
      </c>
      <c r="D2051" s="2" t="str">
        <f t="shared" si="31"/>
        <v>Error?</v>
      </c>
    </row>
    <row r="2052" spans="1:4" x14ac:dyDescent="0.2">
      <c r="A2052" s="5">
        <v>1991</v>
      </c>
      <c r="B2052" s="1831">
        <f>'Cap Outlay Deprec 26'!K10</f>
        <v>25453</v>
      </c>
      <c r="C2052" s="2" t="s">
        <v>569</v>
      </c>
      <c r="D2052" s="2" t="str">
        <f t="shared" si="31"/>
        <v>Error?</v>
      </c>
    </row>
    <row r="2053" spans="1:4" x14ac:dyDescent="0.2">
      <c r="A2053" s="5">
        <v>1992</v>
      </c>
      <c r="B2053" s="1831">
        <f>'Cap Outlay Deprec 26'!K12</f>
        <v>514477</v>
      </c>
      <c r="C2053" s="2" t="s">
        <v>569</v>
      </c>
      <c r="D2053" s="2" t="str">
        <f t="shared" si="31"/>
        <v>Error?</v>
      </c>
    </row>
    <row r="2054" spans="1:4" x14ac:dyDescent="0.2">
      <c r="A2054" s="5">
        <v>1993</v>
      </c>
      <c r="B2054" s="1831">
        <f>'Cap Outlay Deprec 26'!K13</f>
        <v>3954</v>
      </c>
      <c r="C2054" s="2" t="s">
        <v>569</v>
      </c>
      <c r="D2054" s="2" t="str">
        <f t="shared" si="31"/>
        <v>Error?</v>
      </c>
    </row>
    <row r="2055" spans="1:4" x14ac:dyDescent="0.2">
      <c r="A2055" s="5">
        <v>1994</v>
      </c>
      <c r="B2055" s="1831">
        <f>'Cap Outlay Deprec 26'!K16</f>
        <v>1710531</v>
      </c>
      <c r="C2055" s="2" t="s">
        <v>569</v>
      </c>
      <c r="D2055" s="2" t="str">
        <f t="shared" si="31"/>
        <v>Error?</v>
      </c>
    </row>
    <row r="2056" spans="1:4" x14ac:dyDescent="0.2">
      <c r="A2056" s="5">
        <v>1995</v>
      </c>
      <c r="B2056" s="1831">
        <f>'Cap Outlay Deprec 26'!L5</f>
        <v>11500</v>
      </c>
      <c r="C2056" s="2" t="s">
        <v>569</v>
      </c>
      <c r="D2056" s="2" t="str">
        <f t="shared" si="31"/>
        <v>Error?</v>
      </c>
    </row>
    <row r="2057" spans="1:4" x14ac:dyDescent="0.2">
      <c r="A2057" s="5">
        <v>1996</v>
      </c>
      <c r="B2057" s="1831">
        <f>'Cap Outlay Deprec 26'!L8</f>
        <v>1030759</v>
      </c>
      <c r="C2057" s="2" t="s">
        <v>569</v>
      </c>
      <c r="D2057" s="2" t="str">
        <f t="shared" si="31"/>
        <v>Error?</v>
      </c>
    </row>
    <row r="2058" spans="1:4" x14ac:dyDescent="0.2">
      <c r="A2058" s="5">
        <v>1997</v>
      </c>
      <c r="B2058" s="1831">
        <f>'Cap Outlay Deprec 26'!L10</f>
        <v>53727</v>
      </c>
      <c r="C2058" s="2" t="s">
        <v>569</v>
      </c>
      <c r="D2058" s="2" t="str">
        <f t="shared" si="31"/>
        <v>Error?</v>
      </c>
    </row>
    <row r="2059" spans="1:4" x14ac:dyDescent="0.2">
      <c r="A2059" s="5">
        <v>1998</v>
      </c>
      <c r="B2059" s="1831">
        <f>'Cap Outlay Deprec 26'!L12</f>
        <v>123401</v>
      </c>
      <c r="C2059" s="2" t="s">
        <v>569</v>
      </c>
      <c r="D2059" s="2" t="str">
        <f t="shared" si="31"/>
        <v>Error?</v>
      </c>
    </row>
    <row r="2060" spans="1:4" x14ac:dyDescent="0.2">
      <c r="A2060" s="5">
        <v>1999</v>
      </c>
      <c r="B2060" s="1831">
        <f>'Cap Outlay Deprec 26'!L13</f>
        <v>1203</v>
      </c>
      <c r="C2060" s="2" t="s">
        <v>569</v>
      </c>
      <c r="D2060" s="2" t="str">
        <f t="shared" si="31"/>
        <v>Error?</v>
      </c>
    </row>
    <row r="2061" spans="1:4" x14ac:dyDescent="0.2">
      <c r="A2061" s="5">
        <v>2000</v>
      </c>
      <c r="B2061" s="1831">
        <f>'Cap Outlay Deprec 26'!L16</f>
        <v>1220590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16405</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18865</v>
      </c>
      <c r="C2088" s="2" t="s">
        <v>569</v>
      </c>
      <c r="D2088" s="2" t="str">
        <f t="shared" si="31"/>
        <v>Error?</v>
      </c>
    </row>
    <row r="2089" spans="1:4" x14ac:dyDescent="0.2">
      <c r="A2089" s="5">
        <v>2028</v>
      </c>
      <c r="B2089" s="1831">
        <f>'Expenditures 15-22'!K92</f>
        <v>8803</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10622</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50000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464904</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711711</v>
      </c>
      <c r="C2553" s="2" t="s">
        <v>569</v>
      </c>
      <c r="D2553" s="2" t="str">
        <f t="shared" si="38"/>
        <v>Error?</v>
      </c>
    </row>
    <row r="2554" spans="1:4" x14ac:dyDescent="0.2">
      <c r="A2554" s="5">
        <v>2493</v>
      </c>
      <c r="B2554" s="1831">
        <f>'Acct Summary 7-8'!C7</f>
        <v>325866</v>
      </c>
      <c r="C2554" s="2" t="s">
        <v>569</v>
      </c>
      <c r="D2554" s="2" t="str">
        <f t="shared" si="38"/>
        <v>Error?</v>
      </c>
    </row>
    <row r="2555" spans="1:4" x14ac:dyDescent="0.2">
      <c r="A2555" s="5">
        <v>2494</v>
      </c>
      <c r="B2555" s="1831">
        <f>'Acct Summary 7-8'!C8</f>
        <v>1502481</v>
      </c>
      <c r="C2555" s="2" t="s">
        <v>569</v>
      </c>
      <c r="D2555" s="2" t="str">
        <f t="shared" si="38"/>
        <v>Error?</v>
      </c>
    </row>
    <row r="2556" spans="1:4" x14ac:dyDescent="0.2">
      <c r="A2556" s="5">
        <v>2495</v>
      </c>
      <c r="B2556" s="1831">
        <f>'Acct Summary 7-8'!C12</f>
        <v>1061501</v>
      </c>
      <c r="C2556" s="2" t="s">
        <v>569</v>
      </c>
      <c r="D2556" s="2" t="str">
        <f t="shared" si="38"/>
        <v>Error?</v>
      </c>
    </row>
    <row r="2557" spans="1:4" x14ac:dyDescent="0.2">
      <c r="A2557" s="5">
        <v>2496</v>
      </c>
      <c r="B2557" s="1831">
        <f>'Acct Summary 7-8'!C13</f>
        <v>326563</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27668</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1415732</v>
      </c>
      <c r="C2561" s="2" t="s">
        <v>569</v>
      </c>
      <c r="D2561" s="2" t="str">
        <f t="shared" si="39"/>
        <v>Error?</v>
      </c>
    </row>
    <row r="2562" spans="1:4" x14ac:dyDescent="0.2">
      <c r="A2562" s="5">
        <v>2501</v>
      </c>
      <c r="B2562" s="1831">
        <f>'Acct Summary 7-8'!C20</f>
        <v>86749</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75355</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15000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90355</v>
      </c>
      <c r="C2568" s="2" t="s">
        <v>569</v>
      </c>
      <c r="D2568" s="2" t="str">
        <f t="shared" si="39"/>
        <v>Error?</v>
      </c>
    </row>
    <row r="2569" spans="1:4" x14ac:dyDescent="0.2">
      <c r="A2569" s="5">
        <v>2508</v>
      </c>
      <c r="B2569" s="1831">
        <f>'Acct Summary 7-8'!D13</f>
        <v>96117</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96117</v>
      </c>
      <c r="C2573" s="2" t="s">
        <v>569</v>
      </c>
      <c r="D2573" s="2" t="str">
        <f t="shared" si="39"/>
        <v>Error?</v>
      </c>
    </row>
    <row r="2574" spans="1:4" x14ac:dyDescent="0.2">
      <c r="A2574" s="5">
        <v>2513</v>
      </c>
      <c r="B2574" s="1831">
        <f>'Acct Summary 7-8'!D20</f>
        <v>-5762</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30148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31859</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62007</v>
      </c>
      <c r="C2595" s="2" t="s">
        <v>569</v>
      </c>
      <c r="D2595" s="2" t="str">
        <f t="shared" si="39"/>
        <v>Error?</v>
      </c>
    </row>
    <row r="2596" spans="1:4" x14ac:dyDescent="0.2">
      <c r="A2596" s="5">
        <v>2535</v>
      </c>
      <c r="B2596" s="1831">
        <f>'Acct Summary 7-8'!F13</f>
        <v>57146</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57146</v>
      </c>
      <c r="C2600" s="2" t="s">
        <v>569</v>
      </c>
      <c r="D2600" s="2" t="str">
        <f t="shared" si="39"/>
        <v>Error?</v>
      </c>
    </row>
    <row r="2601" spans="1:4" x14ac:dyDescent="0.2">
      <c r="A2601" s="5">
        <v>2540</v>
      </c>
      <c r="B2601" s="1831">
        <f>'Acct Summary 7-8'!F20</f>
        <v>4861</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65462</v>
      </c>
      <c r="C2603" s="2" t="s">
        <v>569</v>
      </c>
      <c r="D2603" s="2" t="str">
        <f t="shared" si="39"/>
        <v>Error?</v>
      </c>
    </row>
    <row r="2604" spans="1:4" x14ac:dyDescent="0.2">
      <c r="A2604" s="5">
        <v>2543</v>
      </c>
      <c r="B2604" s="1831">
        <f>'Acct Summary 7-8'!G6</f>
        <v>1189</v>
      </c>
      <c r="C2604" s="2" t="s">
        <v>569</v>
      </c>
      <c r="D2604" s="2" t="str">
        <f t="shared" si="39"/>
        <v>Error?</v>
      </c>
    </row>
    <row r="2605" spans="1:4" x14ac:dyDescent="0.2">
      <c r="A2605" s="5">
        <v>2544</v>
      </c>
      <c r="B2605" s="1831">
        <f>'Acct Summary 7-8'!G7</f>
        <v>8756</v>
      </c>
      <c r="C2605" s="2" t="s">
        <v>569</v>
      </c>
      <c r="D2605" s="2" t="str">
        <f t="shared" si="39"/>
        <v>Error?</v>
      </c>
    </row>
    <row r="2606" spans="1:4" x14ac:dyDescent="0.2">
      <c r="A2606" s="5">
        <v>2545</v>
      </c>
      <c r="B2606" s="1831">
        <f>'Acct Summary 7-8'!G8</f>
        <v>75407</v>
      </c>
      <c r="C2606" s="2" t="s">
        <v>569</v>
      </c>
      <c r="D2606" s="2" t="str">
        <f t="shared" si="39"/>
        <v>Error?</v>
      </c>
    </row>
    <row r="2607" spans="1:4" x14ac:dyDescent="0.2">
      <c r="A2607" s="5">
        <v>2546</v>
      </c>
      <c r="B2607" s="1831">
        <f>'Acct Summary 7-8'!G12</f>
        <v>37309</v>
      </c>
      <c r="C2607" s="2" t="s">
        <v>569</v>
      </c>
      <c r="D2607" s="2" t="str">
        <f t="shared" si="39"/>
        <v>Error?</v>
      </c>
    </row>
    <row r="2608" spans="1:4" x14ac:dyDescent="0.2">
      <c r="A2608" s="5">
        <v>2547</v>
      </c>
      <c r="B2608" s="1831">
        <f>'Acct Summary 7-8'!G13</f>
        <v>30434</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67743</v>
      </c>
      <c r="C2612" s="2" t="s">
        <v>569</v>
      </c>
      <c r="D2612" s="2" t="str">
        <f t="shared" si="39"/>
        <v>Error?</v>
      </c>
    </row>
    <row r="2613" spans="1:4" x14ac:dyDescent="0.2">
      <c r="A2613" s="5">
        <v>2552</v>
      </c>
      <c r="B2613" s="1831">
        <f>'Acct Summary 7-8'!G20</f>
        <v>7664</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211</v>
      </c>
      <c r="C2630" s="2" t="s">
        <v>569</v>
      </c>
      <c r="D2630" s="2" t="str">
        <f t="shared" si="40"/>
        <v>Error?</v>
      </c>
    </row>
    <row r="2631" spans="1:4" x14ac:dyDescent="0.2">
      <c r="A2631" s="5">
        <v>2570</v>
      </c>
      <c r="B2631" s="1831">
        <f>'Acct Summary 7-8'!E6</f>
        <v>35935</v>
      </c>
      <c r="C2631" s="2" t="s">
        <v>569</v>
      </c>
      <c r="D2631" s="2" t="str">
        <f t="shared" si="40"/>
        <v>Error?</v>
      </c>
    </row>
    <row r="2632" spans="1:4" x14ac:dyDescent="0.2">
      <c r="A2632" s="5">
        <v>2571</v>
      </c>
      <c r="B2632" s="1831">
        <f>'Acct Summary 7-8'!E8</f>
        <v>36146</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23435</v>
      </c>
      <c r="C2634" s="2" t="s">
        <v>569</v>
      </c>
      <c r="D2634" s="2" t="str">
        <f t="shared" si="40"/>
        <v>Error?</v>
      </c>
    </row>
    <row r="2635" spans="1:4" x14ac:dyDescent="0.2">
      <c r="A2635" s="5">
        <v>2574</v>
      </c>
      <c r="B2635" s="1831">
        <f>'Acct Summary 7-8'!E17</f>
        <v>23435</v>
      </c>
      <c r="C2635" s="2" t="s">
        <v>569</v>
      </c>
      <c r="D2635" s="2" t="str">
        <f t="shared" si="40"/>
        <v>Error?</v>
      </c>
    </row>
    <row r="2636" spans="1:4" x14ac:dyDescent="0.2">
      <c r="A2636" s="5">
        <v>2575</v>
      </c>
      <c r="B2636" s="1831">
        <f>'Acct Summary 7-8'!E20</f>
        <v>12711</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19</v>
      </c>
      <c r="C2655" s="2" t="s">
        <v>569</v>
      </c>
      <c r="D2655" s="2" t="str">
        <f t="shared" si="40"/>
        <v>Error?</v>
      </c>
    </row>
    <row r="2656" spans="1:4" x14ac:dyDescent="0.2">
      <c r="A2656" s="5">
        <v>2595</v>
      </c>
      <c r="B2656" s="1831">
        <f>'Acct Summary 7-8'!H6</f>
        <v>133652</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133671</v>
      </c>
      <c r="C2658" s="2" t="s">
        <v>569</v>
      </c>
      <c r="D2658" s="2" t="str">
        <f t="shared" si="40"/>
        <v>Error?</v>
      </c>
    </row>
    <row r="2659" spans="1:4" x14ac:dyDescent="0.2">
      <c r="A2659" s="5">
        <v>2598</v>
      </c>
      <c r="B2659" s="1831">
        <f>'Acct Summary 7-8'!H13</f>
        <v>83668</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83668</v>
      </c>
      <c r="C2661" s="2" t="s">
        <v>569</v>
      </c>
      <c r="D2661" s="2" t="str">
        <f t="shared" si="40"/>
        <v>Error?</v>
      </c>
    </row>
    <row r="2662" spans="1:4" x14ac:dyDescent="0.2">
      <c r="A2662" s="5">
        <v>2601</v>
      </c>
      <c r="B2662" s="1831">
        <f>'Acct Summary 7-8'!H20</f>
        <v>50003</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2460</v>
      </c>
      <c r="C2789" s="2" t="s">
        <v>569</v>
      </c>
      <c r="D2789" s="2" t="str">
        <f t="shared" si="42"/>
        <v>Error?</v>
      </c>
    </row>
    <row r="2790" spans="1:4" x14ac:dyDescent="0.2">
      <c r="A2790" s="5">
        <v>2729</v>
      </c>
      <c r="B2790" s="1831">
        <f>'Expenditures 15-22'!E102</f>
        <v>2460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31264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31264</v>
      </c>
      <c r="D2914" s="2" t="str">
        <f t="shared" si="44"/>
        <v>Error?</v>
      </c>
    </row>
    <row r="2915" spans="1:4" x14ac:dyDescent="0.2">
      <c r="A2915" s="10">
        <v>2854</v>
      </c>
      <c r="B2915" s="1831"/>
      <c r="D2915" s="2" t="str">
        <f t="shared" si="44"/>
        <v>OK</v>
      </c>
    </row>
    <row r="2916" spans="1:4" x14ac:dyDescent="0.2">
      <c r="A2916" s="5">
        <v>2855</v>
      </c>
      <c r="B2916" s="1831">
        <f>'Assets-Liab 5-6'!L34</f>
        <v>31264</v>
      </c>
      <c r="C2916" s="2" t="s">
        <v>569</v>
      </c>
      <c r="D2916" s="2" t="str">
        <f t="shared" si="44"/>
        <v>Error?</v>
      </c>
    </row>
    <row r="2917" spans="1:4" x14ac:dyDescent="0.2">
      <c r="A2917" s="5">
        <v>2856</v>
      </c>
      <c r="B2917" s="1831">
        <f>'Assets-Liab 5-6'!L41</f>
        <v>31264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2460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14951</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1454</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17411</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1454</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80124</v>
      </c>
      <c r="D3055" s="2" t="str">
        <f t="shared" si="46"/>
        <v>Error?</v>
      </c>
    </row>
    <row r="3056" spans="1:4" x14ac:dyDescent="0.2">
      <c r="A3056" s="5">
        <v>2995</v>
      </c>
      <c r="B3056" s="1831">
        <f>'Expenditures 15-22'!D10</f>
        <v>1282</v>
      </c>
      <c r="D3056" s="2" t="str">
        <f t="shared" si="46"/>
        <v>Error?</v>
      </c>
    </row>
    <row r="3057" spans="1:4" x14ac:dyDescent="0.2">
      <c r="A3057" s="5">
        <v>2996</v>
      </c>
      <c r="B3057" s="1831">
        <f>'Expenditures 15-22'!E10</f>
        <v>4583</v>
      </c>
      <c r="D3057" s="2" t="str">
        <f t="shared" si="46"/>
        <v>Error?</v>
      </c>
    </row>
    <row r="3058" spans="1:4" x14ac:dyDescent="0.2">
      <c r="A3058" s="5">
        <v>2997</v>
      </c>
      <c r="B3058" s="1831">
        <f>'Expenditures 15-22'!F10</f>
        <v>28156</v>
      </c>
      <c r="D3058" s="2" t="str">
        <f t="shared" si="46"/>
        <v>Error?</v>
      </c>
    </row>
    <row r="3059" spans="1:4" x14ac:dyDescent="0.2">
      <c r="A3059" s="5">
        <v>2998</v>
      </c>
      <c r="B3059" s="1831">
        <f>'Expenditures 15-22'!G10</f>
        <v>5007</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119152</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11141</v>
      </c>
      <c r="D3064" s="2" t="str">
        <f t="shared" si="46"/>
        <v>Error?</v>
      </c>
    </row>
    <row r="3065" spans="1:4" x14ac:dyDescent="0.2">
      <c r="A3065" s="5">
        <v>3004</v>
      </c>
      <c r="B3065" s="1831">
        <f>'Expenditures 15-22'!K219</f>
        <v>11141</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10622</v>
      </c>
      <c r="C3225" s="2" t="s">
        <v>569</v>
      </c>
      <c r="D3225" s="2" t="str">
        <f t="shared" si="49"/>
        <v>Error?</v>
      </c>
    </row>
    <row r="3226" spans="1:4" x14ac:dyDescent="0.2">
      <c r="A3226" s="5">
        <v>3165</v>
      </c>
      <c r="B3226" s="1831">
        <f>'Acct Summary 7-8'!I8</f>
        <v>10622</v>
      </c>
      <c r="C3226" s="2" t="s">
        <v>569</v>
      </c>
      <c r="D3226" s="2" t="str">
        <f t="shared" si="49"/>
        <v>Error?</v>
      </c>
    </row>
    <row r="3227" spans="1:4" x14ac:dyDescent="0.2">
      <c r="A3227" s="5">
        <v>3166</v>
      </c>
      <c r="B3227" s="1831">
        <f>'Acct Summary 7-8'!I20</f>
        <v>10622</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10622</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10622</v>
      </c>
      <c r="C3232" s="2" t="s">
        <v>569</v>
      </c>
      <c r="D3232" s="2" t="str">
        <f t="shared" si="49"/>
        <v>Error?</v>
      </c>
    </row>
    <row r="3233" spans="1:4" x14ac:dyDescent="0.2">
      <c r="A3233" s="5">
        <v>3172</v>
      </c>
      <c r="B3233" s="1831">
        <f>'Acct Summary 7-8'!C78</f>
        <v>97371</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-5762</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4861</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7664</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12711</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50003</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10622</v>
      </c>
      <c r="C3318" s="2" t="s">
        <v>569</v>
      </c>
      <c r="D3318" s="2" t="str">
        <f t="shared" si="50"/>
        <v>Error?</v>
      </c>
    </row>
    <row r="3319" spans="1:4" x14ac:dyDescent="0.2">
      <c r="A3319" s="5">
        <v>3258</v>
      </c>
      <c r="B3319" s="1831">
        <f>'Acct Summary 7-8'!I77</f>
        <v>-10622</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167830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17809</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1080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186719</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12713</v>
      </c>
      <c r="D3387" s="2" t="str">
        <f t="shared" si="51"/>
        <v>Error?</v>
      </c>
    </row>
    <row r="3388" spans="1:4" x14ac:dyDescent="0.2">
      <c r="A3388" s="5">
        <v>3327</v>
      </c>
      <c r="B3388" s="1831">
        <f>'Expenditures 15-22'!D217</f>
        <v>12557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12713</v>
      </c>
      <c r="C3390" s="2" t="s">
        <v>569</v>
      </c>
      <c r="D3390" s="2" t="str">
        <f t="shared" si="51"/>
        <v>Error?</v>
      </c>
    </row>
    <row r="3391" spans="1:4" x14ac:dyDescent="0.2">
      <c r="A3391" s="5">
        <v>3330</v>
      </c>
      <c r="B3391" s="1831">
        <f>'Expenditures 15-22'!K217</f>
        <v>12557</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1173142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20707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14080</v>
      </c>
      <c r="D3417" s="2" t="str">
        <f t="shared" si="52"/>
        <v>Error?</v>
      </c>
    </row>
    <row r="3418" spans="1:4" x14ac:dyDescent="0.2">
      <c r="A3418" s="10">
        <v>3357</v>
      </c>
      <c r="B3418" s="1831"/>
      <c r="D3418" s="2" t="str">
        <f t="shared" si="52"/>
        <v>OK</v>
      </c>
    </row>
    <row r="3419" spans="1:4" x14ac:dyDescent="0.2">
      <c r="A3419" s="5">
        <v>3358</v>
      </c>
      <c r="B3419" s="1831">
        <f>'Assets-Liab 5-6'!F4</f>
        <v>49132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34149</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50024</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31264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2984</v>
      </c>
      <c r="C3446" s="2" t="s">
        <v>569</v>
      </c>
      <c r="D3446" s="2" t="str">
        <f t="shared" si="52"/>
        <v>Error?</v>
      </c>
    </row>
    <row r="3447" spans="1:4" x14ac:dyDescent="0.2">
      <c r="A3447" s="5">
        <v>3386</v>
      </c>
      <c r="B3447" s="1831">
        <f>'Tax Sched 23'!D16</f>
        <v>2984</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7502</v>
      </c>
      <c r="C3449" s="2" t="s">
        <v>569</v>
      </c>
      <c r="D3449" s="2" t="str">
        <f t="shared" si="52"/>
        <v>Error?</v>
      </c>
    </row>
    <row r="3450" spans="1:4" x14ac:dyDescent="0.2">
      <c r="A3450" s="5">
        <v>3389</v>
      </c>
      <c r="B3450" s="1831">
        <f>'Tax Sched 23'!E16</f>
        <v>7502</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35577</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35577</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35577</v>
      </c>
      <c r="D3567" s="2" t="str">
        <f t="shared" si="54"/>
        <v>Error?</v>
      </c>
    </row>
    <row r="3568" spans="1:4" x14ac:dyDescent="0.2">
      <c r="A3568" s="5">
        <v>3507</v>
      </c>
      <c r="B3568" s="1831">
        <f>'Assets-Liab 5-6'!K41</f>
        <v>35577</v>
      </c>
      <c r="C3568" s="2" t="s">
        <v>569</v>
      </c>
      <c r="D3568" s="2" t="str">
        <f t="shared" si="54"/>
        <v>Error?</v>
      </c>
    </row>
    <row r="3569" spans="1:4" x14ac:dyDescent="0.2">
      <c r="A3569" s="5">
        <v>3508</v>
      </c>
      <c r="B3569" s="1831">
        <f>'Acct Summary 7-8'!K4</f>
        <v>11493</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11493</v>
      </c>
      <c r="C3571" s="2" t="s">
        <v>569</v>
      </c>
      <c r="D3571" s="2" t="str">
        <f t="shared" si="54"/>
        <v>Error?</v>
      </c>
    </row>
    <row r="3572" spans="1:4" x14ac:dyDescent="0.2">
      <c r="A3572" s="5">
        <v>3511</v>
      </c>
      <c r="B3572" s="1831">
        <f>'Acct Summary 7-8'!K13</f>
        <v>30304</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30304</v>
      </c>
      <c r="C3575" s="2" t="s">
        <v>569</v>
      </c>
      <c r="D3575" s="2" t="str">
        <f t="shared" si="54"/>
        <v>Error?</v>
      </c>
    </row>
    <row r="3576" spans="1:4" x14ac:dyDescent="0.2">
      <c r="A3576" s="5">
        <v>3515</v>
      </c>
      <c r="B3576" s="1831">
        <f>'Acct Summary 7-8'!K20</f>
        <v>-18811</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-18811</v>
      </c>
      <c r="C3588" s="2" t="s">
        <v>569</v>
      </c>
      <c r="D3588" s="2" t="str">
        <f t="shared" si="55"/>
        <v>Error?</v>
      </c>
    </row>
    <row r="3589" spans="1:4" x14ac:dyDescent="0.2">
      <c r="A3589" s="5">
        <v>3528</v>
      </c>
      <c r="B3589" s="1831">
        <f>'Acct Summary 7-8'!K79</f>
        <v>54388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35577</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135</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135</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135</v>
      </c>
      <c r="C3642" s="2" t="s">
        <v>569</v>
      </c>
      <c r="D3642" s="2" t="str">
        <f t="shared" si="55"/>
        <v>Error?</v>
      </c>
    </row>
    <row r="3643" spans="1:4" x14ac:dyDescent="0.2">
      <c r="A3643" s="5">
        <v>3582</v>
      </c>
      <c r="B3643" s="1831">
        <f>'Expenditures 15-22'!F367</f>
        <v>135</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30169</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30169</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30169</v>
      </c>
      <c r="C3649" s="2" t="s">
        <v>569</v>
      </c>
      <c r="D3649" s="2" t="str">
        <f t="shared" si="56"/>
        <v>Error?</v>
      </c>
    </row>
    <row r="3650" spans="1:4" x14ac:dyDescent="0.2">
      <c r="A3650" s="5">
        <v>3589</v>
      </c>
      <c r="B3650" s="1831">
        <f>'Expenditures 15-22'!G367</f>
        <v>30169</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30304</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30304</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30304</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30304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-18811</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69292</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670900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2173381</v>
      </c>
      <c r="C4122" s="2" t="s">
        <v>569</v>
      </c>
      <c r="D4122" s="2" t="str">
        <f t="shared" si="63"/>
        <v>Error?</v>
      </c>
    </row>
    <row r="4123" spans="1:4" x14ac:dyDescent="0.2">
      <c r="A4123" s="5">
        <v>4062</v>
      </c>
      <c r="B4123" s="1831">
        <f>'Acct Summary 7-8'!D10</f>
        <v>90355</v>
      </c>
      <c r="C4123" s="2" t="s">
        <v>569</v>
      </c>
      <c r="D4123" s="2" t="str">
        <f t="shared" si="63"/>
        <v>Error?</v>
      </c>
    </row>
    <row r="4124" spans="1:4" x14ac:dyDescent="0.2">
      <c r="A4124" s="5">
        <v>4063</v>
      </c>
      <c r="B4124" s="1831">
        <f>'Acct Summary 7-8'!E10</f>
        <v>36146</v>
      </c>
      <c r="C4124" s="2" t="s">
        <v>569</v>
      </c>
      <c r="D4124" s="2" t="str">
        <f t="shared" si="63"/>
        <v>Error?</v>
      </c>
    </row>
    <row r="4125" spans="1:4" x14ac:dyDescent="0.2">
      <c r="A4125" s="5">
        <v>4064</v>
      </c>
      <c r="B4125" s="1831">
        <f>'Acct Summary 7-8'!F10</f>
        <v>62007</v>
      </c>
      <c r="C4125" s="2" t="s">
        <v>569</v>
      </c>
      <c r="D4125" s="2" t="str">
        <f t="shared" si="63"/>
        <v>Error?</v>
      </c>
    </row>
    <row r="4126" spans="1:4" x14ac:dyDescent="0.2">
      <c r="A4126" s="5">
        <v>4065</v>
      </c>
      <c r="B4126" s="1831">
        <f>'Acct Summary 7-8'!G10</f>
        <v>75407</v>
      </c>
      <c r="C4126" s="2" t="s">
        <v>569</v>
      </c>
      <c r="D4126" s="2" t="str">
        <f t="shared" si="63"/>
        <v>Error?</v>
      </c>
    </row>
    <row r="4127" spans="1:4" x14ac:dyDescent="0.2">
      <c r="A4127" s="5">
        <v>4066</v>
      </c>
      <c r="B4127" s="1831">
        <f>'Acct Summary 7-8'!H10</f>
        <v>133671</v>
      </c>
      <c r="C4127" s="2" t="s">
        <v>569</v>
      </c>
      <c r="D4127" s="2" t="str">
        <f t="shared" si="63"/>
        <v>Error?</v>
      </c>
    </row>
    <row r="4128" spans="1:4" x14ac:dyDescent="0.2">
      <c r="A4128" s="5">
        <v>4067</v>
      </c>
      <c r="B4128" s="1831">
        <f>'Acct Summary 7-8'!I10</f>
        <v>10622</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11493</v>
      </c>
      <c r="C4130" s="2" t="s">
        <v>569</v>
      </c>
      <c r="D4130" s="2" t="str">
        <f t="shared" si="63"/>
        <v>Error?</v>
      </c>
    </row>
    <row r="4131" spans="1:4" x14ac:dyDescent="0.2">
      <c r="A4131" s="5">
        <v>4070</v>
      </c>
      <c r="B4131" s="1831">
        <f>'Acct Summary 7-8'!C18</f>
        <v>670900</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2086632</v>
      </c>
      <c r="C4136" s="2" t="s">
        <v>569</v>
      </c>
      <c r="D4136" s="2" t="str">
        <f t="shared" si="63"/>
        <v>Error?</v>
      </c>
    </row>
    <row r="4137" spans="1:4" x14ac:dyDescent="0.2">
      <c r="A4137" s="5">
        <v>4076</v>
      </c>
      <c r="B4137" s="1831">
        <f>'Acct Summary 7-8'!D19</f>
        <v>96117</v>
      </c>
      <c r="C4137" s="2" t="s">
        <v>569</v>
      </c>
      <c r="D4137" s="2" t="str">
        <f t="shared" si="63"/>
        <v>Error?</v>
      </c>
    </row>
    <row r="4138" spans="1:4" x14ac:dyDescent="0.2">
      <c r="A4138" s="5">
        <v>4077</v>
      </c>
      <c r="B4138" s="1831">
        <f>'Acct Summary 7-8'!E19</f>
        <v>23435</v>
      </c>
      <c r="C4138" s="2" t="s">
        <v>569</v>
      </c>
      <c r="D4138" s="2" t="str">
        <f t="shared" si="63"/>
        <v>Error?</v>
      </c>
    </row>
    <row r="4139" spans="1:4" x14ac:dyDescent="0.2">
      <c r="A4139" s="5">
        <v>4078</v>
      </c>
      <c r="B4139" s="1831">
        <f>'Acct Summary 7-8'!F19</f>
        <v>57146</v>
      </c>
      <c r="C4139" s="2" t="s">
        <v>569</v>
      </c>
      <c r="D4139" s="2" t="str">
        <f t="shared" si="63"/>
        <v>Error?</v>
      </c>
    </row>
    <row r="4140" spans="1:4" x14ac:dyDescent="0.2">
      <c r="A4140" s="5">
        <v>4079</v>
      </c>
      <c r="B4140" s="1831">
        <f>'Acct Summary 7-8'!G19</f>
        <v>67743</v>
      </c>
      <c r="C4140" s="2" t="s">
        <v>569</v>
      </c>
      <c r="D4140" s="2" t="str">
        <f t="shared" si="63"/>
        <v>Error?</v>
      </c>
    </row>
    <row r="4141" spans="1:4" x14ac:dyDescent="0.2">
      <c r="A4141" s="5">
        <v>4080</v>
      </c>
      <c r="B4141" s="1831">
        <f>'Acct Summary 7-8'!H19</f>
        <v>83668</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30304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125000</v>
      </c>
      <c r="C4171" s="2" t="s">
        <v>569</v>
      </c>
      <c r="D4171" s="2" t="str">
        <f t="shared" si="64"/>
        <v>Error?</v>
      </c>
    </row>
    <row r="4172" spans="1:4" x14ac:dyDescent="0.2">
      <c r="A4172" s="5">
        <v>4111</v>
      </c>
      <c r="B4172" s="1831">
        <f>'Short-Term Long-Term Debt 24'!J49</f>
        <v>110920</v>
      </c>
      <c r="C4172" s="2" t="s">
        <v>569</v>
      </c>
      <c r="D4172" s="2" t="str">
        <f t="shared" si="64"/>
        <v>Error?</v>
      </c>
    </row>
    <row r="4173" spans="1:4" x14ac:dyDescent="0.2">
      <c r="A4173" s="5">
        <v>4112</v>
      </c>
      <c r="B4173" s="1831">
        <f>'Short-Term Long-Term Debt 24'!H49</f>
        <v>15000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1427.46</v>
      </c>
      <c r="C4265" s="2" t="s">
        <v>569</v>
      </c>
      <c r="D4265" s="2" t="str">
        <f t="shared" si="65"/>
        <v>Error?</v>
      </c>
      <c r="E4265" s="125"/>
    </row>
    <row r="4266" spans="1:5" x14ac:dyDescent="0.2">
      <c r="A4266" s="12">
        <v>4205</v>
      </c>
      <c r="B4266" s="1831">
        <f>('FP Info 3'!F10)*100000</f>
        <v>303.77999999999997</v>
      </c>
      <c r="C4266" s="2" t="s">
        <v>569</v>
      </c>
      <c r="D4266" s="2" t="str">
        <f t="shared" si="65"/>
        <v>Error?</v>
      </c>
      <c r="E4266" s="125"/>
    </row>
    <row r="4267" spans="1:5" x14ac:dyDescent="0.2">
      <c r="A4267" s="12">
        <v>4206</v>
      </c>
      <c r="B4267" s="1831">
        <f>('FP Info 3'!H10)*100000</f>
        <v>142.96</v>
      </c>
      <c r="C4267" s="2" t="s">
        <v>569</v>
      </c>
      <c r="D4267" s="2" t="str">
        <f t="shared" si="65"/>
        <v>Error?</v>
      </c>
      <c r="E4267" s="125"/>
    </row>
    <row r="4268" spans="1:5" x14ac:dyDescent="0.2">
      <c r="A4268" s="12">
        <v>4207</v>
      </c>
      <c r="B4268" s="1831">
        <f>('FP Info 3'!J10)*100000</f>
        <v>1874</v>
      </c>
      <c r="C4268" s="2" t="s">
        <v>569</v>
      </c>
      <c r="D4268" s="2" t="str">
        <f t="shared" si="65"/>
        <v>Error?</v>
      </c>
    </row>
    <row r="4269" spans="1:5" x14ac:dyDescent="0.2">
      <c r="A4269" s="12">
        <v>4208</v>
      </c>
      <c r="B4269" s="1831">
        <f>'FP Info 3'!J16</f>
        <v>1242981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3290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24756</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2023</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8623</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49.14</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9000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12386</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1189</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13421</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22384929</v>
      </c>
      <c r="D4995" s="2" t="str">
        <f t="shared" si="77"/>
        <v>Error?</v>
      </c>
    </row>
    <row r="4996" spans="1:4" x14ac:dyDescent="0.2">
      <c r="A4996" s="12">
        <v>4935</v>
      </c>
      <c r="B4996" s="1831">
        <f>'FP Info 3'!H31</f>
        <v>1544560.101</v>
      </c>
      <c r="D4996" s="2" t="str">
        <f t="shared" si="77"/>
        <v>Error?</v>
      </c>
    </row>
    <row r="4997" spans="1:4" x14ac:dyDescent="0.2">
      <c r="A4997" s="12">
        <v>4936</v>
      </c>
      <c r="B4997" s="1831">
        <f>'FP Info 3'!H37</f>
        <v>125000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306190</v>
      </c>
      <c r="D5061" s="2" t="str">
        <f t="shared" si="78"/>
        <v>Error?</v>
      </c>
    </row>
    <row r="5062" spans="1:4" x14ac:dyDescent="0.2">
      <c r="A5062" s="10">
        <v>5001</v>
      </c>
      <c r="B5062" s="1831"/>
      <c r="D5062" s="2" t="str">
        <f t="shared" si="78"/>
        <v>OK</v>
      </c>
    </row>
    <row r="5063" spans="1:4" x14ac:dyDescent="0.2">
      <c r="A5063" s="5">
        <v>5002</v>
      </c>
      <c r="B5063" s="1831">
        <f>'Revenues 9-14'!C7</f>
        <v>4771</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310961</v>
      </c>
      <c r="C5066" s="2" t="s">
        <v>569</v>
      </c>
      <c r="D5066" s="2" t="str">
        <f t="shared" si="78"/>
        <v>Error?</v>
      </c>
    </row>
    <row r="5067" spans="1:4" x14ac:dyDescent="0.2">
      <c r="A5067" s="5">
        <v>5006</v>
      </c>
      <c r="B5067" s="1831">
        <f>'Revenues 9-14'!C14</f>
        <v>2580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121193</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123773</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15320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15320</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261</v>
      </c>
      <c r="D5093" s="2" t="str">
        <f t="shared" si="78"/>
        <v>Error?</v>
      </c>
    </row>
    <row r="5094" spans="1:4" x14ac:dyDescent="0.2">
      <c r="A5094" s="5">
        <v>5033</v>
      </c>
      <c r="B5094" s="1831">
        <f>'Revenues 9-14'!C73</f>
        <v>1150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1427</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1315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1315</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273</v>
      </c>
      <c r="D5118" s="2" t="str">
        <f t="shared" si="78"/>
        <v>Error?</v>
      </c>
    </row>
    <row r="5119" spans="1:4" x14ac:dyDescent="0.2">
      <c r="A5119" s="5">
        <v>5058</v>
      </c>
      <c r="B5119" s="1831">
        <f>'Revenues 9-14'!C107</f>
        <v>2835</v>
      </c>
      <c r="D5119" s="2" t="str">
        <f t="shared" ref="D5119:D5182" si="79">IF(ISBLANK(B5119),"OK",IF(A5119-B5119=0,"OK","Error?"))</f>
        <v>Error?</v>
      </c>
    </row>
    <row r="5120" spans="1:4" x14ac:dyDescent="0.2">
      <c r="A5120" s="5">
        <v>5059</v>
      </c>
      <c r="B5120" s="1831">
        <f>'Revenues 9-14'!C108</f>
        <v>12108</v>
      </c>
      <c r="C5120" s="2" t="s">
        <v>569</v>
      </c>
      <c r="D5120" s="2" t="str">
        <f t="shared" si="79"/>
        <v>Error?</v>
      </c>
    </row>
    <row r="5121" spans="1:4" x14ac:dyDescent="0.2">
      <c r="A5121" s="5">
        <v>5060</v>
      </c>
      <c r="B5121" s="1831">
        <f>'Revenues 9-14'!C109</f>
        <v>464904</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691410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691410</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6143</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6143</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1772</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20301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711711</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13421</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73801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36203</v>
      </c>
      <c r="D5241" s="2" t="str">
        <f t="shared" si="80"/>
        <v>Error?</v>
      </c>
    </row>
    <row r="5242" spans="1:4" x14ac:dyDescent="0.2">
      <c r="A5242" s="5">
        <v>5181</v>
      </c>
      <c r="B5242" s="1831">
        <f>'Revenues 9-14'!C194</f>
        <v>21684</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137737</v>
      </c>
      <c r="C5246" s="2" t="s">
        <v>569</v>
      </c>
      <c r="D5246" s="2" t="str">
        <f t="shared" si="80"/>
        <v>Error?</v>
      </c>
    </row>
    <row r="5247" spans="1:4" x14ac:dyDescent="0.2">
      <c r="A5247" s="5">
        <v>5186</v>
      </c>
      <c r="B5247" s="1831">
        <f>'Revenues 9-14'!C200</f>
        <v>110349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2023</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110349</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13228</v>
      </c>
      <c r="D5278" s="2" t="str">
        <f t="shared" si="81"/>
        <v>Error?</v>
      </c>
    </row>
    <row r="5279" spans="1:4" x14ac:dyDescent="0.2">
      <c r="A5279" s="5">
        <v>5218</v>
      </c>
      <c r="B5279" s="1831">
        <f>'Revenues 9-14'!C214</f>
        <v>12439</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25667</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312445</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325866</v>
      </c>
      <c r="C5326" s="2" t="s">
        <v>569</v>
      </c>
      <c r="D5326" s="2" t="str">
        <f t="shared" si="82"/>
        <v>Error?</v>
      </c>
    </row>
    <row r="5327" spans="1:5" x14ac:dyDescent="0.2">
      <c r="A5327" s="5">
        <v>5266</v>
      </c>
      <c r="B5327" s="1831">
        <f>'Revenues 9-14'!C268</f>
        <v>1502481</v>
      </c>
      <c r="C5327" s="2" t="s">
        <v>569</v>
      </c>
      <c r="D5327" s="2" t="str">
        <f t="shared" si="82"/>
        <v>Error?</v>
      </c>
    </row>
    <row r="5328" spans="1:5" x14ac:dyDescent="0.2">
      <c r="A5328" s="5">
        <v>5267</v>
      </c>
      <c r="B5328" s="1831">
        <f>'Revenues 9-14'!D5</f>
        <v>63624</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63624</v>
      </c>
      <c r="C5334" s="2" t="s">
        <v>569</v>
      </c>
      <c r="D5334" s="2" t="str">
        <f t="shared" si="82"/>
        <v>Error?</v>
      </c>
    </row>
    <row r="5335" spans="1:4" x14ac:dyDescent="0.2">
      <c r="A5335" s="5">
        <v>5274</v>
      </c>
      <c r="B5335" s="1831">
        <f>'Revenues 9-14'!D14</f>
        <v>528</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528</v>
      </c>
      <c r="C5339" s="2" t="s">
        <v>569</v>
      </c>
      <c r="D5339" s="2" t="str">
        <f t="shared" si="82"/>
        <v>Error?</v>
      </c>
    </row>
    <row r="5340" spans="1:4" x14ac:dyDescent="0.2">
      <c r="A5340" s="5">
        <v>5279</v>
      </c>
      <c r="B5340" s="1831">
        <f>'Revenues 9-14'!D65</f>
        <v>562</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562</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890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3650</v>
      </c>
      <c r="D5353" s="2" t="str">
        <f t="shared" si="82"/>
        <v>Error?</v>
      </c>
    </row>
    <row r="5354" spans="1:4" x14ac:dyDescent="0.2">
      <c r="A5354" s="5">
        <v>5293</v>
      </c>
      <c r="B5354" s="1831">
        <f>'Revenues 9-14'!D107</f>
        <v>6101</v>
      </c>
      <c r="D5354" s="2" t="str">
        <f t="shared" si="82"/>
        <v>Error?</v>
      </c>
    </row>
    <row r="5355" spans="1:4" x14ac:dyDescent="0.2">
      <c r="A5355" s="5">
        <v>5294</v>
      </c>
      <c r="B5355" s="1831">
        <f>'Revenues 9-14'!D108</f>
        <v>10641</v>
      </c>
      <c r="C5355" s="2" t="s">
        <v>569</v>
      </c>
      <c r="D5355" s="2" t="str">
        <f t="shared" si="82"/>
        <v>Error?</v>
      </c>
    </row>
    <row r="5356" spans="1:4" x14ac:dyDescent="0.2">
      <c r="A5356" s="5">
        <v>5295</v>
      </c>
      <c r="B5356" s="1831">
        <f>'Revenues 9-14'!D109</f>
        <v>75355</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15000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15000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15000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90355</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211</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211</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211</v>
      </c>
      <c r="C5527" s="2" t="s">
        <v>569</v>
      </c>
      <c r="D5527" s="2" t="str">
        <f t="shared" si="85"/>
        <v>Error?</v>
      </c>
    </row>
    <row r="5528" spans="1:4" x14ac:dyDescent="0.2">
      <c r="A5528" s="5">
        <v>5467</v>
      </c>
      <c r="B5528" s="1831">
        <f>'Revenues 9-14'!E117</f>
        <v>35935</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35935</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35935</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36146</v>
      </c>
      <c r="C5552" s="2" t="s">
        <v>569</v>
      </c>
      <c r="D5552" s="2" t="str">
        <f t="shared" si="85"/>
        <v>Error?</v>
      </c>
    </row>
    <row r="5553" spans="1:4" x14ac:dyDescent="0.2">
      <c r="A5553" s="5">
        <v>5492</v>
      </c>
      <c r="B5553" s="1831">
        <f>'Revenues 9-14'!F5</f>
        <v>29326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29326</v>
      </c>
      <c r="C5557" s="2" t="s">
        <v>569</v>
      </c>
      <c r="D5557" s="2" t="str">
        <f t="shared" si="85"/>
        <v>Error?</v>
      </c>
    </row>
    <row r="5558" spans="1:4" x14ac:dyDescent="0.2">
      <c r="A5558" s="5">
        <v>5497</v>
      </c>
      <c r="B5558" s="1831">
        <f>'Revenues 9-14'!F14</f>
        <v>243</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243</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579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579</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30148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10000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10000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18755</v>
      </c>
      <c r="D5615" s="2" t="str">
        <f t="shared" si="86"/>
        <v>Error?</v>
      </c>
    </row>
    <row r="5616" spans="1:4" x14ac:dyDescent="0.2">
      <c r="A5616" s="10">
        <v>5555</v>
      </c>
      <c r="B5616" s="1831"/>
      <c r="D5616" s="2" t="str">
        <f t="shared" si="86"/>
        <v>OK</v>
      </c>
    </row>
    <row r="5617" spans="1:5" x14ac:dyDescent="0.2">
      <c r="A5617" s="5">
        <v>5556</v>
      </c>
      <c r="B5617" s="1831">
        <f>'Revenues 9-14'!F153</f>
        <v>3104</v>
      </c>
      <c r="D5617" s="2" t="str">
        <f t="shared" si="86"/>
        <v>Error?</v>
      </c>
    </row>
    <row r="5618" spans="1:5" x14ac:dyDescent="0.2">
      <c r="A5618" s="5">
        <v>5557</v>
      </c>
      <c r="B5618" s="1831">
        <f>'Revenues 9-14'!F155</f>
        <v>21859</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21859</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31859</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62007</v>
      </c>
      <c r="C5720" s="2" t="s">
        <v>569</v>
      </c>
      <c r="D5720" s="2" t="str">
        <f t="shared" si="88"/>
        <v>Error?</v>
      </c>
    </row>
    <row r="5721" spans="1:4" x14ac:dyDescent="0.2">
      <c r="A5721" s="5">
        <v>5660</v>
      </c>
      <c r="B5721" s="1831">
        <f>'Revenues 9-14'!G5</f>
        <v>29326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2984</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32310</v>
      </c>
      <c r="C5725" s="2" t="s">
        <v>569</v>
      </c>
      <c r="D5725" s="2" t="str">
        <f t="shared" si="88"/>
        <v>Error?</v>
      </c>
    </row>
    <row r="5726" spans="1:4" x14ac:dyDescent="0.2">
      <c r="A5726" s="5">
        <v>5665</v>
      </c>
      <c r="B5726" s="1831">
        <f>'Revenues 9-14'!G14</f>
        <v>268</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32181</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32449</v>
      </c>
      <c r="C5730" s="2" t="s">
        <v>569</v>
      </c>
      <c r="D5730" s="2" t="str">
        <f t="shared" si="88"/>
        <v>Error?</v>
      </c>
    </row>
    <row r="5731" spans="1:4" x14ac:dyDescent="0.2">
      <c r="A5731" s="5">
        <v>5670</v>
      </c>
      <c r="B5731" s="1831">
        <f>'Revenues 9-14'!G65</f>
        <v>703</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703</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1189</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1189</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8756</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8756</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8756</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8756</v>
      </c>
      <c r="C5869" s="2" t="s">
        <v>569</v>
      </c>
      <c r="D5869" s="2" t="str">
        <f t="shared" si="90"/>
        <v>Error?</v>
      </c>
    </row>
    <row r="5870" spans="1:4" x14ac:dyDescent="0.2">
      <c r="A5870" s="5">
        <v>5809</v>
      </c>
      <c r="B5870" s="1831">
        <f>'Revenues 9-14'!G268</f>
        <v>75407</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19</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19</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83652</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50000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133652</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133671</v>
      </c>
      <c r="C5915" s="2" t="s">
        <v>569</v>
      </c>
      <c r="D5915" s="2" t="str">
        <f t="shared" si="91"/>
        <v>Error?</v>
      </c>
    </row>
    <row r="5916" spans="1:4" x14ac:dyDescent="0.2">
      <c r="A5916" s="5">
        <v>5855</v>
      </c>
      <c r="B5916" s="1831">
        <f>'Revenues 9-14'!I5</f>
        <v>10440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10440</v>
      </c>
      <c r="C5918" s="2" t="s">
        <v>569</v>
      </c>
      <c r="D5918" s="2" t="str">
        <f t="shared" si="91"/>
        <v>Error?</v>
      </c>
    </row>
    <row r="5919" spans="1:4" x14ac:dyDescent="0.2">
      <c r="A5919" s="5">
        <v>5858</v>
      </c>
      <c r="B5919" s="1831">
        <f>'Revenues 9-14'!I14</f>
        <v>87</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87</v>
      </c>
      <c r="C5923" s="2" t="s">
        <v>569</v>
      </c>
      <c r="D5923" s="2" t="str">
        <f t="shared" si="91"/>
        <v>Error?</v>
      </c>
    </row>
    <row r="5924" spans="1:4" x14ac:dyDescent="0.2">
      <c r="A5924" s="5">
        <v>5863</v>
      </c>
      <c r="B5924" s="1831">
        <f>'Revenues 9-14'!I65</f>
        <v>95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95</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10622</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10936</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10936</v>
      </c>
      <c r="C5987" s="2" t="s">
        <v>569</v>
      </c>
      <c r="D5987" s="2" t="str">
        <f t="shared" si="92"/>
        <v>Error?</v>
      </c>
    </row>
    <row r="5988" spans="1:4" x14ac:dyDescent="0.2">
      <c r="A5988" s="5">
        <v>5927</v>
      </c>
      <c r="B5988" s="1831">
        <f>'Revenues 9-14'!K14</f>
        <v>91</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91</v>
      </c>
      <c r="C5992" s="2" t="s">
        <v>569</v>
      </c>
      <c r="D5992" s="2" t="str">
        <f t="shared" si="92"/>
        <v>Error?</v>
      </c>
    </row>
    <row r="5993" spans="1:4" x14ac:dyDescent="0.2">
      <c r="A5993" s="5">
        <v>5932</v>
      </c>
      <c r="B5993" s="1831">
        <f>'Revenues 9-14'!K65</f>
        <v>466</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466</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11493</v>
      </c>
      <c r="C6023" s="2" t="s">
        <v>569</v>
      </c>
      <c r="D6023" s="2" t="str">
        <f t="shared" si="93"/>
        <v>Error?</v>
      </c>
    </row>
    <row r="6024" spans="1:5" x14ac:dyDescent="0.2">
      <c r="A6024" s="5">
        <v>5963</v>
      </c>
      <c r="B6024" s="1831">
        <f>'Revenues 9-14'!G109</f>
        <v>65462</v>
      </c>
      <c r="C6024" s="2" t="s">
        <v>569</v>
      </c>
      <c r="D6024" s="2" t="str">
        <f t="shared" si="93"/>
        <v>Error?</v>
      </c>
    </row>
    <row r="6025" spans="1:5" x14ac:dyDescent="0.2">
      <c r="A6025" s="5">
        <v>5964</v>
      </c>
      <c r="B6025" s="1831">
        <f>'Revenues 9-14'!H109</f>
        <v>19</v>
      </c>
      <c r="C6025" s="2" t="s">
        <v>569</v>
      </c>
      <c r="D6025" s="2" t="str">
        <f t="shared" si="93"/>
        <v>Error?</v>
      </c>
    </row>
    <row r="6026" spans="1:5" x14ac:dyDescent="0.2">
      <c r="A6026" s="5">
        <v>5965</v>
      </c>
      <c r="B6026" s="1831">
        <f>'Revenues 9-14'!I109</f>
        <v>10622</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11493</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16</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9704</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179.6</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39333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39333</v>
      </c>
      <c r="D6215" s="2" t="str">
        <f t="shared" si="96"/>
        <v>Error?</v>
      </c>
      <c r="E6215" s="2" t="s">
        <v>189</v>
      </c>
    </row>
    <row r="6216" spans="1:5" x14ac:dyDescent="0.2">
      <c r="A6216">
        <v>6155</v>
      </c>
      <c r="B6216" s="1831">
        <f>'Assets-Liab 5-6'!J41</f>
        <v>39333</v>
      </c>
      <c r="D6216" s="2" t="str">
        <f t="shared" si="96"/>
        <v>Error?</v>
      </c>
      <c r="E6216" s="2" t="s">
        <v>189</v>
      </c>
    </row>
    <row r="6217" spans="1:5" x14ac:dyDescent="0.2">
      <c r="A6217">
        <v>6156</v>
      </c>
      <c r="B6217" s="1831">
        <f>'Assets-Liab 5-6'!J4</f>
        <v>39333</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117335</v>
      </c>
      <c r="D6220" s="2" t="str">
        <f t="shared" si="96"/>
        <v>Error?</v>
      </c>
      <c r="E6220" s="2" t="s">
        <v>189</v>
      </c>
    </row>
    <row r="6221" spans="1:5" x14ac:dyDescent="0.2">
      <c r="A6221">
        <v>6160</v>
      </c>
      <c r="B6221" s="1831">
        <f>'Acct Summary 7-8'!J6</f>
        <v>10000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127335</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127335</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137233</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137233</v>
      </c>
      <c r="D6229" s="2" t="str">
        <f t="shared" si="96"/>
        <v>Error?</v>
      </c>
      <c r="E6229" s="2" t="s">
        <v>189</v>
      </c>
    </row>
    <row r="6230" spans="1:5" x14ac:dyDescent="0.2">
      <c r="A6230">
        <v>6169</v>
      </c>
      <c r="B6230" s="1831">
        <f>'Acct Summary 7-8'!J20</f>
        <v>-9898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-9898</v>
      </c>
      <c r="D6263" s="2" t="str">
        <f t="shared" si="96"/>
        <v>Error?</v>
      </c>
      <c r="E6263" s="2" t="s">
        <v>189</v>
      </c>
    </row>
    <row r="6264" spans="1:5" x14ac:dyDescent="0.2">
      <c r="A6264">
        <v>6203</v>
      </c>
      <c r="B6264" s="1831">
        <f>'Acct Summary 7-8'!J79</f>
        <v>49231</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39333</v>
      </c>
      <c r="D6266" s="2" t="str">
        <f t="shared" si="96"/>
        <v>Error?</v>
      </c>
      <c r="E6266" s="2" t="s">
        <v>189</v>
      </c>
    </row>
    <row r="6267" spans="1:5" x14ac:dyDescent="0.2">
      <c r="A6267">
        <v>6206</v>
      </c>
      <c r="B6267" s="1831">
        <f>'Acct Summary 7-8'!C82</f>
        <v>97371</v>
      </c>
      <c r="D6267" s="2" t="str">
        <f t="shared" si="96"/>
        <v>Error?</v>
      </c>
      <c r="E6267" s="2" t="s">
        <v>189</v>
      </c>
    </row>
    <row r="6268" spans="1:5" x14ac:dyDescent="0.2">
      <c r="A6268">
        <v>6207</v>
      </c>
      <c r="B6268" s="1831">
        <f>'Acct Summary 7-8'!D82</f>
        <v>-5762</v>
      </c>
      <c r="D6268" s="2" t="str">
        <f t="shared" si="96"/>
        <v>Error?</v>
      </c>
      <c r="E6268" s="2" t="s">
        <v>189</v>
      </c>
    </row>
    <row r="6269" spans="1:5" x14ac:dyDescent="0.2">
      <c r="A6269">
        <v>6208</v>
      </c>
      <c r="B6269" s="1831">
        <f>'Acct Summary 7-8'!E82</f>
        <v>12711</v>
      </c>
      <c r="D6269" s="2" t="str">
        <f t="shared" si="96"/>
        <v>Error?</v>
      </c>
      <c r="E6269" s="2" t="s">
        <v>189</v>
      </c>
    </row>
    <row r="6270" spans="1:5" x14ac:dyDescent="0.2">
      <c r="A6270">
        <v>6209</v>
      </c>
      <c r="B6270" s="1831">
        <f>'Acct Summary 7-8'!F82</f>
        <v>4861</v>
      </c>
      <c r="D6270" s="2" t="str">
        <f t="shared" si="96"/>
        <v>Error?</v>
      </c>
      <c r="E6270" s="2" t="s">
        <v>189</v>
      </c>
    </row>
    <row r="6271" spans="1:5" x14ac:dyDescent="0.2">
      <c r="A6271">
        <v>6210</v>
      </c>
      <c r="B6271" s="1831">
        <f>'Acct Summary 7-8'!G82</f>
        <v>7664</v>
      </c>
      <c r="D6271" s="2" t="str">
        <f t="shared" ref="D6271:D6334" si="97">IF(ISBLANK(B6271),"OK",IF(A6271-B6271=0,"OK","Error?"))</f>
        <v>Error?</v>
      </c>
      <c r="E6271" s="2" t="s">
        <v>189</v>
      </c>
    </row>
    <row r="6272" spans="1:5" x14ac:dyDescent="0.2">
      <c r="A6272">
        <v>6211</v>
      </c>
      <c r="B6272" s="1831">
        <f>'Acct Summary 7-8'!H82</f>
        <v>50003</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-9898</v>
      </c>
      <c r="D6274" s="2" t="str">
        <f t="shared" si="97"/>
        <v>Error?</v>
      </c>
      <c r="E6274" s="2" t="s">
        <v>189</v>
      </c>
    </row>
    <row r="6275" spans="1:5" x14ac:dyDescent="0.2">
      <c r="A6275">
        <v>6214</v>
      </c>
      <c r="B6275" s="1831">
        <f>'Acct Summary 7-8'!K82</f>
        <v>-18811</v>
      </c>
      <c r="D6275" s="2" t="str">
        <f t="shared" si="97"/>
        <v>Error?</v>
      </c>
      <c r="E6275" s="2" t="s">
        <v>189</v>
      </c>
    </row>
    <row r="6276" spans="1:5" x14ac:dyDescent="0.2">
      <c r="A6276">
        <v>6215</v>
      </c>
      <c r="B6276" s="1831">
        <f>'Acct Summary 7-8'!C83</f>
        <v>8.3000182416109902E-2</v>
      </c>
      <c r="D6276" s="2" t="str">
        <f t="shared" si="97"/>
        <v>Error?</v>
      </c>
      <c r="E6276" s="2" t="s">
        <v>189</v>
      </c>
    </row>
    <row r="6277" spans="1:5" x14ac:dyDescent="0.2">
      <c r="A6277">
        <v>6216</v>
      </c>
      <c r="B6277" s="1831">
        <f>'Acct Summary 7-8'!D83</f>
        <v>-0.27826338919206067</v>
      </c>
      <c r="D6277" s="2" t="str">
        <f t="shared" si="97"/>
        <v>Error?</v>
      </c>
      <c r="E6277" s="2" t="s">
        <v>189</v>
      </c>
    </row>
    <row r="6278" spans="1:5" x14ac:dyDescent="0.2">
      <c r="A6278">
        <v>6217</v>
      </c>
      <c r="B6278" s="1831">
        <f>'Acct Summary 7-8'!E83</f>
        <v>0.90276988636363631</v>
      </c>
      <c r="D6278" s="2" t="str">
        <f t="shared" si="97"/>
        <v>Error?</v>
      </c>
      <c r="E6278" s="2" t="s">
        <v>189</v>
      </c>
    </row>
    <row r="6279" spans="1:5" x14ac:dyDescent="0.2">
      <c r="A6279">
        <v>6218</v>
      </c>
      <c r="B6279" s="1831">
        <f>'Acct Summary 7-8'!F83</f>
        <v>9.8937555971668159E-2</v>
      </c>
      <c r="D6279" s="2" t="str">
        <f t="shared" si="97"/>
        <v>Error?</v>
      </c>
      <c r="E6279" s="2" t="s">
        <v>189</v>
      </c>
    </row>
    <row r="6280" spans="1:5" x14ac:dyDescent="0.2">
      <c r="A6280">
        <v>6219</v>
      </c>
      <c r="B6280" s="1831">
        <f>'Acct Summary 7-8'!G83</f>
        <v>0.22442824094409791</v>
      </c>
      <c r="D6280" s="2" t="str">
        <f t="shared" si="97"/>
        <v>Error?</v>
      </c>
      <c r="E6280" s="2" t="s">
        <v>189</v>
      </c>
    </row>
    <row r="6281" spans="1:5" x14ac:dyDescent="0.2">
      <c r="A6281">
        <v>6220</v>
      </c>
      <c r="B6281" s="1831">
        <f>'Acct Summary 7-8'!H83</f>
        <v>0.99958020150327842</v>
      </c>
      <c r="D6281" s="2" t="str">
        <f t="shared" si="97"/>
        <v>Error?</v>
      </c>
      <c r="E6281" s="2" t="s">
        <v>189</v>
      </c>
    </row>
    <row r="6282" spans="1:5" x14ac:dyDescent="0.2">
      <c r="A6282">
        <v>6221</v>
      </c>
      <c r="B6282" s="1831" t="e">
        <f>'Acct Summary 7-8'!I83</f>
        <v>#DIV/0!</v>
      </c>
      <c r="D6282" s="2" t="e">
        <f t="shared" si="97"/>
        <v>#DIV/0!</v>
      </c>
      <c r="E6282" s="2" t="s">
        <v>189</v>
      </c>
    </row>
    <row r="6283" spans="1:5" x14ac:dyDescent="0.2">
      <c r="A6283">
        <v>6222</v>
      </c>
      <c r="B6283" s="1831">
        <f>'Acct Summary 7-8'!J83</f>
        <v>-0.25164620039152874</v>
      </c>
      <c r="D6283" s="2" t="str">
        <f t="shared" si="97"/>
        <v>Error?</v>
      </c>
      <c r="E6283" s="2" t="s">
        <v>189</v>
      </c>
    </row>
    <row r="6284" spans="1:5" x14ac:dyDescent="0.2">
      <c r="A6284">
        <v>6223</v>
      </c>
      <c r="B6284" s="1831">
        <f>'Acct Summary 7-8'!K83</f>
        <v>-0.52874047839896565</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115318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115318</v>
      </c>
      <c r="D6301" s="2" t="str">
        <f t="shared" si="97"/>
        <v>Error?</v>
      </c>
      <c r="E6301" s="2" t="s">
        <v>189</v>
      </c>
    </row>
    <row r="6302" spans="1:5" x14ac:dyDescent="0.2">
      <c r="A6302">
        <v>6241</v>
      </c>
      <c r="B6302" s="1831">
        <f>'Revenues 9-14'!J14</f>
        <v>957</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957</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1060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1060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117335</v>
      </c>
      <c r="D6352" s="2" t="str">
        <f t="shared" si="98"/>
        <v>Error?</v>
      </c>
      <c r="E6352" s="2" t="s">
        <v>189</v>
      </c>
    </row>
    <row r="6353" spans="1:5" x14ac:dyDescent="0.2">
      <c r="A6353">
        <v>6292</v>
      </c>
      <c r="B6353" s="1831">
        <f>'Revenues 9-14'!J117</f>
        <v>10000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10000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10000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8803</v>
      </c>
      <c r="D6983" s="2" t="str">
        <f t="shared" si="108"/>
        <v>Error?</v>
      </c>
    </row>
    <row r="6984" spans="1:4" x14ac:dyDescent="0.2">
      <c r="A6984">
        <v>6923</v>
      </c>
      <c r="B6984" s="1831">
        <f>'Expenditures 15-22'!K86</f>
        <v>8803</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8803</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127033</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127335</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6766</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6766</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1940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1940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13986</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13986</v>
      </c>
      <c r="D7153" s="2" t="str">
        <f t="shared" si="110"/>
        <v>Error?</v>
      </c>
    </row>
    <row r="7154" spans="1:4" x14ac:dyDescent="0.2">
      <c r="A7154">
        <v>7093</v>
      </c>
      <c r="B7154" s="1831">
        <f>'Expenditures 15-22'!C323</f>
        <v>86004</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17774</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103778</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563</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563</v>
      </c>
      <c r="D7198" s="2" t="str">
        <f t="shared" si="111"/>
        <v>Error?</v>
      </c>
    </row>
    <row r="7199" spans="1:4" x14ac:dyDescent="0.2">
      <c r="A7199">
        <v>7138</v>
      </c>
      <c r="B7199" s="1831">
        <f>'Expenditures 15-22'!C330</f>
        <v>86004</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41029</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127033</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86004</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41029</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10200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137233</v>
      </c>
      <c r="D7224" s="2" t="str">
        <f t="shared" si="111"/>
        <v>Error?</v>
      </c>
    </row>
    <row r="7225" spans="1:4" x14ac:dyDescent="0.2">
      <c r="A7225">
        <v>7164</v>
      </c>
      <c r="B7225" s="1831">
        <f>'Expenditures 15-22'!K343</f>
        <v>-9898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60386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6049</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50000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4821</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10200</v>
      </c>
      <c r="D7787" s="2" t="str">
        <f t="shared" si="127"/>
        <v>Error?</v>
      </c>
      <c r="E7787" s="4" t="s">
        <v>1826</v>
      </c>
    </row>
    <row r="7788" spans="1:5" x14ac:dyDescent="0.2">
      <c r="A7788">
        <v>7727</v>
      </c>
      <c r="B7788" s="1831">
        <f>'Expenditures 15-22'!K333</f>
        <v>10200</v>
      </c>
      <c r="D7788" s="2" t="str">
        <f t="shared" si="127"/>
        <v>Error?</v>
      </c>
      <c r="E7788" s="4" t="s">
        <v>1826</v>
      </c>
    </row>
    <row r="7789" spans="1:5" x14ac:dyDescent="0.2">
      <c r="A7789">
        <v>7728</v>
      </c>
      <c r="B7789" s="1831">
        <f>'Expenditures 15-22'!H334</f>
        <v>10200</v>
      </c>
      <c r="D7789" s="2" t="str">
        <f t="shared" si="127"/>
        <v>Error?</v>
      </c>
      <c r="E7789" s="4" t="s">
        <v>1826</v>
      </c>
    </row>
    <row r="7790" spans="1:5" x14ac:dyDescent="0.2">
      <c r="A7790">
        <v>7729</v>
      </c>
      <c r="B7790" s="1831">
        <f>'Expenditures 15-22'!K334</f>
        <v>10200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10200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225000</v>
      </c>
      <c r="D7817" s="2" t="str">
        <f t="shared" si="128"/>
        <v>Error?</v>
      </c>
      <c r="E7817" s="4" t="s">
        <v>1966</v>
      </c>
    </row>
    <row r="7818" spans="1:5" x14ac:dyDescent="0.2">
      <c r="A7818">
        <v>7757</v>
      </c>
      <c r="B7818" s="1831">
        <f>'PCTC-OEPP 27-28'!F172</f>
        <v>77393</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1797406</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57875</v>
      </c>
      <c r="D7834" s="2" t="str">
        <f t="shared" si="129"/>
        <v>Error?</v>
      </c>
      <c r="E7834" s="4" t="s">
        <v>1998</v>
      </c>
    </row>
    <row r="7835" spans="1:5" x14ac:dyDescent="0.2">
      <c r="A7835">
        <v>7774</v>
      </c>
      <c r="B7835" s="1831">
        <f>'PCTC-OEPP 27-28'!F78</f>
        <v>1739531</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9685.584632516704</v>
      </c>
      <c r="D7837" s="2" t="str">
        <f t="shared" si="129"/>
        <v>Error?</v>
      </c>
      <c r="E7837" s="4" t="s">
        <v>1998</v>
      </c>
    </row>
    <row r="7838" spans="1:5" x14ac:dyDescent="0.2">
      <c r="A7838">
        <v>7777</v>
      </c>
      <c r="B7838" s="1831">
        <f>'PCTC-OEPP 27-28'!F96</f>
        <v>0</v>
      </c>
      <c r="D7838" s="2" t="str">
        <f t="shared" si="129"/>
        <v>Error?</v>
      </c>
      <c r="E7838" s="4" t="s">
        <v>1998</v>
      </c>
    </row>
    <row r="7839" spans="1:5" x14ac:dyDescent="0.2">
      <c r="A7839">
        <v>7778</v>
      </c>
      <c r="B7839" s="1831">
        <f>'PCTC-OEPP 27-28'!F102</f>
        <v>890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12650</v>
      </c>
      <c r="D7841" s="2" t="str">
        <f t="shared" si="129"/>
        <v>Error?</v>
      </c>
      <c r="E7841" s="4" t="s">
        <v>1998</v>
      </c>
    </row>
    <row r="7842" spans="1:5" x14ac:dyDescent="0.2">
      <c r="A7842">
        <v>7781</v>
      </c>
      <c r="B7842" s="1831">
        <f>'PCTC-OEPP 27-28'!F106</f>
        <v>6143</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21859</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13575</v>
      </c>
      <c r="D7855" s="2" t="str">
        <f t="shared" si="129"/>
        <v>Error?</v>
      </c>
      <c r="E7855" s="4" t="s">
        <v>1998</v>
      </c>
    </row>
    <row r="7856" spans="1:5" x14ac:dyDescent="0.2">
      <c r="A7856">
        <v>7795</v>
      </c>
      <c r="B7856" s="1831">
        <f>'PCTC-OEPP 27-28'!F124</f>
        <v>13421</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137737</v>
      </c>
      <c r="D7858" s="2" t="str">
        <f t="shared" si="129"/>
        <v>Error?</v>
      </c>
      <c r="E7858" s="4" t="s">
        <v>1998</v>
      </c>
    </row>
    <row r="7859" spans="1:5" x14ac:dyDescent="0.2">
      <c r="A7859">
        <v>7798</v>
      </c>
      <c r="B7859" s="1831">
        <f>'PCTC-OEPP 27-28'!F127</f>
        <v>119105</v>
      </c>
      <c r="D7859" s="2" t="str">
        <f t="shared" si="129"/>
        <v>Error?</v>
      </c>
      <c r="E7859" s="4" t="s">
        <v>1998</v>
      </c>
    </row>
    <row r="7860" spans="1:5" x14ac:dyDescent="0.2">
      <c r="A7860">
        <v>7799</v>
      </c>
      <c r="B7860" s="1831">
        <f>'PCTC-OEPP 27-28'!F128</f>
        <v>2023</v>
      </c>
      <c r="D7860" s="2" t="str">
        <f t="shared" si="129"/>
        <v>Error?</v>
      </c>
      <c r="E7860" s="4" t="s">
        <v>1998</v>
      </c>
    </row>
    <row r="7861" spans="1:5" x14ac:dyDescent="0.2">
      <c r="A7861">
        <v>7800</v>
      </c>
      <c r="B7861" s="1831">
        <f>'PCTC-OEPP 27-28'!F129</f>
        <v>13228</v>
      </c>
      <c r="D7861" s="2" t="str">
        <f t="shared" si="129"/>
        <v>Error?</v>
      </c>
      <c r="E7861" s="4" t="s">
        <v>1998</v>
      </c>
    </row>
    <row r="7862" spans="1:5" x14ac:dyDescent="0.2">
      <c r="A7862">
        <v>7801</v>
      </c>
      <c r="B7862" s="1831">
        <f>'PCTC-OEPP 27-28'!F130</f>
        <v>12439</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8623</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3290</v>
      </c>
      <c r="D7874" s="2" t="str">
        <f t="shared" si="129"/>
        <v>Error?</v>
      </c>
      <c r="E7874" s="4" t="s">
        <v>1998</v>
      </c>
    </row>
    <row r="7875" spans="1:5" x14ac:dyDescent="0.2">
      <c r="A7875">
        <v>7814</v>
      </c>
      <c r="B7875" s="1831">
        <f>'PCTC-OEPP 27-28'!F170</f>
        <v>24756</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471919</v>
      </c>
      <c r="D7877" s="2" t="str">
        <f t="shared" si="129"/>
        <v>Error?</v>
      </c>
      <c r="E7877" s="4" t="s">
        <v>1998</v>
      </c>
    </row>
    <row r="7878" spans="1:5" x14ac:dyDescent="0.2">
      <c r="A7878">
        <v>7817</v>
      </c>
      <c r="B7878" s="1831">
        <f>'PCTC-OEPP 27-28'!F176</f>
        <v>1267612</v>
      </c>
      <c r="D7878" s="2" t="str">
        <f t="shared" si="129"/>
        <v>Error?</v>
      </c>
      <c r="E7878" s="4" t="s">
        <v>1998</v>
      </c>
    </row>
    <row r="7879" spans="1:5" x14ac:dyDescent="0.2">
      <c r="A7879">
        <v>7818</v>
      </c>
      <c r="B7879" s="1831">
        <f>'PCTC-OEPP 27-28'!F178</f>
        <v>1327998</v>
      </c>
      <c r="D7879" s="2" t="str">
        <f t="shared" si="129"/>
        <v>Error?</v>
      </c>
      <c r="E7879" s="4" t="s">
        <v>1998</v>
      </c>
    </row>
    <row r="7880" spans="1:5" x14ac:dyDescent="0.2">
      <c r="A7880">
        <v>7819</v>
      </c>
      <c r="B7880" s="1831">
        <f>'PCTC-OEPP 27-28'!F180</f>
        <v>7394.1982182628062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83652</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4" t="str">
        <f>COVER!A17</f>
        <v xml:space="preserve">  Bethel SD 82</v>
      </c>
      <c r="B7" s="2535"/>
      <c r="C7" s="2535"/>
      <c r="D7" s="2536"/>
      <c r="E7" s="2537">
        <f>COVER!A13</f>
        <v>13041082002</v>
      </c>
      <c r="F7" s="2538"/>
      <c r="G7" s="2544" t="str">
        <f>COVER!T23</f>
        <v>066-004957</v>
      </c>
      <c r="H7" s="2545"/>
      <c r="I7" s="2545"/>
      <c r="J7" s="2545"/>
      <c r="K7" s="2545"/>
      <c r="L7" s="254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7"/>
      <c r="B9" s="2548"/>
      <c r="C9" s="2548"/>
      <c r="D9" s="2548"/>
      <c r="E9" s="2548"/>
      <c r="F9" s="2549"/>
      <c r="G9" s="2517" t="str">
        <f>COVER!T13</f>
        <v>SUSAN J. LYONS, CPA, P.C.</v>
      </c>
      <c r="H9" s="2550"/>
      <c r="I9" s="2550"/>
      <c r="J9" s="2550"/>
      <c r="K9" s="2550"/>
      <c r="L9" s="2551"/>
    </row>
    <row r="10" spans="1:29" ht="13.5" customHeight="1" x14ac:dyDescent="0.2">
      <c r="A10" s="2523" t="str">
        <f>COVER!A38</f>
        <v>CRAIG KUJAWA</v>
      </c>
      <c r="B10" s="2524"/>
      <c r="C10" s="2524"/>
      <c r="D10" s="2524"/>
      <c r="E10" s="2524"/>
      <c r="F10" s="2525"/>
      <c r="G10" s="2517" t="str">
        <f>COVER!T17</f>
        <v>5859 U.S. HIGHWAY 51</v>
      </c>
      <c r="H10" s="2518"/>
      <c r="I10" s="2518"/>
      <c r="J10" s="2518"/>
      <c r="K10" s="2518"/>
      <c r="L10" s="2519"/>
    </row>
    <row r="11" spans="1:29" ht="13.5" customHeight="1" x14ac:dyDescent="0.2">
      <c r="A11" s="962" t="s">
        <v>1502</v>
      </c>
      <c r="B11" s="963"/>
      <c r="C11" s="964"/>
      <c r="D11" s="969"/>
      <c r="E11" s="964"/>
      <c r="F11" s="968"/>
      <c r="G11" s="2517" t="str">
        <f>COVER!T19</f>
        <v>ODIN</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slyons1007@gmail.com</v>
      </c>
      <c r="J13" s="2530"/>
      <c r="K13" s="2530"/>
      <c r="L13" s="2531"/>
    </row>
    <row r="14" spans="1:29" ht="13.5" customHeight="1" x14ac:dyDescent="0.2">
      <c r="A14" s="2517" t="str">
        <f>COVER!A19</f>
        <v>1201 BETHEL ROAD</v>
      </c>
      <c r="B14" s="2518"/>
      <c r="C14" s="2518"/>
      <c r="D14" s="2518"/>
      <c r="E14" s="2518"/>
      <c r="F14" s="2519"/>
      <c r="G14" s="973" t="s">
        <v>1175</v>
      </c>
      <c r="H14" s="971"/>
      <c r="I14" s="971"/>
      <c r="J14" s="971"/>
      <c r="K14" s="971"/>
      <c r="L14" s="972"/>
    </row>
    <row r="15" spans="1:29" ht="13.5" customHeight="1" x14ac:dyDescent="0.2">
      <c r="A15" s="2517" t="str">
        <f>COVER!A21</f>
        <v>MT. VERNON</v>
      </c>
      <c r="B15" s="2518"/>
      <c r="C15" s="2518"/>
      <c r="D15" s="2518"/>
      <c r="E15" s="2518"/>
      <c r="F15" s="2519"/>
      <c r="G15" s="2514" t="str">
        <f>COVER!T15</f>
        <v>SUSAN J. LYONS</v>
      </c>
      <c r="H15" s="2515"/>
      <c r="I15" s="2515"/>
      <c r="J15" s="2515"/>
      <c r="K15" s="2515"/>
      <c r="L15" s="2516"/>
    </row>
    <row r="16" spans="1:29" ht="12.2" customHeight="1" x14ac:dyDescent="0.2">
      <c r="A16" s="2540">
        <f>COVER!A25</f>
        <v>62864</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1174</v>
      </c>
      <c r="H17" s="971"/>
      <c r="I17" s="971"/>
      <c r="J17" s="971"/>
      <c r="K17" s="975" t="s">
        <v>1173</v>
      </c>
      <c r="L17" s="968"/>
      <c r="M17" s="961"/>
    </row>
    <row r="18" spans="1:13" ht="12.2" customHeight="1" x14ac:dyDescent="0.2">
      <c r="A18" s="2523"/>
      <c r="B18" s="2524"/>
      <c r="C18" s="2524"/>
      <c r="D18" s="2524"/>
      <c r="E18" s="2524"/>
      <c r="F18" s="2525"/>
      <c r="G18" s="2534" t="str">
        <f>COVER!T21</f>
        <v>618-267-3213</v>
      </c>
      <c r="H18" s="2535"/>
      <c r="I18" s="2535"/>
      <c r="J18" s="2535"/>
      <c r="K18" s="2534">
        <f>COVER!X21</f>
        <v>0</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Bethel SD 82</v>
      </c>
      <c r="B1" s="2557"/>
      <c r="C1" s="2557"/>
      <c r="D1" s="2557"/>
    </row>
    <row r="2" spans="1:11" s="990" customFormat="1" ht="12.75" x14ac:dyDescent="0.2">
      <c r="A2" s="2558">
        <f>'Single Audit Cover'!E7</f>
        <v>13041082002</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Bethel SD 82</v>
      </c>
      <c r="B1" s="2561"/>
      <c r="C1" s="2561"/>
      <c r="D1" s="2561"/>
      <c r="E1" s="2561"/>
    </row>
    <row r="2" spans="1:5" x14ac:dyDescent="0.2">
      <c r="A2" s="2562">
        <f>'Single Audit Cover'!E7</f>
        <v>13041082002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334622</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9704</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-24756</v>
      </c>
    </row>
    <row r="19" spans="1:4" ht="13.5" thickBot="1" x14ac:dyDescent="0.25">
      <c r="A19" s="1040" t="s">
        <v>1224</v>
      </c>
      <c r="D19" s="1041">
        <f>SUM(D10:D17)</f>
        <v>319570</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319570</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319570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Bethel SD 82</v>
      </c>
      <c r="C1" s="2565"/>
      <c r="D1" s="2565"/>
      <c r="E1" s="2565"/>
      <c r="F1" s="2565"/>
      <c r="G1" s="2565"/>
      <c r="H1" s="2565"/>
      <c r="I1" s="2565"/>
      <c r="J1" s="2565"/>
      <c r="K1" s="2565"/>
      <c r="L1" s="2565"/>
      <c r="M1" s="2565"/>
    </row>
    <row r="2" spans="2:14" ht="15" x14ac:dyDescent="0.2">
      <c r="B2" s="2566">
        <f>'Single Audit Cover'!E7</f>
        <v>13041082002</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Bethel SD 82</v>
      </c>
      <c r="B1" s="2578"/>
      <c r="C1" s="2578"/>
      <c r="D1" s="2578"/>
      <c r="E1" s="2578"/>
      <c r="F1" s="2578"/>
    </row>
    <row r="2" spans="1:7" ht="13.5" customHeight="1" x14ac:dyDescent="0.2">
      <c r="A2" s="2566">
        <f>'Single Audit Cover'!E7</f>
        <v>13041082002</v>
      </c>
      <c r="B2" s="2566"/>
      <c r="C2" s="2566"/>
      <c r="D2" s="2566"/>
      <c r="E2" s="2566"/>
      <c r="F2" s="2566"/>
      <c r="G2" s="1050"/>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1" t="s">
        <v>1705</v>
      </c>
      <c r="C6" s="295"/>
      <c r="D6" s="295"/>
    </row>
    <row r="7" spans="1:7" ht="60.95" customHeight="1" x14ac:dyDescent="0.2">
      <c r="A7" s="2577" t="s">
        <v>1706</v>
      </c>
      <c r="B7" s="2577"/>
      <c r="C7" s="2577"/>
      <c r="D7" s="2577"/>
      <c r="E7" s="2577"/>
      <c r="F7" s="257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7" t="s">
        <v>1708</v>
      </c>
      <c r="B13" s="2577"/>
      <c r="C13" s="2577"/>
      <c r="D13" s="2577"/>
      <c r="E13" s="2577"/>
      <c r="F13" s="2577"/>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0"/>
      <c r="E17" s="2570"/>
      <c r="F17" s="2570"/>
    </row>
    <row r="18" spans="1:6" ht="20.65" customHeight="1" x14ac:dyDescent="0.2">
      <c r="A18" s="1058"/>
      <c r="B18" s="1059"/>
      <c r="C18" s="1060"/>
      <c r="D18" s="2570"/>
      <c r="E18" s="2570"/>
      <c r="F18" s="2570"/>
    </row>
    <row r="19" spans="1:6" ht="20.65" customHeight="1" x14ac:dyDescent="0.2">
      <c r="A19" s="1058"/>
      <c r="B19" s="1059"/>
      <c r="C19" s="1060"/>
      <c r="D19" s="2570"/>
      <c r="E19" s="2570"/>
      <c r="F19" s="2570"/>
    </row>
    <row r="20" spans="1:6" ht="20.65" customHeight="1" x14ac:dyDescent="0.2">
      <c r="A20" s="1058"/>
      <c r="B20" s="1059"/>
      <c r="C20" s="1060"/>
      <c r="D20" s="2570"/>
      <c r="E20" s="2570"/>
      <c r="F20" s="2570"/>
    </row>
    <row r="21" spans="1:6" ht="20.65" customHeight="1" x14ac:dyDescent="0.2">
      <c r="A21" s="1058"/>
      <c r="B21" s="1059"/>
      <c r="C21" s="1060"/>
      <c r="D21" s="2570"/>
      <c r="E21" s="2570"/>
      <c r="F21" s="2570"/>
    </row>
    <row r="22" spans="1:6" ht="20.65" customHeight="1" x14ac:dyDescent="0.2">
      <c r="A22" s="1058"/>
      <c r="B22" s="1059"/>
      <c r="C22" s="1060"/>
      <c r="D22" s="2570"/>
      <c r="E22" s="2570"/>
      <c r="F22" s="2570"/>
    </row>
    <row r="23" spans="1:6" ht="20.65" customHeight="1" x14ac:dyDescent="0.2">
      <c r="A23" s="1058"/>
      <c r="B23" s="1059"/>
      <c r="C23" s="1060"/>
      <c r="D23" s="2570"/>
      <c r="E23" s="2570"/>
      <c r="F23" s="2570"/>
    </row>
    <row r="24" spans="1:6" ht="20.65" customHeight="1" x14ac:dyDescent="0.2">
      <c r="A24" s="1058"/>
      <c r="B24" s="1059"/>
      <c r="C24" s="1060"/>
      <c r="D24" s="2570"/>
      <c r="E24" s="2570"/>
      <c r="F24" s="2570"/>
    </row>
    <row r="25" spans="1:6" ht="20.65" customHeight="1" x14ac:dyDescent="0.2">
      <c r="A25" s="1058"/>
      <c r="B25" s="1059"/>
      <c r="C25" s="1060"/>
      <c r="D25" s="2570"/>
      <c r="E25" s="2570"/>
      <c r="F25" s="2570"/>
    </row>
    <row r="26" spans="1:6" ht="20.65" customHeight="1" x14ac:dyDescent="0.2">
      <c r="A26" s="1058"/>
      <c r="B26" s="1059"/>
      <c r="C26" s="1060"/>
      <c r="D26" s="2570"/>
      <c r="E26" s="2570"/>
      <c r="F26" s="2570"/>
    </row>
    <row r="27" spans="1:6" ht="20.65" customHeight="1" x14ac:dyDescent="0.2">
      <c r="A27" s="1058"/>
      <c r="B27" s="1059"/>
      <c r="C27" s="1060"/>
      <c r="D27" s="2570"/>
      <c r="E27" s="2570"/>
      <c r="F27" s="2570"/>
    </row>
    <row r="28" spans="1:6" ht="20.65" customHeight="1" x14ac:dyDescent="0.2">
      <c r="A28" s="1058"/>
      <c r="B28" s="1059"/>
      <c r="C28" s="1060"/>
      <c r="D28" s="2570"/>
      <c r="E28" s="2570"/>
      <c r="F28" s="2570"/>
    </row>
    <row r="29" spans="1:6" ht="20.65" customHeight="1" x14ac:dyDescent="0.2">
      <c r="A29" s="1058"/>
      <c r="B29" s="1059"/>
      <c r="C29" s="1060"/>
      <c r="D29" s="2570"/>
      <c r="E29" s="2570"/>
      <c r="F29" s="2570"/>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1" t="s">
        <v>1709</v>
      </c>
      <c r="B32" s="2571"/>
      <c r="C32" s="2571"/>
      <c r="D32" s="2571"/>
      <c r="E32" s="2571"/>
      <c r="F32" s="2571"/>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2">
        <f>+C33+C34</f>
        <v>0</v>
      </c>
      <c r="F34" s="2573"/>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4" t="s">
        <v>1573</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1534</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0" colorId="8" zoomScaleNormal="100" workbookViewId="0">
      <selection activeCell="D46" activeCellId="1" sqref="I42:O42 D4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2077</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Bethel SD 82</v>
      </c>
      <c r="C1" s="2593"/>
      <c r="D1" s="2593"/>
      <c r="E1" s="2593"/>
      <c r="F1" s="2593"/>
      <c r="G1" s="2593"/>
      <c r="H1" s="2593"/>
      <c r="I1" s="2593"/>
      <c r="J1" s="1177"/>
    </row>
    <row r="2" spans="2:10" s="295" customFormat="1" ht="12.75" customHeight="1" x14ac:dyDescent="0.2">
      <c r="B2" s="2594">
        <f>'Single Audit Cover'!E7</f>
        <v>13041082002</v>
      </c>
      <c r="C2" s="2595"/>
      <c r="D2" s="2595"/>
      <c r="E2" s="2595"/>
      <c r="F2" s="2595"/>
      <c r="G2" s="2595"/>
      <c r="H2" s="2595"/>
      <c r="I2" s="2595"/>
      <c r="J2" s="1177"/>
    </row>
    <row r="3" spans="2:10" s="295" customFormat="1" ht="12.75" customHeight="1" x14ac:dyDescent="0.2">
      <c r="B3" s="2596" t="s">
        <v>1274</v>
      </c>
      <c r="C3" s="2597"/>
      <c r="D3" s="2597"/>
      <c r="E3" s="2597"/>
      <c r="F3" s="2597"/>
      <c r="G3" s="2597"/>
      <c r="H3" s="2597"/>
      <c r="I3" s="2597"/>
      <c r="J3" s="1178"/>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6" t="s">
        <v>1273</v>
      </c>
      <c r="C7" s="2597"/>
      <c r="D7" s="2597"/>
      <c r="E7" s="2597"/>
      <c r="F7" s="2597"/>
      <c r="G7" s="2597"/>
      <c r="H7" s="2597"/>
      <c r="I7" s="2597"/>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8"/>
      <c r="D11" s="2598"/>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9"/>
      <c r="E29" s="2599"/>
      <c r="F29" s="2599"/>
      <c r="G29" s="2599"/>
      <c r="H29" s="2599"/>
      <c r="I29" s="2599"/>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0" t="s">
        <v>1728</v>
      </c>
      <c r="D37" s="2601"/>
      <c r="E37" s="2601"/>
      <c r="F37" s="2602"/>
      <c r="G37" s="2600" t="s">
        <v>1575</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915" t="str">
        <f>"Total Federal Expenditures for 7/1/"&amp;MID('AFR20'!E2,3,2)-1&amp;"-6/30/"&amp;MID('AFR20'!E2,3,2)</f>
        <v>Total Federal Expenditures for 7/1/19-6/30/20</v>
      </c>
      <c r="C45" s="1916"/>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D46" activeCellId="1" sqref="I42:O42 D4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Bethel SD 82</v>
      </c>
      <c r="C1" s="2592"/>
      <c r="D1" s="2592"/>
      <c r="E1" s="2592"/>
      <c r="F1" s="2592"/>
      <c r="G1" s="2592"/>
      <c r="H1" s="2592"/>
      <c r="I1" s="2592"/>
      <c r="J1" s="2592"/>
      <c r="K1" s="2592"/>
      <c r="L1" s="1143"/>
      <c r="M1" s="1143"/>
    </row>
    <row r="2" spans="1:13" ht="12" customHeight="1" x14ac:dyDescent="0.2">
      <c r="B2" s="2594">
        <f>'Single Audit Cover'!E7</f>
        <v>13041082002</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3" zoomScale="110" zoomScaleNormal="110" workbookViewId="0">
      <selection activeCell="D46" activeCellId="1" sqref="I42:O42 D4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Bethel SD 82</v>
      </c>
      <c r="C1" s="2592"/>
      <c r="D1" s="2592"/>
      <c r="E1" s="2592"/>
      <c r="F1" s="2592"/>
      <c r="G1" s="2592"/>
      <c r="H1" s="2592"/>
      <c r="I1" s="2592"/>
      <c r="J1" s="2592"/>
      <c r="K1" s="2592"/>
      <c r="L1" s="1143"/>
      <c r="M1" s="1143"/>
    </row>
    <row r="2" spans="1:13" ht="12" customHeight="1" x14ac:dyDescent="0.2">
      <c r="B2" s="2594">
        <f>'Single Audit Cover'!E7</f>
        <v>13041082002</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2015</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2091</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t="s">
        <v>2092</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2093</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2094</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18.75" customHeight="1" x14ac:dyDescent="0.2">
      <c r="B26" s="2607" t="s">
        <v>2095</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82.5" customHeight="1" x14ac:dyDescent="0.2">
      <c r="B29" s="2606" t="s">
        <v>2096</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t="s">
        <v>2097</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 xml:space="preserve">&amp;C&amp;"Times New Roman,Regular"A-7&amp;"Arial,Regular"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Bethel SD 82</v>
      </c>
      <c r="C1" s="2615"/>
      <c r="D1" s="2615"/>
      <c r="E1" s="2615"/>
      <c r="F1" s="2615"/>
      <c r="G1" s="2615"/>
      <c r="H1" s="2615"/>
      <c r="I1" s="2615"/>
      <c r="J1" s="2615"/>
      <c r="K1" s="2615"/>
      <c r="L1" s="1220"/>
    </row>
    <row r="2" spans="1:12" ht="12.75" customHeight="1" x14ac:dyDescent="0.2">
      <c r="B2" s="2616">
        <f>'Single Audit Cover'!E7</f>
        <v>13041082002</v>
      </c>
      <c r="C2" s="2616"/>
      <c r="D2" s="2616"/>
      <c r="E2" s="2616"/>
      <c r="F2" s="2616"/>
      <c r="G2" s="2616"/>
      <c r="H2" s="2616"/>
      <c r="I2" s="2616"/>
      <c r="J2" s="2616"/>
      <c r="K2" s="2616"/>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9"/>
      <c r="G12" s="2599"/>
      <c r="H12" s="2599"/>
      <c r="I12" s="2599"/>
      <c r="J12" s="2599"/>
      <c r="K12" s="2599"/>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2"/>
      <c r="E14" s="2612"/>
      <c r="F14" s="2612"/>
      <c r="H14" s="1229" t="s">
        <v>1292</v>
      </c>
      <c r="I14" s="2613"/>
      <c r="J14" s="2613"/>
      <c r="K14" s="2613"/>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3"/>
      <c r="E16" s="2613"/>
      <c r="F16" s="2613"/>
      <c r="G16" s="2613"/>
      <c r="H16" s="2613"/>
      <c r="I16" s="2613"/>
      <c r="J16" s="2613"/>
      <c r="K16" s="2613"/>
      <c r="L16" s="300"/>
    </row>
    <row r="17" spans="2:12" ht="13.5" customHeight="1" x14ac:dyDescent="0.2">
      <c r="B17" s="1155" t="s">
        <v>1290</v>
      </c>
      <c r="C17" s="1155"/>
      <c r="D17" s="2614"/>
      <c r="E17" s="2614"/>
      <c r="F17" s="2614"/>
      <c r="G17" s="2614"/>
      <c r="H17" s="2614"/>
      <c r="I17" s="2614"/>
      <c r="J17" s="2614"/>
      <c r="K17" s="2614"/>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2" t="str">
        <f>'Single Audit Cover'!A7</f>
        <v xml:space="preserve">  Bethel SD 82</v>
      </c>
      <c r="C1" s="2592"/>
      <c r="D1" s="2592"/>
      <c r="E1" s="1239"/>
    </row>
    <row r="2" spans="2:5" s="1057" customFormat="1" ht="12.75" customHeight="1" x14ac:dyDescent="0.2">
      <c r="B2" s="2594">
        <f>'Single Audit Cover'!E7</f>
        <v>13041082002</v>
      </c>
      <c r="C2" s="2594"/>
      <c r="D2" s="2594"/>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D46" activeCellId="1" sqref="I42:O42 D4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22384929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1.42746E-2</v>
      </c>
      <c r="E10" s="333" t="s">
        <v>998</v>
      </c>
      <c r="F10" s="332">
        <v>3.0377999999999998E-3</v>
      </c>
      <c r="G10" s="333" t="s">
        <v>998</v>
      </c>
      <c r="H10" s="332">
        <v>1.4296000000000001E-3</v>
      </c>
      <c r="I10" s="333" t="s">
        <v>999</v>
      </c>
      <c r="J10" s="1423">
        <f>ROUND(D10+F10+H10,5)</f>
        <v>1.874E-2</v>
      </c>
      <c r="K10" s="217"/>
      <c r="L10" s="332">
        <v>4.9140000000000002E-4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1665465</v>
      </c>
      <c r="E16" s="1546"/>
      <c r="F16" s="1545">
        <f>SUM('Acct Summary 7-8'!C17,'Acct Summary 7-8'!D17,'Acct Summary 7-8'!F17)</f>
        <v>1568995</v>
      </c>
      <c r="G16" s="1546"/>
      <c r="H16" s="1545">
        <f>SUM(D16-F16)</f>
        <v>96470</v>
      </c>
      <c r="I16" s="1547"/>
      <c r="J16" s="1545">
        <f>SUM('Acct Summary 7-8'!C81,'Acct Summary 7-8'!D81,'Acct Summary 7-8'!F81,'Acct Summary 7-8'!I81)</f>
        <v>1242981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4">
        <f>IF(B31="X",(J7*0.069),IF(B32="X",(J7*0.138),"Enter x in a.or b."))</f>
        <v>1544560.101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125000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6" activeCellId="1" sqref="I42:O42 D4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Bethel SD 82</v>
      </c>
      <c r="E7" s="368"/>
      <c r="G7" s="247"/>
      <c r="H7" s="364"/>
      <c r="I7" s="364"/>
      <c r="J7" s="364"/>
      <c r="K7" s="364"/>
      <c r="L7" s="307"/>
      <c r="M7" s="307"/>
      <c r="N7" s="307"/>
      <c r="O7" s="307"/>
      <c r="P7" s="307"/>
    </row>
    <row r="8" spans="1:18" ht="12.75" x14ac:dyDescent="0.2">
      <c r="A8" s="307"/>
      <c r="B8" s="307"/>
      <c r="C8" s="366" t="s">
        <v>1115</v>
      </c>
      <c r="D8" s="369">
        <f>COVER!A13</f>
        <v>13041082002</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1242981</v>
      </c>
      <c r="I12" s="380"/>
      <c r="J12" s="380"/>
      <c r="K12" s="1558">
        <f>TRUNC((H12/H13*100000),5)/100000</f>
        <v>0.74632670150000002</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1665465</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1568995</v>
      </c>
      <c r="I17" s="380"/>
      <c r="J17" s="389"/>
      <c r="K17" s="1558">
        <f>TRUNC((H17/H18*100000),5)/100000</f>
        <v>0.94207623689999997</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1665465</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1242981</v>
      </c>
      <c r="I24" s="394"/>
      <c r="J24" s="394"/>
      <c r="K24" s="1554">
        <f>TRUNC(((H24/H25*100000)/100000),2)</f>
        <v>285.19</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4358.3194400000002</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356569.53404</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125000</v>
      </c>
      <c r="I32" s="392"/>
      <c r="J32" s="392"/>
      <c r="K32" s="1554">
        <f>TRUNC(100-((((H32/H33*100))*100)/100),2)</f>
        <v>91.9</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1544560.101</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46" activeCellId="1" sqref="I42:O42 D46"/>
      <selection pane="bottomLeft" activeCell="D46" activeCellId="1" sqref="I42:O42 D4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1173142</v>
      </c>
      <c r="D4" s="1572">
        <v>20707</v>
      </c>
      <c r="E4" s="1572">
        <v>14080</v>
      </c>
      <c r="F4" s="1572">
        <v>49132</v>
      </c>
      <c r="G4" s="1572">
        <v>34149</v>
      </c>
      <c r="H4" s="1572">
        <v>50024</v>
      </c>
      <c r="I4" s="1572"/>
      <c r="J4" s="1573">
        <v>39333</v>
      </c>
      <c r="K4" s="1572">
        <v>35577</v>
      </c>
      <c r="L4" s="1572">
        <v>31264</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1173142</v>
      </c>
      <c r="D13" s="1586">
        <f t="shared" ref="D13:L13" si="0">SUM(D4:D12)</f>
        <v>20707</v>
      </c>
      <c r="E13" s="1586">
        <f t="shared" si="0"/>
        <v>14080</v>
      </c>
      <c r="F13" s="1586">
        <f t="shared" si="0"/>
        <v>49132</v>
      </c>
      <c r="G13" s="1586">
        <f t="shared" si="0"/>
        <v>34149</v>
      </c>
      <c r="H13" s="1586">
        <f t="shared" si="0"/>
        <v>50024</v>
      </c>
      <c r="I13" s="1586">
        <f t="shared" si="0"/>
        <v>0</v>
      </c>
      <c r="J13" s="1586">
        <f t="shared" si="0"/>
        <v>39333</v>
      </c>
      <c r="K13" s="1586">
        <f t="shared" si="0"/>
        <v>35577</v>
      </c>
      <c r="L13" s="1586">
        <f t="shared" si="0"/>
        <v>31264</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11500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2197406</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79180</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643035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14080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110920</v>
      </c>
    </row>
    <row r="23" spans="1:14" ht="13.5" customHeight="1" thickBot="1" x14ac:dyDescent="0.25">
      <c r="A23" s="1425" t="s">
        <v>638</v>
      </c>
      <c r="B23" s="1428"/>
      <c r="C23" s="1574"/>
      <c r="D23" s="1574"/>
      <c r="E23" s="1574"/>
      <c r="F23" s="1574"/>
      <c r="G23" s="1574"/>
      <c r="H23" s="1574"/>
      <c r="I23" s="1574"/>
      <c r="J23" s="1574"/>
      <c r="K23" s="1574"/>
      <c r="L23" s="1574"/>
      <c r="M23" s="1593">
        <f>SUM(M15:M22)</f>
        <v>2931121</v>
      </c>
      <c r="N23" s="1593">
        <f>SUM(N21:N22)</f>
        <v>125000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31264</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31264</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125000</v>
      </c>
    </row>
    <row r="37" spans="1:14" ht="13.5" thickBot="1" x14ac:dyDescent="0.25">
      <c r="A37" s="1425" t="s">
        <v>648</v>
      </c>
      <c r="B37" s="1428"/>
      <c r="C37" s="1581"/>
      <c r="D37" s="1581"/>
      <c r="E37" s="1581"/>
      <c r="F37" s="1581"/>
      <c r="G37" s="1581"/>
      <c r="H37" s="1581"/>
      <c r="I37" s="1581"/>
      <c r="J37" s="1581"/>
      <c r="K37" s="1581"/>
      <c r="L37" s="1584"/>
      <c r="M37" s="1574"/>
      <c r="N37" s="1593">
        <f>SUM(N36:N36)</f>
        <v>125000</v>
      </c>
    </row>
    <row r="38" spans="1:14" s="307" customFormat="1" ht="13.5" customHeight="1" thickTop="1" x14ac:dyDescent="0.2">
      <c r="A38" s="438" t="s">
        <v>417</v>
      </c>
      <c r="B38" s="432">
        <v>714</v>
      </c>
      <c r="C38" s="1572"/>
      <c r="D38" s="1572"/>
      <c r="E38" s="1572"/>
      <c r="F38" s="1572"/>
      <c r="G38" s="1572"/>
      <c r="H38" s="1572">
        <v>50000</v>
      </c>
      <c r="I38" s="1572"/>
      <c r="J38" s="1573"/>
      <c r="K38" s="1572"/>
      <c r="L38" s="1585"/>
      <c r="M38" s="1603"/>
      <c r="N38" s="1603"/>
    </row>
    <row r="39" spans="1:14" s="307" customFormat="1" ht="13.5" customHeight="1" x14ac:dyDescent="0.2">
      <c r="A39" s="438" t="s">
        <v>339</v>
      </c>
      <c r="B39" s="432">
        <v>730</v>
      </c>
      <c r="C39" s="1572">
        <v>1173142</v>
      </c>
      <c r="D39" s="1572">
        <v>20707</v>
      </c>
      <c r="E39" s="1572">
        <v>14080</v>
      </c>
      <c r="F39" s="1572">
        <v>49132</v>
      </c>
      <c r="G39" s="1572">
        <v>34149</v>
      </c>
      <c r="H39" s="1572">
        <v>24</v>
      </c>
      <c r="I39" s="1572"/>
      <c r="J39" s="1573">
        <v>39333</v>
      </c>
      <c r="K39" s="1572">
        <v>35577</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2931121</v>
      </c>
      <c r="N40" s="1603"/>
    </row>
    <row r="41" spans="1:14" ht="13.5" customHeight="1" thickBot="1" x14ac:dyDescent="0.25">
      <c r="A41" s="1425" t="s">
        <v>650</v>
      </c>
      <c r="B41" s="1404"/>
      <c r="C41" s="1593">
        <f>(SUM(C34,C37,C38,C39))</f>
        <v>1173142</v>
      </c>
      <c r="D41" s="1593">
        <f t="shared" ref="D41:L41" si="2">SUM(D34,D37,D38:D39)</f>
        <v>20707</v>
      </c>
      <c r="E41" s="1593">
        <f t="shared" si="2"/>
        <v>14080</v>
      </c>
      <c r="F41" s="1593">
        <f t="shared" si="2"/>
        <v>49132</v>
      </c>
      <c r="G41" s="1593">
        <f t="shared" si="2"/>
        <v>34149</v>
      </c>
      <c r="H41" s="1593">
        <f t="shared" si="2"/>
        <v>50024</v>
      </c>
      <c r="I41" s="1593">
        <f t="shared" si="2"/>
        <v>0</v>
      </c>
      <c r="J41" s="1593">
        <f t="shared" si="2"/>
        <v>39333</v>
      </c>
      <c r="K41" s="1593">
        <f t="shared" si="2"/>
        <v>35577</v>
      </c>
      <c r="L41" s="1593">
        <f t="shared" si="2"/>
        <v>31264</v>
      </c>
      <c r="M41" s="1593">
        <f>SUM(M40)</f>
        <v>2931121</v>
      </c>
      <c r="N41" s="1593">
        <f>SUM(N37)</f>
        <v>125000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D46" activeCellId="1" sqref="I42:O42 D46"/>
      <selection pane="bottomLeft" activeCell="D46" activeCellId="1" sqref="I42:O42 D4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464904</v>
      </c>
      <c r="D4" s="1605">
        <f>'Revenues 9-14'!D109</f>
        <v>75355</v>
      </c>
      <c r="E4" s="1605">
        <f>'Revenues 9-14'!E109</f>
        <v>211</v>
      </c>
      <c r="F4" s="1605">
        <f>'Revenues 9-14'!F109</f>
        <v>30148</v>
      </c>
      <c r="G4" s="1605">
        <f>'Revenues 9-14'!G109</f>
        <v>65462</v>
      </c>
      <c r="H4" s="1605">
        <f>'Revenues 9-14'!H109</f>
        <v>19</v>
      </c>
      <c r="I4" s="1605">
        <f>'Revenues 9-14'!I109</f>
        <v>10622</v>
      </c>
      <c r="J4" s="1605">
        <f>'Revenues 9-14'!J109</f>
        <v>117335</v>
      </c>
      <c r="K4" s="1605">
        <f>'Revenues 9-14'!K109</f>
        <v>11493</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711711</v>
      </c>
      <c r="D6" s="1606">
        <f>'Revenues 9-14'!D170</f>
        <v>15000</v>
      </c>
      <c r="E6" s="1606">
        <f>'Revenues 9-14'!E170</f>
        <v>35935</v>
      </c>
      <c r="F6" s="1606">
        <f>'Revenues 9-14'!F170</f>
        <v>31859</v>
      </c>
      <c r="G6" s="1606">
        <f>'Revenues 9-14'!G170</f>
        <v>1189</v>
      </c>
      <c r="H6" s="1606">
        <f>'Revenues 9-14'!H170</f>
        <v>133652</v>
      </c>
      <c r="I6" s="1606">
        <f>'Revenues 9-14'!I170</f>
        <v>0</v>
      </c>
      <c r="J6" s="1606">
        <f>'Revenues 9-14'!J170</f>
        <v>10000</v>
      </c>
      <c r="K6" s="1606">
        <f>'Revenues 9-14'!K170</f>
        <v>0</v>
      </c>
      <c r="L6" s="325"/>
      <c r="M6" s="448"/>
    </row>
    <row r="7" spans="1:13" ht="15.75" customHeight="1" x14ac:dyDescent="0.2">
      <c r="A7" s="1313" t="s">
        <v>1485</v>
      </c>
      <c r="B7" s="1315">
        <v>4000</v>
      </c>
      <c r="C7" s="1606">
        <f>'Revenues 9-14'!C267</f>
        <v>325866</v>
      </c>
      <c r="D7" s="1606">
        <f>'Revenues 9-14'!D267</f>
        <v>0</v>
      </c>
      <c r="E7" s="1606">
        <f>'Revenues 9-14'!E267</f>
        <v>0</v>
      </c>
      <c r="F7" s="1606">
        <f>'Revenues 9-14'!F267</f>
        <v>0</v>
      </c>
      <c r="G7" s="1606">
        <f>'Revenues 9-14'!G267</f>
        <v>8756</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1502481</v>
      </c>
      <c r="D8" s="1593">
        <f t="shared" ref="D8:K8" si="0">SUM(D4:D7)</f>
        <v>90355</v>
      </c>
      <c r="E8" s="1593">
        <f t="shared" si="0"/>
        <v>36146</v>
      </c>
      <c r="F8" s="1593">
        <f t="shared" si="0"/>
        <v>62007</v>
      </c>
      <c r="G8" s="1593">
        <f t="shared" si="0"/>
        <v>75407</v>
      </c>
      <c r="H8" s="1593">
        <f t="shared" si="0"/>
        <v>133671</v>
      </c>
      <c r="I8" s="1593">
        <f t="shared" si="0"/>
        <v>10622</v>
      </c>
      <c r="J8" s="1593">
        <f t="shared" si="0"/>
        <v>127335</v>
      </c>
      <c r="K8" s="1593">
        <f t="shared" si="0"/>
        <v>11493</v>
      </c>
      <c r="L8" s="325"/>
    </row>
    <row r="9" spans="1:13" ht="15.75" thickTop="1" x14ac:dyDescent="0.2">
      <c r="A9" s="449" t="s">
        <v>1634</v>
      </c>
      <c r="B9" s="450">
        <v>3998</v>
      </c>
      <c r="C9" s="1585">
        <v>670900</v>
      </c>
      <c r="D9" s="1612"/>
      <c r="E9" s="1585"/>
      <c r="F9" s="1585"/>
      <c r="G9" s="1613"/>
      <c r="H9" s="1585"/>
      <c r="I9" s="1608" t="s">
        <v>1159</v>
      </c>
      <c r="J9" s="1582"/>
      <c r="K9" s="1585"/>
      <c r="L9" s="325"/>
    </row>
    <row r="10" spans="1:13" s="452" customFormat="1" ht="13.5" thickBot="1" x14ac:dyDescent="0.25">
      <c r="A10" s="1425" t="s">
        <v>1163</v>
      </c>
      <c r="B10" s="1406"/>
      <c r="C10" s="1593">
        <f>SUM(C8:C9)</f>
        <v>2173381</v>
      </c>
      <c r="D10" s="1593">
        <f t="shared" ref="D10:K10" si="1">SUM(D8:D9)</f>
        <v>90355</v>
      </c>
      <c r="E10" s="1593">
        <f t="shared" si="1"/>
        <v>36146</v>
      </c>
      <c r="F10" s="1593">
        <f t="shared" si="1"/>
        <v>62007</v>
      </c>
      <c r="G10" s="1593">
        <f t="shared" si="1"/>
        <v>75407</v>
      </c>
      <c r="H10" s="1593">
        <f t="shared" si="1"/>
        <v>133671</v>
      </c>
      <c r="I10" s="1593">
        <f t="shared" si="1"/>
        <v>10622</v>
      </c>
      <c r="J10" s="1593">
        <f t="shared" si="1"/>
        <v>127335</v>
      </c>
      <c r="K10" s="1593">
        <f t="shared" si="1"/>
        <v>11493</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1061501</v>
      </c>
      <c r="D12" s="1615" t="s">
        <v>1159</v>
      </c>
      <c r="E12" s="1574" t="s">
        <v>1159</v>
      </c>
      <c r="F12" s="1574" t="s">
        <v>1159</v>
      </c>
      <c r="G12" s="1605">
        <f>'Expenditures 15-22'!K229</f>
        <v>37309</v>
      </c>
      <c r="H12" s="1616"/>
      <c r="I12" s="1574" t="s">
        <v>1159</v>
      </c>
      <c r="J12" s="1574" t="s">
        <v>1159</v>
      </c>
      <c r="K12" s="1616" t="s">
        <v>1159</v>
      </c>
      <c r="L12" s="325"/>
    </row>
    <row r="13" spans="1:13" ht="15.75" customHeight="1" x14ac:dyDescent="0.2">
      <c r="A13" s="1313" t="s">
        <v>454</v>
      </c>
      <c r="B13" s="1315">
        <v>2000</v>
      </c>
      <c r="C13" s="1606">
        <f>'Expenditures 15-22'!K74</f>
        <v>326563</v>
      </c>
      <c r="D13" s="1606">
        <f>'Expenditures 15-22'!K129</f>
        <v>96117</v>
      </c>
      <c r="E13" s="1575" t="s">
        <v>1159</v>
      </c>
      <c r="F13" s="1606">
        <f>'Expenditures 15-22'!K184</f>
        <v>57146</v>
      </c>
      <c r="G13" s="1606">
        <f>'Expenditures 15-22'!K279</f>
        <v>30434</v>
      </c>
      <c r="H13" s="1606">
        <f>'Expenditures 15-22'!K303</f>
        <v>83668</v>
      </c>
      <c r="I13" s="1574" t="s">
        <v>1159</v>
      </c>
      <c r="J13" s="1606">
        <f>'Expenditures 15-22'!K330</f>
        <v>127033</v>
      </c>
      <c r="K13" s="1617">
        <f>'Expenditures 15-22'!K352</f>
        <v>30304</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27668</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10200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23435</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1415732</v>
      </c>
      <c r="D17" s="1593">
        <f t="shared" si="2"/>
        <v>96117</v>
      </c>
      <c r="E17" s="1593">
        <f t="shared" si="2"/>
        <v>23435</v>
      </c>
      <c r="F17" s="1593">
        <f t="shared" si="2"/>
        <v>57146</v>
      </c>
      <c r="G17" s="1593">
        <f t="shared" si="2"/>
        <v>67743</v>
      </c>
      <c r="H17" s="1593">
        <f t="shared" si="2"/>
        <v>83668</v>
      </c>
      <c r="I17" s="1574"/>
      <c r="J17" s="1593">
        <f>SUM(J12:J16)</f>
        <v>137233</v>
      </c>
      <c r="K17" s="1593">
        <f>SUM(K12:K16)</f>
        <v>30304</v>
      </c>
      <c r="L17" s="325"/>
    </row>
    <row r="18" spans="1:12" ht="15" customHeight="1" thickTop="1" x14ac:dyDescent="0.2">
      <c r="A18" s="1429" t="s">
        <v>1635</v>
      </c>
      <c r="B18" s="1430">
        <v>4180</v>
      </c>
      <c r="C18" s="1605">
        <f t="shared" ref="C18:H18" si="3">C9</f>
        <v>670900</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2086632</v>
      </c>
      <c r="D19" s="1593">
        <f t="shared" si="4"/>
        <v>96117</v>
      </c>
      <c r="E19" s="1593">
        <f t="shared" si="4"/>
        <v>23435</v>
      </c>
      <c r="F19" s="1593">
        <f t="shared" si="4"/>
        <v>57146</v>
      </c>
      <c r="G19" s="1593">
        <f t="shared" si="4"/>
        <v>67743</v>
      </c>
      <c r="H19" s="1593">
        <f t="shared" si="4"/>
        <v>83668</v>
      </c>
      <c r="I19" s="1574"/>
      <c r="J19" s="1593">
        <f>SUM(J17:J18)</f>
        <v>137233</v>
      </c>
      <c r="K19" s="1593">
        <f>SUM(K17:K18)</f>
        <v>30304</v>
      </c>
      <c r="L19" s="325"/>
    </row>
    <row r="20" spans="1:12" ht="16.5" thickTop="1" thickBot="1" x14ac:dyDescent="0.25">
      <c r="A20" s="2230" t="s">
        <v>1636</v>
      </c>
      <c r="B20" s="2231"/>
      <c r="C20" s="1621">
        <f>C8-C17</f>
        <v>86749</v>
      </c>
      <c r="D20" s="1621">
        <f t="shared" ref="D20:K20" si="5">D8-D17</f>
        <v>-5762</v>
      </c>
      <c r="E20" s="1621">
        <f t="shared" si="5"/>
        <v>12711</v>
      </c>
      <c r="F20" s="1621">
        <f t="shared" si="5"/>
        <v>4861</v>
      </c>
      <c r="G20" s="1621">
        <f t="shared" si="5"/>
        <v>7664</v>
      </c>
      <c r="H20" s="1621">
        <f t="shared" si="5"/>
        <v>50003</v>
      </c>
      <c r="I20" s="1621">
        <f t="shared" si="5"/>
        <v>10622</v>
      </c>
      <c r="J20" s="1621">
        <f t="shared" si="5"/>
        <v>-9898</v>
      </c>
      <c r="K20" s="1621">
        <f t="shared" si="5"/>
        <v>-18811</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v>10622</v>
      </c>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10622</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10622</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10622</v>
      </c>
      <c r="J76" s="1623">
        <f t="shared" si="7"/>
        <v>0</v>
      </c>
      <c r="K76" s="1623">
        <f t="shared" si="7"/>
        <v>0</v>
      </c>
      <c r="L76" s="453"/>
    </row>
    <row r="77" spans="1:12" ht="14.25" thickTop="1" thickBot="1" x14ac:dyDescent="0.25">
      <c r="A77" s="2222" t="s">
        <v>1167</v>
      </c>
      <c r="B77" s="2223"/>
      <c r="C77" s="1623">
        <f t="shared" ref="C77:K77" si="8">C44-C76</f>
        <v>10622</v>
      </c>
      <c r="D77" s="1623">
        <f t="shared" si="8"/>
        <v>0</v>
      </c>
      <c r="E77" s="1623">
        <f t="shared" si="8"/>
        <v>0</v>
      </c>
      <c r="F77" s="1623">
        <f t="shared" si="8"/>
        <v>0</v>
      </c>
      <c r="G77" s="1623">
        <f t="shared" si="8"/>
        <v>0</v>
      </c>
      <c r="H77" s="1623">
        <f t="shared" si="8"/>
        <v>0</v>
      </c>
      <c r="I77" s="1623">
        <f t="shared" si="8"/>
        <v>-10622</v>
      </c>
      <c r="J77" s="1623">
        <f t="shared" si="8"/>
        <v>0</v>
      </c>
      <c r="K77" s="1623">
        <f t="shared" si="8"/>
        <v>0</v>
      </c>
      <c r="L77" s="325"/>
    </row>
    <row r="78" spans="1:12" ht="21.75" customHeight="1" thickTop="1" thickBot="1" x14ac:dyDescent="0.25">
      <c r="A78" s="2226" t="s">
        <v>593</v>
      </c>
      <c r="B78" s="2227"/>
      <c r="C78" s="1628">
        <f t="shared" ref="C78:K78" si="9">C20+C77</f>
        <v>97371</v>
      </c>
      <c r="D78" s="1628">
        <f t="shared" si="9"/>
        <v>-5762</v>
      </c>
      <c r="E78" s="1628">
        <f t="shared" si="9"/>
        <v>12711</v>
      </c>
      <c r="F78" s="1628">
        <f t="shared" si="9"/>
        <v>4861</v>
      </c>
      <c r="G78" s="1628">
        <f t="shared" si="9"/>
        <v>7664</v>
      </c>
      <c r="H78" s="1628">
        <f t="shared" si="9"/>
        <v>50003</v>
      </c>
      <c r="I78" s="1628">
        <f t="shared" si="9"/>
        <v>0</v>
      </c>
      <c r="J78" s="1628">
        <f t="shared" si="9"/>
        <v>-9898</v>
      </c>
      <c r="K78" s="1628">
        <f t="shared" si="9"/>
        <v>-18811</v>
      </c>
      <c r="L78" s="457"/>
    </row>
    <row r="79" spans="1:12" ht="13.5" thickTop="1" x14ac:dyDescent="0.2">
      <c r="A79" s="1843" t="str">
        <f>"Fund Balances - July 1, "&amp;'AFR20'!E2-1</f>
        <v>Fund Balances - July 1, 2019</v>
      </c>
      <c r="B79" s="458"/>
      <c r="C79" s="1582">
        <v>1075771</v>
      </c>
      <c r="D79" s="1629">
        <v>26469</v>
      </c>
      <c r="E79" s="1629">
        <v>1369</v>
      </c>
      <c r="F79" s="1629">
        <v>44271</v>
      </c>
      <c r="G79" s="1629">
        <v>26485</v>
      </c>
      <c r="H79" s="1629">
        <v>21</v>
      </c>
      <c r="I79" s="1629"/>
      <c r="J79" s="1629">
        <v>49231</v>
      </c>
      <c r="K79" s="1629">
        <v>54388</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1173142</v>
      </c>
      <c r="D81" s="1593">
        <f>SUM(D78:D80)</f>
        <v>20707</v>
      </c>
      <c r="E81" s="1593">
        <f t="shared" ref="E81:K81" si="10">SUM(E78:E80)</f>
        <v>14080</v>
      </c>
      <c r="F81" s="1593">
        <f t="shared" si="10"/>
        <v>49132</v>
      </c>
      <c r="G81" s="1593">
        <f t="shared" si="10"/>
        <v>34149</v>
      </c>
      <c r="H81" s="1593">
        <f t="shared" si="10"/>
        <v>50024</v>
      </c>
      <c r="I81" s="1593">
        <f t="shared" si="10"/>
        <v>0</v>
      </c>
      <c r="J81" s="1593">
        <f t="shared" si="10"/>
        <v>39333</v>
      </c>
      <c r="K81" s="1593">
        <f t="shared" si="10"/>
        <v>35577</v>
      </c>
      <c r="L81" s="325"/>
    </row>
    <row r="82" spans="1:12" ht="0.75" customHeight="1" thickTop="1" thickBot="1" x14ac:dyDescent="0.25">
      <c r="A82" s="459" t="s">
        <v>340</v>
      </c>
      <c r="B82" s="460"/>
      <c r="C82" s="461">
        <f>(C81-C79)</f>
        <v>97371</v>
      </c>
      <c r="D82" s="461">
        <f t="shared" ref="D82:K82" si="11">(D81-D79)</f>
        <v>-5762</v>
      </c>
      <c r="E82" s="461">
        <f t="shared" si="11"/>
        <v>12711</v>
      </c>
      <c r="F82" s="461">
        <f t="shared" si="11"/>
        <v>4861</v>
      </c>
      <c r="G82" s="461">
        <f t="shared" si="11"/>
        <v>7664</v>
      </c>
      <c r="H82" s="461">
        <f t="shared" si="11"/>
        <v>50003</v>
      </c>
      <c r="I82" s="461">
        <f t="shared" si="11"/>
        <v>0</v>
      </c>
      <c r="J82" s="461">
        <f t="shared" si="11"/>
        <v>-9898</v>
      </c>
      <c r="K82" s="461">
        <f t="shared" si="11"/>
        <v>-18811</v>
      </c>
    </row>
    <row r="83" spans="1:12" ht="14.25" hidden="1" thickTop="1" thickBot="1" x14ac:dyDescent="0.25">
      <c r="A83" s="462" t="s">
        <v>341</v>
      </c>
      <c r="B83" s="428"/>
      <c r="C83" s="463">
        <f>C82/C81</f>
        <v>8.3000182416109902E-2</v>
      </c>
      <c r="D83" s="463">
        <f t="shared" ref="D83:K83" si="12">D82/D81</f>
        <v>-0.27826338919206067</v>
      </c>
      <c r="E83" s="463">
        <f t="shared" si="12"/>
        <v>0.90276988636363631</v>
      </c>
      <c r="F83" s="463">
        <f t="shared" si="12"/>
        <v>9.8937555971668159E-2</v>
      </c>
      <c r="G83" s="463">
        <f t="shared" si="12"/>
        <v>0.22442824094409791</v>
      </c>
      <c r="H83" s="463">
        <f t="shared" si="12"/>
        <v>0.99958020150327842</v>
      </c>
      <c r="I83" s="463" t="e">
        <f t="shared" si="12"/>
        <v>#DIV/0!</v>
      </c>
      <c r="J83" s="463">
        <f t="shared" si="12"/>
        <v>-0.25164620039152874</v>
      </c>
      <c r="K83" s="463">
        <f t="shared" si="12"/>
        <v>-0.52874047839896565</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1" activePane="bottomLeft" state="frozen"/>
      <selection activeCell="D46" activeCellId="1" sqref="I42:O42 D46"/>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306190</v>
      </c>
      <c r="D5" s="1585">
        <v>63624</v>
      </c>
      <c r="E5" s="1572"/>
      <c r="F5" s="1630">
        <v>29326</v>
      </c>
      <c r="G5" s="1572">
        <v>29326</v>
      </c>
      <c r="H5" s="1572"/>
      <c r="I5" s="1572">
        <v>10440</v>
      </c>
      <c r="J5" s="1573">
        <v>115318</v>
      </c>
      <c r="K5" s="1572">
        <v>10936</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4771</v>
      </c>
      <c r="D7" s="1572"/>
      <c r="E7" s="1574"/>
      <c r="F7" s="1573"/>
      <c r="G7" s="1573"/>
      <c r="H7" s="1573"/>
      <c r="I7" s="1574"/>
      <c r="J7" s="1574"/>
      <c r="K7" s="1574"/>
    </row>
    <row r="8" spans="1:12" x14ac:dyDescent="0.2">
      <c r="A8" s="427" t="s">
        <v>410</v>
      </c>
      <c r="B8" s="429">
        <v>1150</v>
      </c>
      <c r="C8" s="1579"/>
      <c r="D8" s="1579"/>
      <c r="E8" s="1581"/>
      <c r="F8" s="1581"/>
      <c r="G8" s="1585">
        <v>2984</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310961</v>
      </c>
      <c r="D12" s="1632">
        <f t="shared" si="0"/>
        <v>63624</v>
      </c>
      <c r="E12" s="1632">
        <f t="shared" si="0"/>
        <v>0</v>
      </c>
      <c r="F12" s="1632">
        <f t="shared" si="0"/>
        <v>29326</v>
      </c>
      <c r="G12" s="1632">
        <f t="shared" si="0"/>
        <v>32310</v>
      </c>
      <c r="H12" s="1632">
        <f t="shared" si="0"/>
        <v>0</v>
      </c>
      <c r="I12" s="1632">
        <f t="shared" si="0"/>
        <v>10440</v>
      </c>
      <c r="J12" s="1632">
        <f t="shared" si="0"/>
        <v>115318</v>
      </c>
      <c r="K12" s="1593">
        <f t="shared" si="0"/>
        <v>10936</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2580</v>
      </c>
      <c r="D14" s="1572">
        <v>528</v>
      </c>
      <c r="E14" s="1572"/>
      <c r="F14" s="1572">
        <v>243</v>
      </c>
      <c r="G14" s="1572">
        <v>268</v>
      </c>
      <c r="H14" s="1572"/>
      <c r="I14" s="1572">
        <v>87</v>
      </c>
      <c r="J14" s="1573">
        <v>957</v>
      </c>
      <c r="K14" s="1572">
        <v>91</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121193</v>
      </c>
      <c r="D16" s="1572"/>
      <c r="E16" s="1572"/>
      <c r="F16" s="1572"/>
      <c r="G16" s="1572">
        <v>32181</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123773</v>
      </c>
      <c r="D18" s="1634">
        <f t="shared" ref="D18:K18" si="1">SUM(D14:D17)</f>
        <v>528</v>
      </c>
      <c r="E18" s="1634">
        <f t="shared" si="1"/>
        <v>0</v>
      </c>
      <c r="F18" s="1634">
        <f t="shared" si="1"/>
        <v>243</v>
      </c>
      <c r="G18" s="1634">
        <f t="shared" si="1"/>
        <v>32449</v>
      </c>
      <c r="H18" s="1634">
        <f t="shared" si="1"/>
        <v>0</v>
      </c>
      <c r="I18" s="1634">
        <f t="shared" si="1"/>
        <v>87</v>
      </c>
      <c r="J18" s="1634">
        <f t="shared" si="1"/>
        <v>957</v>
      </c>
      <c r="K18" s="1635">
        <f t="shared" si="1"/>
        <v>91</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15320</v>
      </c>
      <c r="D65" s="1572">
        <v>562</v>
      </c>
      <c r="E65" s="1572">
        <v>211</v>
      </c>
      <c r="F65" s="1573">
        <v>579</v>
      </c>
      <c r="G65" s="1572">
        <v>703</v>
      </c>
      <c r="H65" s="1572">
        <v>19</v>
      </c>
      <c r="I65" s="1572">
        <v>95</v>
      </c>
      <c r="J65" s="1573">
        <v>1060</v>
      </c>
      <c r="K65" s="1572">
        <v>466</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15320</v>
      </c>
      <c r="D67" s="1593">
        <f t="shared" ref="D67:K67" si="2">SUM(D65:D66)</f>
        <v>562</v>
      </c>
      <c r="E67" s="1593">
        <f t="shared" si="2"/>
        <v>211</v>
      </c>
      <c r="F67" s="1593">
        <f t="shared" si="2"/>
        <v>579</v>
      </c>
      <c r="G67" s="1593">
        <f t="shared" si="2"/>
        <v>703</v>
      </c>
      <c r="H67" s="1593">
        <f t="shared" si="2"/>
        <v>19</v>
      </c>
      <c r="I67" s="1593">
        <f t="shared" si="2"/>
        <v>95</v>
      </c>
      <c r="J67" s="1593">
        <f t="shared" si="2"/>
        <v>1060</v>
      </c>
      <c r="K67" s="1593">
        <f t="shared" si="2"/>
        <v>466</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16</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v>261</v>
      </c>
      <c r="D72" s="1574"/>
      <c r="E72" s="1574"/>
      <c r="F72" s="1574"/>
      <c r="G72" s="1574"/>
      <c r="H72" s="1574"/>
      <c r="I72" s="1574"/>
      <c r="J72" s="1574"/>
      <c r="K72" s="1574"/>
    </row>
    <row r="73" spans="1:11" ht="12.75" customHeight="1" x14ac:dyDescent="0.2">
      <c r="A73" s="427" t="s">
        <v>991</v>
      </c>
      <c r="B73" s="429">
        <v>1620</v>
      </c>
      <c r="C73" s="1631">
        <v>1150</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1427</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1315</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1315</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890</v>
      </c>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v>9000</v>
      </c>
      <c r="D104" s="1572">
        <v>3650</v>
      </c>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v>273</v>
      </c>
      <c r="D106" s="1597"/>
      <c r="E106" s="1573"/>
      <c r="F106" s="1573"/>
      <c r="G106" s="1573"/>
      <c r="H106" s="1573"/>
      <c r="I106" s="1616"/>
      <c r="J106" s="1573"/>
      <c r="K106" s="1573"/>
    </row>
    <row r="107" spans="1:12" ht="12.75" customHeight="1" x14ac:dyDescent="0.2">
      <c r="A107" s="427" t="s">
        <v>78</v>
      </c>
      <c r="B107" s="429">
        <v>1999</v>
      </c>
      <c r="C107" s="1631">
        <v>2835</v>
      </c>
      <c r="D107" s="1572">
        <v>6101</v>
      </c>
      <c r="E107" s="1572"/>
      <c r="F107" s="1572"/>
      <c r="G107" s="1572"/>
      <c r="H107" s="1572"/>
      <c r="I107" s="1572"/>
      <c r="J107" s="1573"/>
      <c r="K107" s="1572"/>
    </row>
    <row r="108" spans="1:12" ht="12.75" customHeight="1" thickBot="1" x14ac:dyDescent="0.25">
      <c r="A108" s="1405" t="s">
        <v>484</v>
      </c>
      <c r="B108" s="1407"/>
      <c r="C108" s="1632">
        <f>SUM(C95:C107)</f>
        <v>12108</v>
      </c>
      <c r="D108" s="1632">
        <f t="shared" ref="D108:K108" si="3">SUM(D95:D107)</f>
        <v>10641</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464904</v>
      </c>
      <c r="D109" s="1640">
        <f t="shared" si="4"/>
        <v>75355</v>
      </c>
      <c r="E109" s="1640">
        <f t="shared" si="4"/>
        <v>211</v>
      </c>
      <c r="F109" s="1640">
        <f t="shared" si="4"/>
        <v>30148</v>
      </c>
      <c r="G109" s="1640">
        <f t="shared" si="4"/>
        <v>65462</v>
      </c>
      <c r="H109" s="1640">
        <f t="shared" si="4"/>
        <v>19</v>
      </c>
      <c r="I109" s="1640">
        <f t="shared" si="4"/>
        <v>10622</v>
      </c>
      <c r="J109" s="1640">
        <f t="shared" si="4"/>
        <v>117335</v>
      </c>
      <c r="K109" s="1628">
        <f t="shared" si="4"/>
        <v>11493</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691410</v>
      </c>
      <c r="D117" s="1585">
        <v>15000</v>
      </c>
      <c r="E117" s="1572">
        <v>35935</v>
      </c>
      <c r="F117" s="1585">
        <v>10000</v>
      </c>
      <c r="G117" s="1585"/>
      <c r="H117" s="1572">
        <v>83652</v>
      </c>
      <c r="I117" s="1574"/>
      <c r="J117" s="1573">
        <v>10000</v>
      </c>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691410</v>
      </c>
      <c r="D122" s="1632">
        <f t="shared" si="5"/>
        <v>15000</v>
      </c>
      <c r="E122" s="1632">
        <f t="shared" si="5"/>
        <v>35935</v>
      </c>
      <c r="F122" s="1632">
        <f t="shared" si="5"/>
        <v>10000</v>
      </c>
      <c r="G122" s="1632">
        <f t="shared" si="5"/>
        <v>0</v>
      </c>
      <c r="H122" s="1632">
        <f t="shared" si="5"/>
        <v>83652</v>
      </c>
      <c r="I122" s="1574"/>
      <c r="J122" s="1632">
        <f>SUM(J117:J121)</f>
        <v>10000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6143</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6143</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1772</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18755</v>
      </c>
      <c r="G152" s="1573"/>
      <c r="H152" s="1574"/>
      <c r="I152" s="1574"/>
      <c r="J152" s="1574"/>
      <c r="K152" s="1574"/>
    </row>
    <row r="153" spans="1:11" ht="12.75" customHeight="1" x14ac:dyDescent="0.2">
      <c r="A153" s="427" t="s">
        <v>1048</v>
      </c>
      <c r="B153" s="478">
        <v>3510</v>
      </c>
      <c r="C153" s="1631"/>
      <c r="D153" s="1572"/>
      <c r="E153" s="1639"/>
      <c r="F153" s="1572">
        <v>3104</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21859</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v>50000</v>
      </c>
      <c r="I167" s="1574"/>
      <c r="J167" s="1574"/>
      <c r="K167" s="1625"/>
    </row>
    <row r="168" spans="1:11" ht="14.25" thickTop="1" thickBot="1" x14ac:dyDescent="0.25">
      <c r="A168" s="1269" t="s">
        <v>70</v>
      </c>
      <c r="B168" s="484">
        <v>3999</v>
      </c>
      <c r="C168" s="1653">
        <v>12386</v>
      </c>
      <c r="D168" s="1654"/>
      <c r="E168" s="1654"/>
      <c r="F168" s="1654"/>
      <c r="G168" s="1655">
        <v>1189</v>
      </c>
      <c r="H168" s="1656"/>
      <c r="I168" s="1655"/>
      <c r="J168" s="1655"/>
      <c r="K168" s="1656"/>
    </row>
    <row r="169" spans="1:11" ht="12.75" customHeight="1" thickTop="1" thickBot="1" x14ac:dyDescent="0.25">
      <c r="A169" s="2248" t="s">
        <v>395</v>
      </c>
      <c r="B169" s="2249"/>
      <c r="C169" s="1657">
        <f t="shared" ref="C169:K169" si="6">SUM(C132,C141,C145,C146:C150,C155,C156:C167,C168)</f>
        <v>20301</v>
      </c>
      <c r="D169" s="1657">
        <f t="shared" si="6"/>
        <v>0</v>
      </c>
      <c r="E169" s="1657">
        <f t="shared" si="6"/>
        <v>0</v>
      </c>
      <c r="F169" s="1657">
        <f t="shared" si="6"/>
        <v>21859</v>
      </c>
      <c r="G169" s="1657">
        <f t="shared" si="6"/>
        <v>1189</v>
      </c>
      <c r="H169" s="1657">
        <f t="shared" si="6"/>
        <v>50000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711711</v>
      </c>
      <c r="D170" s="1640">
        <f t="shared" si="7"/>
        <v>15000</v>
      </c>
      <c r="E170" s="1640">
        <f t="shared" si="7"/>
        <v>35935</v>
      </c>
      <c r="F170" s="1640">
        <f t="shared" si="7"/>
        <v>31859</v>
      </c>
      <c r="G170" s="1640">
        <f t="shared" si="7"/>
        <v>1189</v>
      </c>
      <c r="H170" s="1640">
        <f t="shared" si="7"/>
        <v>133652</v>
      </c>
      <c r="I170" s="1640">
        <f t="shared" si="7"/>
        <v>0</v>
      </c>
      <c r="J170" s="1640">
        <f t="shared" si="7"/>
        <v>10000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13421</v>
      </c>
      <c r="D180" s="1572"/>
      <c r="E180" s="1574"/>
      <c r="F180" s="1572"/>
      <c r="G180" s="1572"/>
      <c r="H180" s="1572"/>
      <c r="I180" s="1574"/>
      <c r="J180" s="1574"/>
      <c r="K180" s="1572"/>
    </row>
    <row r="181" spans="1:11" ht="13.5" thickBot="1" x14ac:dyDescent="0.25">
      <c r="A181" s="2256" t="s">
        <v>780</v>
      </c>
      <c r="B181" s="2257"/>
      <c r="C181" s="1632">
        <f>SUM(C177:C180)</f>
        <v>13421</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73801</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36203</v>
      </c>
      <c r="D193" s="1574"/>
      <c r="E193" s="1639"/>
      <c r="F193" s="1574"/>
      <c r="G193" s="1663"/>
      <c r="H193" s="1574"/>
      <c r="I193" s="1574"/>
      <c r="J193" s="1574"/>
      <c r="K193" s="1574"/>
    </row>
    <row r="194" spans="1:11" ht="12.75" customHeight="1" x14ac:dyDescent="0.2">
      <c r="A194" s="427" t="s">
        <v>1434</v>
      </c>
      <c r="B194" s="429">
        <v>4225</v>
      </c>
      <c r="C194" s="1631">
        <v>21684</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v>6049</v>
      </c>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137737</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110349</v>
      </c>
      <c r="D200" s="1572"/>
      <c r="E200" s="1574"/>
      <c r="F200" s="1572"/>
      <c r="G200" s="1572">
        <v>8756</v>
      </c>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110349</v>
      </c>
      <c r="D204" s="1632">
        <f>SUM(D200:D203)</f>
        <v>0</v>
      </c>
      <c r="E204" s="1574"/>
      <c r="F204" s="1632">
        <f>SUM(F200:F203)</f>
        <v>0</v>
      </c>
      <c r="G204" s="1632">
        <f>SUM(G200:G203)</f>
        <v>8756</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2023</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2023</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13228</v>
      </c>
      <c r="D213" s="1572"/>
      <c r="E213" s="1574"/>
      <c r="F213" s="1572"/>
      <c r="G213" s="1572"/>
      <c r="H213" s="1574"/>
      <c r="I213" s="1574"/>
      <c r="J213" s="1574"/>
      <c r="K213" s="1574"/>
    </row>
    <row r="214" spans="1:11" ht="12.75" customHeight="1" x14ac:dyDescent="0.2">
      <c r="A214" s="427" t="s">
        <v>1045</v>
      </c>
      <c r="B214" s="429">
        <v>4625</v>
      </c>
      <c r="C214" s="1631">
        <v>12439</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25667</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8623</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3290</v>
      </c>
      <c r="D263" s="1650"/>
      <c r="E263" s="1574"/>
      <c r="F263" s="1650"/>
      <c r="G263" s="1650"/>
      <c r="H263" s="1574"/>
      <c r="I263" s="1574"/>
      <c r="J263" s="1574"/>
      <c r="K263" s="1574"/>
    </row>
    <row r="264" spans="1:11" ht="12.75" customHeight="1" thickTop="1" thickBot="1" x14ac:dyDescent="0.25">
      <c r="A264" s="427" t="s">
        <v>374</v>
      </c>
      <c r="B264" s="429">
        <v>4992</v>
      </c>
      <c r="C264" s="1649">
        <v>24756</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312445</v>
      </c>
      <c r="D266" s="1640">
        <f t="shared" si="10"/>
        <v>0</v>
      </c>
      <c r="E266" s="1640">
        <f t="shared" si="10"/>
        <v>0</v>
      </c>
      <c r="F266" s="1640">
        <f t="shared" si="10"/>
        <v>0</v>
      </c>
      <c r="G266" s="1640">
        <f t="shared" si="10"/>
        <v>8756</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325866</v>
      </c>
      <c r="D267" s="1640">
        <f>SUM(D175,D181,D266)</f>
        <v>0</v>
      </c>
      <c r="E267" s="1640">
        <f>SUM(E175,E266)</f>
        <v>0</v>
      </c>
      <c r="F267" s="1640">
        <f t="shared" ref="F267:K267" si="11">SUM(F175,F181,F266)</f>
        <v>0</v>
      </c>
      <c r="G267" s="1640">
        <f t="shared" si="11"/>
        <v>8756</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1502481</v>
      </c>
      <c r="D268" s="1640">
        <f t="shared" si="12"/>
        <v>90355</v>
      </c>
      <c r="E268" s="1640">
        <f t="shared" si="12"/>
        <v>36146</v>
      </c>
      <c r="F268" s="1640">
        <f t="shared" si="12"/>
        <v>62007</v>
      </c>
      <c r="G268" s="1640">
        <f t="shared" si="12"/>
        <v>75407</v>
      </c>
      <c r="H268" s="1640">
        <f t="shared" si="12"/>
        <v>133671</v>
      </c>
      <c r="I268" s="1640">
        <f t="shared" si="12"/>
        <v>10622</v>
      </c>
      <c r="J268" s="1640">
        <f t="shared" si="12"/>
        <v>127335</v>
      </c>
      <c r="K268" s="1628">
        <f t="shared" si="12"/>
        <v>11493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activeCell="D46" activeCellId="1" sqref="I42:O42 D46"/>
      <selection pane="bottomLeft" activeCell="D46" activeCellId="1" sqref="I42:O42 D4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591856</v>
      </c>
      <c r="D5" s="1572">
        <v>110070</v>
      </c>
      <c r="E5" s="1572">
        <v>11926</v>
      </c>
      <c r="F5" s="1572">
        <v>28704</v>
      </c>
      <c r="G5" s="1572"/>
      <c r="H5" s="1572"/>
      <c r="I5" s="1573"/>
      <c r="J5" s="1573"/>
      <c r="K5" s="1671">
        <f>SUM(C5:J5)</f>
        <v>742556</v>
      </c>
      <c r="L5" s="1572">
        <v>741575</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167830</v>
      </c>
      <c r="D8" s="1572">
        <v>17809</v>
      </c>
      <c r="E8" s="1572"/>
      <c r="F8" s="1572">
        <v>1080</v>
      </c>
      <c r="G8" s="1572"/>
      <c r="H8" s="1572"/>
      <c r="I8" s="1573"/>
      <c r="J8" s="1573"/>
      <c r="K8" s="1671">
        <f t="shared" si="0"/>
        <v>186719</v>
      </c>
      <c r="L8" s="1572">
        <v>187631</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80124</v>
      </c>
      <c r="D10" s="1572">
        <v>1282</v>
      </c>
      <c r="E10" s="1572">
        <v>4583</v>
      </c>
      <c r="F10" s="1572">
        <v>28156</v>
      </c>
      <c r="G10" s="1572">
        <v>5007</v>
      </c>
      <c r="H10" s="1572"/>
      <c r="I10" s="1573"/>
      <c r="J10" s="1573"/>
      <c r="K10" s="1671">
        <f t="shared" si="0"/>
        <v>119152</v>
      </c>
      <c r="L10" s="1572">
        <v>119289</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9158</v>
      </c>
      <c r="D14" s="1572">
        <v>181</v>
      </c>
      <c r="E14" s="1572"/>
      <c r="F14" s="1572">
        <v>3410</v>
      </c>
      <c r="G14" s="1572"/>
      <c r="H14" s="1572">
        <v>325</v>
      </c>
      <c r="I14" s="1573"/>
      <c r="J14" s="1573"/>
      <c r="K14" s="1671">
        <f t="shared" si="0"/>
        <v>13074</v>
      </c>
      <c r="L14" s="1572">
        <v>13385</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848968</v>
      </c>
      <c r="D33" s="1673">
        <f t="shared" ref="D33:L33" si="1">SUM(D5:D32)</f>
        <v>129342</v>
      </c>
      <c r="E33" s="1673">
        <f t="shared" si="1"/>
        <v>16509</v>
      </c>
      <c r="F33" s="1673">
        <f t="shared" si="1"/>
        <v>61350</v>
      </c>
      <c r="G33" s="1673">
        <f t="shared" si="1"/>
        <v>5007</v>
      </c>
      <c r="H33" s="1673">
        <f t="shared" si="1"/>
        <v>325</v>
      </c>
      <c r="I33" s="1673">
        <f t="shared" si="1"/>
        <v>0</v>
      </c>
      <c r="J33" s="1673">
        <f t="shared" si="1"/>
        <v>0</v>
      </c>
      <c r="K33" s="1673">
        <f t="shared" si="1"/>
        <v>1061501</v>
      </c>
      <c r="L33" s="1673">
        <f t="shared" si="1"/>
        <v>1061880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c r="D38" s="1572"/>
      <c r="E38" s="1572"/>
      <c r="F38" s="1572">
        <v>859</v>
      </c>
      <c r="G38" s="1572"/>
      <c r="H38" s="1572"/>
      <c r="I38" s="1573"/>
      <c r="J38" s="1573"/>
      <c r="K38" s="1671">
        <f t="shared" si="2"/>
        <v>859</v>
      </c>
      <c r="L38" s="1572">
        <v>875</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v>25904</v>
      </c>
      <c r="G40" s="1572"/>
      <c r="H40" s="1572"/>
      <c r="I40" s="1573"/>
      <c r="J40" s="1573"/>
      <c r="K40" s="1671">
        <f t="shared" si="2"/>
        <v>25904</v>
      </c>
      <c r="L40" s="1572">
        <v>23750</v>
      </c>
    </row>
    <row r="41" spans="1:14" x14ac:dyDescent="0.2">
      <c r="A41" s="1273" t="s">
        <v>1650</v>
      </c>
      <c r="B41" s="503">
        <v>2190</v>
      </c>
      <c r="C41" s="1572">
        <v>2394</v>
      </c>
      <c r="D41" s="1572">
        <v>318</v>
      </c>
      <c r="E41" s="1572">
        <v>104</v>
      </c>
      <c r="F41" s="1572">
        <v>3788</v>
      </c>
      <c r="G41" s="1572"/>
      <c r="H41" s="1572"/>
      <c r="I41" s="1573"/>
      <c r="J41" s="1573"/>
      <c r="K41" s="1671">
        <f t="shared" si="2"/>
        <v>6604</v>
      </c>
      <c r="L41" s="1572">
        <v>6625</v>
      </c>
    </row>
    <row r="42" spans="1:14" ht="12.75" customHeight="1" thickBot="1" x14ac:dyDescent="0.25">
      <c r="A42" s="1379" t="s">
        <v>556</v>
      </c>
      <c r="B42" s="1380" t="s">
        <v>711</v>
      </c>
      <c r="C42" s="1673">
        <f>SUM(C36:C41)</f>
        <v>2394</v>
      </c>
      <c r="D42" s="1673">
        <f t="shared" ref="D42:L42" si="3">SUM(D36:D41)</f>
        <v>318</v>
      </c>
      <c r="E42" s="1673">
        <f t="shared" si="3"/>
        <v>104</v>
      </c>
      <c r="F42" s="1673">
        <f t="shared" si="3"/>
        <v>30551</v>
      </c>
      <c r="G42" s="1673">
        <f t="shared" si="3"/>
        <v>0</v>
      </c>
      <c r="H42" s="1673">
        <f t="shared" si="3"/>
        <v>0</v>
      </c>
      <c r="I42" s="1673">
        <f t="shared" si="3"/>
        <v>0</v>
      </c>
      <c r="J42" s="1673">
        <f t="shared" si="3"/>
        <v>0</v>
      </c>
      <c r="K42" s="1673">
        <f t="shared" si="3"/>
        <v>33367</v>
      </c>
      <c r="L42" s="1673">
        <f t="shared" si="3"/>
        <v>31250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1000</v>
      </c>
      <c r="D44" s="1585">
        <v>1585</v>
      </c>
      <c r="E44" s="1585">
        <v>129</v>
      </c>
      <c r="F44" s="1585">
        <v>7614</v>
      </c>
      <c r="G44" s="1585"/>
      <c r="H44" s="1585"/>
      <c r="I44" s="1573"/>
      <c r="J44" s="1573"/>
      <c r="K44" s="1677">
        <f>SUM(C44:J44)</f>
        <v>10328</v>
      </c>
      <c r="L44" s="1585">
        <v>9990</v>
      </c>
    </row>
    <row r="45" spans="1:14" x14ac:dyDescent="0.2">
      <c r="A45" s="1273" t="s">
        <v>810</v>
      </c>
      <c r="B45" s="503">
        <v>2220</v>
      </c>
      <c r="C45" s="1572">
        <v>1400</v>
      </c>
      <c r="D45" s="1572"/>
      <c r="E45" s="1572">
        <v>9143</v>
      </c>
      <c r="F45" s="1572">
        <v>982</v>
      </c>
      <c r="G45" s="1572"/>
      <c r="H45" s="1572"/>
      <c r="I45" s="1573"/>
      <c r="J45" s="1573"/>
      <c r="K45" s="1677">
        <f>SUM(C45:J45)</f>
        <v>11525</v>
      </c>
      <c r="L45" s="1572">
        <v>11535</v>
      </c>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2400</v>
      </c>
      <c r="D47" s="1673">
        <f t="shared" ref="D47:K47" si="4">SUM(D44:D46)</f>
        <v>1585</v>
      </c>
      <c r="E47" s="1673">
        <f t="shared" si="4"/>
        <v>9272</v>
      </c>
      <c r="F47" s="1673">
        <f t="shared" si="4"/>
        <v>8596</v>
      </c>
      <c r="G47" s="1673">
        <f t="shared" si="4"/>
        <v>0</v>
      </c>
      <c r="H47" s="1673">
        <f t="shared" si="4"/>
        <v>0</v>
      </c>
      <c r="I47" s="1673">
        <f t="shared" si="4"/>
        <v>0</v>
      </c>
      <c r="J47" s="1673">
        <f t="shared" si="4"/>
        <v>0</v>
      </c>
      <c r="K47" s="1673">
        <f t="shared" si="4"/>
        <v>21853</v>
      </c>
      <c r="L47" s="1673">
        <f>SUM(L44:L46)</f>
        <v>21525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1087</v>
      </c>
      <c r="D49" s="1585"/>
      <c r="E49" s="1585">
        <v>12348</v>
      </c>
      <c r="F49" s="1585">
        <v>1381</v>
      </c>
      <c r="G49" s="1585"/>
      <c r="H49" s="1585">
        <v>3876</v>
      </c>
      <c r="I49" s="1573"/>
      <c r="J49" s="1573"/>
      <c r="K49" s="1677">
        <f>SUM(C49:J49)</f>
        <v>18692</v>
      </c>
      <c r="L49" s="1585">
        <v>20253</v>
      </c>
    </row>
    <row r="50" spans="1:14" x14ac:dyDescent="0.2">
      <c r="A50" s="1273" t="s">
        <v>813</v>
      </c>
      <c r="B50" s="503">
        <v>2320</v>
      </c>
      <c r="C50" s="1572">
        <v>53422</v>
      </c>
      <c r="D50" s="1572">
        <v>6891</v>
      </c>
      <c r="E50" s="1572">
        <v>591</v>
      </c>
      <c r="F50" s="1572">
        <v>37</v>
      </c>
      <c r="G50" s="1572"/>
      <c r="H50" s="1572">
        <v>891</v>
      </c>
      <c r="I50" s="1573"/>
      <c r="J50" s="1573"/>
      <c r="K50" s="1677">
        <f>SUM(C50:J50)</f>
        <v>61832</v>
      </c>
      <c r="L50" s="1572">
        <v>61807</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54509</v>
      </c>
      <c r="D53" s="1673">
        <f t="shared" ref="D53:L53" si="5">SUM(D49:D52)</f>
        <v>6891</v>
      </c>
      <c r="E53" s="1673">
        <f t="shared" si="5"/>
        <v>12939</v>
      </c>
      <c r="F53" s="1673">
        <f t="shared" si="5"/>
        <v>1418</v>
      </c>
      <c r="G53" s="1673">
        <f t="shared" si="5"/>
        <v>0</v>
      </c>
      <c r="H53" s="1673">
        <f t="shared" si="5"/>
        <v>4767</v>
      </c>
      <c r="I53" s="1673">
        <f t="shared" si="5"/>
        <v>0</v>
      </c>
      <c r="J53" s="1673">
        <f t="shared" si="5"/>
        <v>0</v>
      </c>
      <c r="K53" s="1673">
        <f t="shared" si="5"/>
        <v>80524</v>
      </c>
      <c r="L53" s="1673">
        <f t="shared" si="5"/>
        <v>82060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57925</v>
      </c>
      <c r="D55" s="1585">
        <v>3597</v>
      </c>
      <c r="E55" s="1585"/>
      <c r="F55" s="1585">
        <v>1164</v>
      </c>
      <c r="G55" s="1585"/>
      <c r="H55" s="1585"/>
      <c r="I55" s="1573"/>
      <c r="J55" s="1573"/>
      <c r="K55" s="1677">
        <f>SUM(C55:J55)</f>
        <v>62686</v>
      </c>
      <c r="L55" s="1585">
        <v>62940</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57925</v>
      </c>
      <c r="D57" s="1678">
        <f t="shared" ref="D57:K57" si="6">SUM(D55:D56)</f>
        <v>3597</v>
      </c>
      <c r="E57" s="1678">
        <f t="shared" si="6"/>
        <v>0</v>
      </c>
      <c r="F57" s="1678">
        <f t="shared" si="6"/>
        <v>1164</v>
      </c>
      <c r="G57" s="1678">
        <f t="shared" si="6"/>
        <v>0</v>
      </c>
      <c r="H57" s="1678">
        <f t="shared" si="6"/>
        <v>0</v>
      </c>
      <c r="I57" s="1678">
        <f t="shared" si="6"/>
        <v>0</v>
      </c>
      <c r="J57" s="1678">
        <f t="shared" si="6"/>
        <v>0</v>
      </c>
      <c r="K57" s="1678">
        <f t="shared" si="6"/>
        <v>62686</v>
      </c>
      <c r="L57" s="1673">
        <f>SUM(L55:L56)</f>
        <v>62940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15225</v>
      </c>
      <c r="D60" s="1572"/>
      <c r="E60" s="1572">
        <v>732</v>
      </c>
      <c r="F60" s="1572">
        <v>316</v>
      </c>
      <c r="G60" s="1572"/>
      <c r="H60" s="1572"/>
      <c r="I60" s="1573"/>
      <c r="J60" s="1573"/>
      <c r="K60" s="1677">
        <f t="shared" si="7"/>
        <v>16273</v>
      </c>
      <c r="L60" s="1572">
        <v>16295</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32456</v>
      </c>
      <c r="D63" s="1572"/>
      <c r="E63" s="1572">
        <v>3873</v>
      </c>
      <c r="F63" s="1572">
        <v>75531</v>
      </c>
      <c r="G63" s="1572"/>
      <c r="H63" s="1572"/>
      <c r="I63" s="1573"/>
      <c r="J63" s="1573"/>
      <c r="K63" s="1677">
        <f t="shared" si="7"/>
        <v>111860</v>
      </c>
      <c r="L63" s="1572">
        <v>111905</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47681</v>
      </c>
      <c r="D65" s="1673">
        <f t="shared" ref="D65:L65" si="8">SUM(D59:D64)</f>
        <v>0</v>
      </c>
      <c r="E65" s="1673">
        <f t="shared" si="8"/>
        <v>4605</v>
      </c>
      <c r="F65" s="1673">
        <f t="shared" si="8"/>
        <v>75847</v>
      </c>
      <c r="G65" s="1673">
        <f t="shared" si="8"/>
        <v>0</v>
      </c>
      <c r="H65" s="1673">
        <f t="shared" si="8"/>
        <v>0</v>
      </c>
      <c r="I65" s="1673">
        <f t="shared" si="8"/>
        <v>0</v>
      </c>
      <c r="J65" s="1673">
        <f t="shared" si="8"/>
        <v>0</v>
      </c>
      <c r="K65" s="1673">
        <f t="shared" si="8"/>
        <v>128133</v>
      </c>
      <c r="L65" s="1673">
        <f t="shared" si="8"/>
        <v>128200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164909</v>
      </c>
      <c r="D74" s="1680">
        <f t="shared" ref="D74:K74" si="10">SUM(D42,D47,D53,D57,D65,D72,D73)</f>
        <v>12391</v>
      </c>
      <c r="E74" s="1680">
        <f t="shared" si="10"/>
        <v>26920</v>
      </c>
      <c r="F74" s="1680">
        <f t="shared" si="10"/>
        <v>117576</v>
      </c>
      <c r="G74" s="1680">
        <f t="shared" si="10"/>
        <v>0</v>
      </c>
      <c r="H74" s="1680">
        <f t="shared" si="10"/>
        <v>4767</v>
      </c>
      <c r="I74" s="1680">
        <f t="shared" si="10"/>
        <v>0</v>
      </c>
      <c r="J74" s="1680">
        <f t="shared" si="10"/>
        <v>0</v>
      </c>
      <c r="K74" s="1680">
        <f t="shared" si="10"/>
        <v>326563</v>
      </c>
      <c r="L74" s="1680">
        <f>SUM(L42,L47,L53,L57,L65,L72,L73)</f>
        <v>325975</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2460</v>
      </c>
      <c r="F79" s="1672"/>
      <c r="G79" s="1672"/>
      <c r="H79" s="1572">
        <v>14951</v>
      </c>
      <c r="I79" s="1581"/>
      <c r="J79" s="1581"/>
      <c r="K79" s="1671">
        <f t="shared" si="11"/>
        <v>17411</v>
      </c>
      <c r="L79" s="1572">
        <v>26214</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v>1454</v>
      </c>
      <c r="I83" s="1581"/>
      <c r="J83" s="1581"/>
      <c r="K83" s="1671">
        <f t="shared" si="11"/>
        <v>1454</v>
      </c>
      <c r="L83" s="1572">
        <v>1454</v>
      </c>
    </row>
    <row r="84" spans="1:12" ht="13.5" thickBot="1" x14ac:dyDescent="0.25">
      <c r="A84" s="1379" t="s">
        <v>1468</v>
      </c>
      <c r="B84" s="1384">
        <v>4100</v>
      </c>
      <c r="C84" s="1672"/>
      <c r="D84" s="1672"/>
      <c r="E84" s="1673">
        <f>SUM(E78:E83)</f>
        <v>2460</v>
      </c>
      <c r="F84" s="1672"/>
      <c r="G84" s="1672"/>
      <c r="H84" s="1673">
        <f>SUM(H78:H83)</f>
        <v>16405</v>
      </c>
      <c r="I84" s="1581"/>
      <c r="J84" s="1581"/>
      <c r="K84" s="1673">
        <f>SUM(K78:K83)</f>
        <v>18865</v>
      </c>
      <c r="L84" s="1673">
        <f>SUM(L78:L83)</f>
        <v>27668</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8803</v>
      </c>
      <c r="I86" s="1581"/>
      <c r="J86" s="1581"/>
      <c r="K86" s="1680">
        <f t="shared" ref="K86:K98" si="12">H86</f>
        <v>8803</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8803</v>
      </c>
      <c r="I92" s="1581"/>
      <c r="J92" s="1581"/>
      <c r="K92" s="1680">
        <f t="shared" si="12"/>
        <v>8803</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2460</v>
      </c>
      <c r="F102" s="1672"/>
      <c r="G102" s="1672"/>
      <c r="H102" s="1680">
        <f>SUM(H84,H92,H100,H101)</f>
        <v>25208</v>
      </c>
      <c r="I102" s="1581"/>
      <c r="J102" s="1581"/>
      <c r="K102" s="1680">
        <f>SUM(K84,K92,K100,K101)</f>
        <v>27668</v>
      </c>
      <c r="L102" s="1680">
        <f>SUM(L84,L92,L100,L101)</f>
        <v>27668</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1013877</v>
      </c>
      <c r="D114" s="1673">
        <f t="shared" ref="D114:K114" si="13">SUM(D33,D74,D75,D102,D112,D113)</f>
        <v>141733</v>
      </c>
      <c r="E114" s="1673">
        <f t="shared" si="13"/>
        <v>45889</v>
      </c>
      <c r="F114" s="1673">
        <f t="shared" si="13"/>
        <v>178926</v>
      </c>
      <c r="G114" s="1673">
        <f t="shared" si="13"/>
        <v>5007</v>
      </c>
      <c r="H114" s="1673">
        <f>SUM(H33,H74,H75,H102,H112,H113)</f>
        <v>30300</v>
      </c>
      <c r="I114" s="1673">
        <f t="shared" si="13"/>
        <v>0</v>
      </c>
      <c r="J114" s="1673">
        <f t="shared" si="13"/>
        <v>0</v>
      </c>
      <c r="K114" s="1673">
        <f t="shared" si="13"/>
        <v>1415732</v>
      </c>
      <c r="L114" s="1673">
        <f>SUM(L33,L74,L75,L102,L112,L113)</f>
        <v>1415523</v>
      </c>
    </row>
    <row r="115" spans="1:14" ht="13.5" thickTop="1" x14ac:dyDescent="0.2">
      <c r="A115" s="2285" t="s">
        <v>989</v>
      </c>
      <c r="B115" s="2286"/>
      <c r="C115" s="1674"/>
      <c r="D115" s="1674"/>
      <c r="E115" s="1674"/>
      <c r="F115" s="1674"/>
      <c r="G115" s="1674"/>
      <c r="H115" s="1674"/>
      <c r="I115" s="1674"/>
      <c r="J115" s="1674"/>
      <c r="K115" s="1688">
        <f>'Revenues 9-14'!C268-'Expenditures 15-22'!K114</f>
        <v>86749</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3" t="s">
        <v>293</v>
      </c>
      <c r="B117" s="2264"/>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48216</v>
      </c>
      <c r="D124" s="1572"/>
      <c r="E124" s="1572">
        <v>31692</v>
      </c>
      <c r="F124" s="1572">
        <v>16209</v>
      </c>
      <c r="G124" s="1572"/>
      <c r="H124" s="1572"/>
      <c r="I124" s="1573"/>
      <c r="J124" s="1573"/>
      <c r="K124" s="1673">
        <f>SUM(C124:J124)</f>
        <v>96117</v>
      </c>
      <c r="L124" s="1572">
        <v>96160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48216</v>
      </c>
      <c r="D127" s="1673">
        <f t="shared" ref="D127:L127" si="14">SUM(D122:D126)</f>
        <v>0</v>
      </c>
      <c r="E127" s="1673">
        <f t="shared" si="14"/>
        <v>31692</v>
      </c>
      <c r="F127" s="1673">
        <f t="shared" si="14"/>
        <v>16209</v>
      </c>
      <c r="G127" s="1673">
        <f t="shared" si="14"/>
        <v>0</v>
      </c>
      <c r="H127" s="1673">
        <f t="shared" si="14"/>
        <v>0</v>
      </c>
      <c r="I127" s="1673">
        <f t="shared" si="14"/>
        <v>0</v>
      </c>
      <c r="J127" s="1673">
        <f t="shared" si="14"/>
        <v>0</v>
      </c>
      <c r="K127" s="1673">
        <f t="shared" si="14"/>
        <v>96117</v>
      </c>
      <c r="L127" s="1673">
        <f t="shared" si="14"/>
        <v>96160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48216</v>
      </c>
      <c r="D129" s="1680">
        <f t="shared" ref="D129:L129" si="15">SUM(D120,D127,D128)</f>
        <v>0</v>
      </c>
      <c r="E129" s="1680">
        <f t="shared" si="15"/>
        <v>31692</v>
      </c>
      <c r="F129" s="1680">
        <f t="shared" si="15"/>
        <v>16209</v>
      </c>
      <c r="G129" s="1680">
        <f t="shared" si="15"/>
        <v>0</v>
      </c>
      <c r="H129" s="1680">
        <f t="shared" si="15"/>
        <v>0</v>
      </c>
      <c r="I129" s="1680">
        <f t="shared" si="15"/>
        <v>0</v>
      </c>
      <c r="J129" s="1680">
        <f t="shared" si="15"/>
        <v>0</v>
      </c>
      <c r="K129" s="1680">
        <f t="shared" si="15"/>
        <v>96117</v>
      </c>
      <c r="L129" s="1680">
        <f t="shared" si="15"/>
        <v>96160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5" t="s">
        <v>616</v>
      </c>
      <c r="B151" s="2257"/>
      <c r="C151" s="1673">
        <f>SUM(C129,C130,C139,C149,C150)</f>
        <v>48216</v>
      </c>
      <c r="D151" s="1673">
        <f t="shared" ref="D151:K151" si="16">SUM(D129,D130,D139,D149,D150)</f>
        <v>0</v>
      </c>
      <c r="E151" s="1673">
        <f t="shared" si="16"/>
        <v>31692</v>
      </c>
      <c r="F151" s="1673">
        <f t="shared" si="16"/>
        <v>16209</v>
      </c>
      <c r="G151" s="1673">
        <f t="shared" si="16"/>
        <v>0</v>
      </c>
      <c r="H151" s="1673">
        <f t="shared" si="16"/>
        <v>0</v>
      </c>
      <c r="I151" s="1673">
        <f t="shared" si="16"/>
        <v>0</v>
      </c>
      <c r="J151" s="1673">
        <f t="shared" si="16"/>
        <v>0</v>
      </c>
      <c r="K151" s="1673">
        <f t="shared" si="16"/>
        <v>96117</v>
      </c>
      <c r="L151" s="1673">
        <f>SUM(L129,L130,L139,L149,L150)</f>
        <v>96160</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-5762</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3" t="s">
        <v>617</v>
      </c>
      <c r="B154" s="226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8435</v>
      </c>
      <c r="I169" s="1672"/>
      <c r="J169" s="1672"/>
      <c r="K169" s="1671">
        <f>SUM(C169:H169)</f>
        <v>8435</v>
      </c>
      <c r="L169" s="1694">
        <v>8435</v>
      </c>
    </row>
    <row r="170" spans="1:14" ht="33.75" customHeight="1" x14ac:dyDescent="0.2">
      <c r="A170" s="543" t="s">
        <v>1651</v>
      </c>
      <c r="B170" s="545" t="s">
        <v>31</v>
      </c>
      <c r="C170" s="1672"/>
      <c r="D170" s="1672"/>
      <c r="E170" s="1672"/>
      <c r="F170" s="1672"/>
      <c r="G170" s="1672"/>
      <c r="H170" s="1645">
        <v>15000</v>
      </c>
      <c r="I170" s="1672"/>
      <c r="J170" s="1672"/>
      <c r="K170" s="1671">
        <f>SUM(C170:J170)</f>
        <v>15000</v>
      </c>
      <c r="L170" s="1645">
        <v>15000</v>
      </c>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23435</v>
      </c>
      <c r="I172" s="1683"/>
      <c r="J172" s="1672"/>
      <c r="K172" s="1680">
        <f>SUM(K168,K169,K170,K171)</f>
        <v>23435</v>
      </c>
      <c r="L172" s="1680">
        <f>SUM(L168,L169,L170,L171)</f>
        <v>23435</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23435</v>
      </c>
      <c r="I174" s="1683"/>
      <c r="J174" s="1672"/>
      <c r="K174" s="1680">
        <f>SUM(K160,K172,K173)</f>
        <v>23435</v>
      </c>
      <c r="L174" s="1680">
        <f>SUM(L160,L172,L173)</f>
        <v>23435</v>
      </c>
    </row>
    <row r="175" spans="1:14" ht="13.5" thickTop="1" x14ac:dyDescent="0.2">
      <c r="A175" s="2285" t="s">
        <v>989</v>
      </c>
      <c r="B175" s="2286"/>
      <c r="C175" s="1672"/>
      <c r="D175" s="1672"/>
      <c r="E175" s="1672"/>
      <c r="F175" s="1672"/>
      <c r="G175" s="1672"/>
      <c r="H175" s="1674"/>
      <c r="I175" s="1672"/>
      <c r="J175" s="1672"/>
      <c r="K175" s="1688">
        <f>'Revenues 9-14'!E268-'Expenditures 15-22'!K174</f>
        <v>12711</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29286</v>
      </c>
      <c r="D182" s="1572">
        <v>718</v>
      </c>
      <c r="E182" s="1572">
        <v>21181</v>
      </c>
      <c r="F182" s="1572">
        <v>5961</v>
      </c>
      <c r="G182" s="1572"/>
      <c r="H182" s="1572"/>
      <c r="I182" s="1573"/>
      <c r="J182" s="1573"/>
      <c r="K182" s="1671">
        <f>SUM(C182:J182)</f>
        <v>57146</v>
      </c>
      <c r="L182" s="1572">
        <v>56063</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29286</v>
      </c>
      <c r="D184" s="1680">
        <f t="shared" ref="D184:J184" si="17">SUM(D180,D182,D183)</f>
        <v>718</v>
      </c>
      <c r="E184" s="1680">
        <f t="shared" si="17"/>
        <v>21181</v>
      </c>
      <c r="F184" s="1680">
        <f t="shared" si="17"/>
        <v>5961</v>
      </c>
      <c r="G184" s="1680">
        <f t="shared" si="17"/>
        <v>0</v>
      </c>
      <c r="H184" s="1680">
        <f t="shared" si="17"/>
        <v>0</v>
      </c>
      <c r="I184" s="1680">
        <f t="shared" si="17"/>
        <v>0</v>
      </c>
      <c r="J184" s="1680">
        <f t="shared" si="17"/>
        <v>0</v>
      </c>
      <c r="K184" s="1680">
        <f>SUM(K180,K182,K183)</f>
        <v>57146</v>
      </c>
      <c r="L184" s="1680">
        <f>SUM(L180, L182:L183)</f>
        <v>56063</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29286</v>
      </c>
      <c r="D210" s="1673">
        <f>SUM(D184,D185)</f>
        <v>718</v>
      </c>
      <c r="E210" s="1673">
        <f>SUM(E184,E185,E196)</f>
        <v>21181</v>
      </c>
      <c r="F210" s="1673">
        <f>SUM(F184,F185)</f>
        <v>5961</v>
      </c>
      <c r="G210" s="1673">
        <f>SUM(G184,G185)</f>
        <v>0</v>
      </c>
      <c r="H210" s="1673">
        <f>SUM(H184,H185,H196,H208,H209)</f>
        <v>0</v>
      </c>
      <c r="I210" s="1673">
        <f>SUM(I184,I185)</f>
        <v>0</v>
      </c>
      <c r="J210" s="1673">
        <f>SUM(J184,J185)</f>
        <v>0</v>
      </c>
      <c r="K210" s="1671">
        <f>SUM(K184,K185,K196,K208,K209)</f>
        <v>57146</v>
      </c>
      <c r="L210" s="1673">
        <f>SUM(L184,L185,L196,L208,L209)</f>
        <v>56063</v>
      </c>
    </row>
    <row r="211" spans="1:14" ht="13.5" thickTop="1" x14ac:dyDescent="0.2">
      <c r="A211" s="2285" t="s">
        <v>989</v>
      </c>
      <c r="B211" s="2286"/>
      <c r="C211" s="1674"/>
      <c r="D211" s="1674"/>
      <c r="E211" s="1674"/>
      <c r="F211" s="1674"/>
      <c r="G211" s="1674"/>
      <c r="H211" s="1674"/>
      <c r="I211" s="1672"/>
      <c r="J211" s="1672"/>
      <c r="K211" s="1688">
        <f>'Revenues 9-14'!F268-'Expenditures 15-22'!K210</f>
        <v>4861</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0" t="s">
        <v>959</v>
      </c>
      <c r="B213" s="2281"/>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12713</v>
      </c>
      <c r="E215" s="1672"/>
      <c r="F215" s="1672"/>
      <c r="G215" s="1672"/>
      <c r="H215" s="1672"/>
      <c r="I215" s="1672"/>
      <c r="J215" s="1672"/>
      <c r="K215" s="1671">
        <f>D215</f>
        <v>12713</v>
      </c>
      <c r="L215" s="1572">
        <v>12840</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12557</v>
      </c>
      <c r="E217" s="1672"/>
      <c r="F217" s="1672"/>
      <c r="G217" s="1672"/>
      <c r="H217" s="1672"/>
      <c r="I217" s="1672"/>
      <c r="J217" s="1672"/>
      <c r="K217" s="1671">
        <f t="shared" si="19"/>
        <v>12557</v>
      </c>
      <c r="L217" s="1572">
        <v>12730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11141</v>
      </c>
      <c r="E219" s="1672"/>
      <c r="F219" s="1672"/>
      <c r="G219" s="1672"/>
      <c r="H219" s="1672"/>
      <c r="I219" s="1672"/>
      <c r="J219" s="1672"/>
      <c r="K219" s="1671">
        <f t="shared" si="19"/>
        <v>11141</v>
      </c>
      <c r="L219" s="1572">
        <v>11200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898</v>
      </c>
      <c r="E223" s="1672"/>
      <c r="F223" s="1672"/>
      <c r="G223" s="1672"/>
      <c r="H223" s="1672"/>
      <c r="I223" s="1672"/>
      <c r="J223" s="1672"/>
      <c r="K223" s="1671">
        <f t="shared" si="19"/>
        <v>898</v>
      </c>
      <c r="L223" s="1572">
        <v>900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37309</v>
      </c>
      <c r="E229" s="1672"/>
      <c r="F229" s="1672"/>
      <c r="G229" s="1672"/>
      <c r="H229" s="1672"/>
      <c r="I229" s="1672"/>
      <c r="J229" s="1672"/>
      <c r="K229" s="1673">
        <f>SUM(K215:K228)</f>
        <v>37309</v>
      </c>
      <c r="L229" s="1673">
        <f>SUM(L215:L228)</f>
        <v>37670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1703</v>
      </c>
      <c r="E234" s="1672"/>
      <c r="F234" s="1672"/>
      <c r="G234" s="1672"/>
      <c r="H234" s="1672"/>
      <c r="I234" s="1672"/>
      <c r="J234" s="1672"/>
      <c r="K234" s="1671">
        <f t="shared" si="20"/>
        <v>1703</v>
      </c>
      <c r="L234" s="1572">
        <v>1705</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v>35</v>
      </c>
      <c r="E237" s="1672"/>
      <c r="F237" s="1672"/>
      <c r="G237" s="1672"/>
      <c r="H237" s="1672"/>
      <c r="I237" s="1672"/>
      <c r="J237" s="1672"/>
      <c r="K237" s="1671">
        <f t="shared" si="20"/>
        <v>35</v>
      </c>
      <c r="L237" s="1572">
        <v>35</v>
      </c>
    </row>
    <row r="238" spans="1:12" ht="12.75" customHeight="1" thickBot="1" x14ac:dyDescent="0.25">
      <c r="A238" s="1379" t="s">
        <v>556</v>
      </c>
      <c r="B238" s="1382" t="s">
        <v>711</v>
      </c>
      <c r="C238" s="1672"/>
      <c r="D238" s="1673">
        <f>SUM(D232:D237)</f>
        <v>1738</v>
      </c>
      <c r="E238" s="1672"/>
      <c r="F238" s="1672"/>
      <c r="G238" s="1672"/>
      <c r="H238" s="1672"/>
      <c r="I238" s="1672"/>
      <c r="J238" s="1672"/>
      <c r="K238" s="1673">
        <f>SUM(K232:K237)</f>
        <v>1738</v>
      </c>
      <c r="L238" s="1673">
        <f>SUM(L232:L237)</f>
        <v>1740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15</v>
      </c>
      <c r="E240" s="1672"/>
      <c r="F240" s="1672"/>
      <c r="G240" s="1672"/>
      <c r="H240" s="1672"/>
      <c r="I240" s="1672"/>
      <c r="J240" s="1672"/>
      <c r="K240" s="1677">
        <f>D240</f>
        <v>15</v>
      </c>
      <c r="L240" s="1585"/>
    </row>
    <row r="241" spans="1:12" x14ac:dyDescent="0.2">
      <c r="A241" s="1273" t="s">
        <v>810</v>
      </c>
      <c r="B241" s="503">
        <v>2220</v>
      </c>
      <c r="C241" s="1672"/>
      <c r="D241" s="1572">
        <v>197</v>
      </c>
      <c r="E241" s="1672"/>
      <c r="F241" s="1672"/>
      <c r="G241" s="1672"/>
      <c r="H241" s="1672"/>
      <c r="I241" s="1672"/>
      <c r="J241" s="1672"/>
      <c r="K241" s="1677">
        <f>D241</f>
        <v>197</v>
      </c>
      <c r="L241" s="1572">
        <v>200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212</v>
      </c>
      <c r="E243" s="1672"/>
      <c r="F243" s="1672"/>
      <c r="G243" s="1672"/>
      <c r="H243" s="1672"/>
      <c r="I243" s="1672"/>
      <c r="J243" s="1672"/>
      <c r="K243" s="1673">
        <f>SUM(K240:K242)</f>
        <v>212</v>
      </c>
      <c r="L243" s="1673">
        <f>SUM(L240:L242)</f>
        <v>200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171</v>
      </c>
      <c r="E245" s="1672"/>
      <c r="F245" s="1672"/>
      <c r="G245" s="1672"/>
      <c r="H245" s="1672"/>
      <c r="I245" s="1672"/>
      <c r="J245" s="1672"/>
      <c r="K245" s="1677">
        <f>D245</f>
        <v>171</v>
      </c>
      <c r="L245" s="1585">
        <v>171</v>
      </c>
    </row>
    <row r="246" spans="1:12" x14ac:dyDescent="0.2">
      <c r="A246" s="1273" t="s">
        <v>813</v>
      </c>
      <c r="B246" s="503">
        <v>2320</v>
      </c>
      <c r="C246" s="1672"/>
      <c r="D246" s="1572">
        <v>936</v>
      </c>
      <c r="E246" s="1672"/>
      <c r="F246" s="1672"/>
      <c r="G246" s="1672"/>
      <c r="H246" s="1672"/>
      <c r="I246" s="1672"/>
      <c r="J246" s="1672"/>
      <c r="K246" s="1677">
        <f t="shared" ref="K246:K256" si="21">D246</f>
        <v>936</v>
      </c>
      <c r="L246" s="1572">
        <v>940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1107</v>
      </c>
      <c r="E257" s="1672"/>
      <c r="F257" s="1672"/>
      <c r="G257" s="1672"/>
      <c r="H257" s="1672"/>
      <c r="I257" s="1672"/>
      <c r="J257" s="1672"/>
      <c r="K257" s="1673">
        <f>SUM(K245:K256)</f>
        <v>1107</v>
      </c>
      <c r="L257" s="1673">
        <f>SUM(L245:L256)</f>
        <v>1111</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5646</v>
      </c>
      <c r="E259" s="1672"/>
      <c r="F259" s="1672"/>
      <c r="G259" s="1672"/>
      <c r="H259" s="1672"/>
      <c r="I259" s="1672"/>
      <c r="J259" s="1672"/>
      <c r="K259" s="1677">
        <f>D259</f>
        <v>5646</v>
      </c>
      <c r="L259" s="1585">
        <v>5700</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5646</v>
      </c>
      <c r="E261" s="1672"/>
      <c r="F261" s="1672"/>
      <c r="G261" s="1672"/>
      <c r="H261" s="1672"/>
      <c r="I261" s="1672"/>
      <c r="J261" s="1672"/>
      <c r="K261" s="1673">
        <f>SUM(K259:K260)</f>
        <v>5646</v>
      </c>
      <c r="L261" s="1673">
        <f>SUM(L259:L260)</f>
        <v>5700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2434</v>
      </c>
      <c r="E264" s="1672"/>
      <c r="F264" s="1672"/>
      <c r="G264" s="1672"/>
      <c r="H264" s="1672"/>
      <c r="I264" s="1672"/>
      <c r="J264" s="1672"/>
      <c r="K264" s="1677">
        <f t="shared" ref="K264:K269" si="22">D264</f>
        <v>2434</v>
      </c>
      <c r="L264" s="1572">
        <v>2435</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9798</v>
      </c>
      <c r="E266" s="1672"/>
      <c r="F266" s="1672"/>
      <c r="G266" s="1672"/>
      <c r="H266" s="1672"/>
      <c r="I266" s="1672"/>
      <c r="J266" s="1672"/>
      <c r="K266" s="1677">
        <f t="shared" si="22"/>
        <v>9798</v>
      </c>
      <c r="L266" s="1572">
        <v>9850</v>
      </c>
    </row>
    <row r="267" spans="1:14" x14ac:dyDescent="0.2">
      <c r="A267" s="1273" t="s">
        <v>947</v>
      </c>
      <c r="B267" s="503">
        <v>2550</v>
      </c>
      <c r="C267" s="1672"/>
      <c r="D267" s="1572">
        <v>4146</v>
      </c>
      <c r="E267" s="1672"/>
      <c r="F267" s="1672"/>
      <c r="G267" s="1672"/>
      <c r="H267" s="1672"/>
      <c r="I267" s="1672"/>
      <c r="J267" s="1672"/>
      <c r="K267" s="1677">
        <f t="shared" si="22"/>
        <v>4146</v>
      </c>
      <c r="L267" s="1572">
        <v>4150</v>
      </c>
    </row>
    <row r="268" spans="1:14" x14ac:dyDescent="0.2">
      <c r="A268" s="1273" t="s">
        <v>100</v>
      </c>
      <c r="B268" s="503">
        <v>2560</v>
      </c>
      <c r="C268" s="1672"/>
      <c r="D268" s="1572">
        <v>5353</v>
      </c>
      <c r="E268" s="1672"/>
      <c r="F268" s="1672"/>
      <c r="G268" s="1672"/>
      <c r="H268" s="1672"/>
      <c r="I268" s="1672"/>
      <c r="J268" s="1672"/>
      <c r="K268" s="1677">
        <f t="shared" si="22"/>
        <v>5353</v>
      </c>
      <c r="L268" s="1572">
        <v>5450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21731</v>
      </c>
      <c r="E270" s="1672"/>
      <c r="F270" s="1672"/>
      <c r="G270" s="1672"/>
      <c r="H270" s="1672"/>
      <c r="I270" s="1672"/>
      <c r="J270" s="1672"/>
      <c r="K270" s="1673">
        <f>SUM(K263:K269)</f>
        <v>21731</v>
      </c>
      <c r="L270" s="1673">
        <f>SUM(L263:L269)</f>
        <v>21885</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30434</v>
      </c>
      <c r="E279" s="1672"/>
      <c r="F279" s="1672"/>
      <c r="G279" s="1672"/>
      <c r="H279" s="1672"/>
      <c r="I279" s="1672"/>
      <c r="J279" s="1672"/>
      <c r="K279" s="1680">
        <f>SUM(K238,K243,K257,K261,K270,K277,K278)</f>
        <v>30434</v>
      </c>
      <c r="L279" s="1680">
        <f>SUM(L238,L243,L257,L261,L270,L277,L278)</f>
        <v>30636</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67743</v>
      </c>
      <c r="E295" s="1672"/>
      <c r="F295" s="1672"/>
      <c r="G295" s="1672"/>
      <c r="H295" s="1673">
        <f>H293</f>
        <v>0</v>
      </c>
      <c r="I295" s="1672"/>
      <c r="J295" s="1672"/>
      <c r="K295" s="1673">
        <f>SUM(K229,K279,K280,K285,K293,K294)</f>
        <v>67743</v>
      </c>
      <c r="L295" s="1673">
        <f>SUM(L229,L279,L280,L285,L293,L294)</f>
        <v>68306</v>
      </c>
    </row>
    <row r="296" spans="1:14" ht="13.5" thickTop="1" x14ac:dyDescent="0.2">
      <c r="A296" s="2285" t="s">
        <v>989</v>
      </c>
      <c r="B296" s="2286"/>
      <c r="C296" s="1672"/>
      <c r="D296" s="1674"/>
      <c r="E296" s="1672"/>
      <c r="F296" s="1672"/>
      <c r="G296" s="1672"/>
      <c r="H296" s="1706"/>
      <c r="I296" s="1672"/>
      <c r="J296" s="1672"/>
      <c r="K296" s="1688">
        <f>'Revenues 9-14'!G268-'Expenditures 15-22'!K295</f>
        <v>7664</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28097</v>
      </c>
      <c r="F301" s="1572"/>
      <c r="G301" s="1572">
        <v>55571</v>
      </c>
      <c r="H301" s="1572"/>
      <c r="I301" s="1573"/>
      <c r="J301" s="1573"/>
      <c r="K301" s="1671">
        <f>SUM(C301:J301)</f>
        <v>83668</v>
      </c>
      <c r="L301" s="1573">
        <v>83669</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28097</v>
      </c>
      <c r="F303" s="1680">
        <f t="shared" si="23"/>
        <v>0</v>
      </c>
      <c r="G303" s="1680">
        <f t="shared" si="23"/>
        <v>55571</v>
      </c>
      <c r="H303" s="1680">
        <f t="shared" si="23"/>
        <v>0</v>
      </c>
      <c r="I303" s="1680">
        <f t="shared" si="23"/>
        <v>0</v>
      </c>
      <c r="J303" s="1680">
        <f t="shared" si="23"/>
        <v>0</v>
      </c>
      <c r="K303" s="1680">
        <f t="shared" si="23"/>
        <v>83668</v>
      </c>
      <c r="L303" s="1680">
        <f t="shared" si="23"/>
        <v>83669</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3" t="s">
        <v>275</v>
      </c>
      <c r="B312" s="2274"/>
      <c r="C312" s="1673">
        <f>SUM(C303)</f>
        <v>0</v>
      </c>
      <c r="D312" s="1673">
        <f>SUM(D303)</f>
        <v>0</v>
      </c>
      <c r="E312" s="1673">
        <f>SUM(E303,E310)</f>
        <v>28097</v>
      </c>
      <c r="F312" s="1673">
        <f>SUM(F303)</f>
        <v>0</v>
      </c>
      <c r="G312" s="1673">
        <f>SUM(G303)</f>
        <v>55571</v>
      </c>
      <c r="H312" s="1673">
        <f>SUM(H303,H310)</f>
        <v>0</v>
      </c>
      <c r="I312" s="1673">
        <f>SUM(I303)</f>
        <v>0</v>
      </c>
      <c r="J312" s="1673">
        <f>SUM(J303)</f>
        <v>0</v>
      </c>
      <c r="K312" s="1673">
        <f>SUM(K303,K310,K311)</f>
        <v>83668</v>
      </c>
      <c r="L312" s="1673">
        <f>SUM(L303,L310,L311)</f>
        <v>83669</v>
      </c>
      <c r="M312" s="539"/>
      <c r="N312" s="539"/>
    </row>
    <row r="313" spans="1:14" ht="13.5" thickTop="1" x14ac:dyDescent="0.2">
      <c r="A313" s="2269" t="s">
        <v>989</v>
      </c>
      <c r="B313" s="2270"/>
      <c r="C313" s="1676"/>
      <c r="D313" s="1676"/>
      <c r="E313" s="1676"/>
      <c r="F313" s="1676"/>
      <c r="G313" s="1676"/>
      <c r="H313" s="1676"/>
      <c r="I313" s="1676"/>
      <c r="J313" s="1676"/>
      <c r="K313" s="1695">
        <f>'Revenues 9-14'!H268-'Expenditures 15-22'!K312</f>
        <v>50003</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2" t="s">
        <v>148</v>
      </c>
      <c r="B315" s="228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4" t="s">
        <v>892</v>
      </c>
      <c r="B317" s="2283"/>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6766</v>
      </c>
      <c r="F320" s="1573"/>
      <c r="G320" s="1573"/>
      <c r="H320" s="1573"/>
      <c r="I320" s="1573"/>
      <c r="J320" s="1573"/>
      <c r="K320" s="1671">
        <f t="shared" ref="K320:K327" si="24">SUM(C320:J320)</f>
        <v>6766</v>
      </c>
      <c r="L320" s="1573">
        <v>6766</v>
      </c>
      <c r="M320" s="539"/>
      <c r="N320" s="539"/>
    </row>
    <row r="321" spans="1:14" s="548" customFormat="1" x14ac:dyDescent="0.2">
      <c r="A321" s="1288" t="s">
        <v>297</v>
      </c>
      <c r="B321" s="567" t="s">
        <v>281</v>
      </c>
      <c r="C321" s="1573"/>
      <c r="D321" s="1573"/>
      <c r="E321" s="1573">
        <v>1940</v>
      </c>
      <c r="F321" s="1573"/>
      <c r="G321" s="1573"/>
      <c r="H321" s="1573"/>
      <c r="I321" s="1573"/>
      <c r="J321" s="1573"/>
      <c r="K321" s="1671">
        <f t="shared" si="24"/>
        <v>1940</v>
      </c>
      <c r="L321" s="1573">
        <v>1940</v>
      </c>
      <c r="M321" s="539"/>
      <c r="N321" s="539"/>
    </row>
    <row r="322" spans="1:14" s="548" customFormat="1" x14ac:dyDescent="0.2">
      <c r="A322" s="1288" t="s">
        <v>236</v>
      </c>
      <c r="B322" s="567" t="s">
        <v>282</v>
      </c>
      <c r="C322" s="1573"/>
      <c r="D322" s="1573"/>
      <c r="E322" s="1573">
        <v>13986</v>
      </c>
      <c r="F322" s="1573"/>
      <c r="G322" s="1573"/>
      <c r="H322" s="1573"/>
      <c r="I322" s="1573"/>
      <c r="J322" s="1573"/>
      <c r="K322" s="1671">
        <f t="shared" si="24"/>
        <v>13986</v>
      </c>
      <c r="L322" s="1573">
        <v>14500</v>
      </c>
      <c r="M322" s="539"/>
      <c r="N322" s="539"/>
    </row>
    <row r="323" spans="1:14" s="548" customFormat="1" x14ac:dyDescent="0.2">
      <c r="A323" s="1288" t="s">
        <v>697</v>
      </c>
      <c r="B323" s="567" t="s">
        <v>283</v>
      </c>
      <c r="C323" s="1573">
        <v>86004</v>
      </c>
      <c r="D323" s="1573"/>
      <c r="E323" s="1573">
        <v>17774</v>
      </c>
      <c r="F323" s="1573"/>
      <c r="G323" s="1573"/>
      <c r="H323" s="1573"/>
      <c r="I323" s="1573"/>
      <c r="J323" s="1573"/>
      <c r="K323" s="1671">
        <f t="shared" si="24"/>
        <v>103778</v>
      </c>
      <c r="L323" s="1573">
        <v>112557</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563</v>
      </c>
      <c r="F327" s="1573"/>
      <c r="G327" s="1573"/>
      <c r="H327" s="1573"/>
      <c r="I327" s="1573"/>
      <c r="J327" s="1573"/>
      <c r="K327" s="1671">
        <f t="shared" si="24"/>
        <v>563</v>
      </c>
      <c r="L327" s="1573">
        <v>563</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86004</v>
      </c>
      <c r="D330" s="1673">
        <f t="shared" ref="D330:J330" si="25">SUM(D319:D329)</f>
        <v>0</v>
      </c>
      <c r="E330" s="1673">
        <f t="shared" si="25"/>
        <v>41029</v>
      </c>
      <c r="F330" s="1673">
        <f t="shared" si="25"/>
        <v>0</v>
      </c>
      <c r="G330" s="1673">
        <f t="shared" si="25"/>
        <v>0</v>
      </c>
      <c r="H330" s="1673">
        <f t="shared" si="25"/>
        <v>0</v>
      </c>
      <c r="I330" s="1673">
        <f t="shared" si="25"/>
        <v>0</v>
      </c>
      <c r="J330" s="1673">
        <f t="shared" si="25"/>
        <v>0</v>
      </c>
      <c r="K330" s="1673">
        <f>SUM(K319:K329)</f>
        <v>127033</v>
      </c>
      <c r="L330" s="1673">
        <f>SUM(L319:L329)</f>
        <v>136326</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v>10200</v>
      </c>
      <c r="I333" s="1713"/>
      <c r="J333" s="1713"/>
      <c r="K333" s="1671">
        <f>H333</f>
        <v>10200</v>
      </c>
      <c r="L333" s="1573">
        <v>11000</v>
      </c>
      <c r="M333" s="539"/>
      <c r="N333" s="539"/>
    </row>
    <row r="334" spans="1:14" s="548" customFormat="1" ht="12.75" customHeight="1" thickBot="1" x14ac:dyDescent="0.25">
      <c r="A334" s="1467" t="s">
        <v>1823</v>
      </c>
      <c r="B334" s="1462" t="s">
        <v>855</v>
      </c>
      <c r="C334" s="1713"/>
      <c r="D334" s="1713"/>
      <c r="E334" s="1713"/>
      <c r="F334" s="1713"/>
      <c r="G334" s="1713"/>
      <c r="H334" s="1673">
        <f>SUM(H332:H333)</f>
        <v>10200</v>
      </c>
      <c r="I334" s="1713"/>
      <c r="J334" s="1713"/>
      <c r="K334" s="1673">
        <f>SUM(K332:K333)</f>
        <v>10200</v>
      </c>
      <c r="L334" s="1673">
        <f>SUM(L332:L333)</f>
        <v>11000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86004</v>
      </c>
      <c r="D342" s="1673">
        <f>SUM(D330)</f>
        <v>0</v>
      </c>
      <c r="E342" s="1673">
        <f>SUM(E330)</f>
        <v>41029</v>
      </c>
      <c r="F342" s="1673">
        <f>SUM(F330)</f>
        <v>0</v>
      </c>
      <c r="G342" s="1673">
        <f>SUM(G330)</f>
        <v>0</v>
      </c>
      <c r="H342" s="1673">
        <f>SUM(H330,H334,H340)</f>
        <v>10200</v>
      </c>
      <c r="I342" s="1673">
        <f>SUM(I330)</f>
        <v>0</v>
      </c>
      <c r="J342" s="1673">
        <f>SUM(J330)</f>
        <v>0</v>
      </c>
      <c r="K342" s="1673">
        <f>SUM(K330,K334,K340)</f>
        <v>137233</v>
      </c>
      <c r="L342" s="1680">
        <f>SUM(L330,L334,L340,L341)</f>
        <v>147326</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-9898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1" t="s">
        <v>960</v>
      </c>
      <c r="B345" s="2262"/>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v>135</v>
      </c>
      <c r="G348" s="1572">
        <v>30169</v>
      </c>
      <c r="H348" s="1572"/>
      <c r="I348" s="1573"/>
      <c r="J348" s="1573"/>
      <c r="K348" s="1671">
        <f>SUM(C348:J348)</f>
        <v>30304</v>
      </c>
      <c r="L348" s="1572">
        <v>30304</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135</v>
      </c>
      <c r="G350" s="1673">
        <f t="shared" si="26"/>
        <v>30169</v>
      </c>
      <c r="H350" s="1673">
        <f t="shared" si="26"/>
        <v>0</v>
      </c>
      <c r="I350" s="1673">
        <f t="shared" si="26"/>
        <v>0</v>
      </c>
      <c r="J350" s="1673">
        <f t="shared" si="26"/>
        <v>0</v>
      </c>
      <c r="K350" s="1673">
        <f t="shared" si="26"/>
        <v>30304</v>
      </c>
      <c r="L350" s="1673">
        <f t="shared" si="26"/>
        <v>30304</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135</v>
      </c>
      <c r="G352" s="1673">
        <f t="shared" si="27"/>
        <v>30169</v>
      </c>
      <c r="H352" s="1673">
        <f t="shared" si="27"/>
        <v>0</v>
      </c>
      <c r="I352" s="1673">
        <f t="shared" si="27"/>
        <v>0</v>
      </c>
      <c r="J352" s="1673">
        <f t="shared" si="27"/>
        <v>0</v>
      </c>
      <c r="K352" s="1673">
        <f t="shared" si="27"/>
        <v>30304</v>
      </c>
      <c r="L352" s="1673">
        <f t="shared" si="27"/>
        <v>30304</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135</v>
      </c>
      <c r="G367" s="1673">
        <f t="shared" si="28"/>
        <v>30169</v>
      </c>
      <c r="H367" s="1673">
        <f t="shared" si="28"/>
        <v>0</v>
      </c>
      <c r="I367" s="1673">
        <f t="shared" si="28"/>
        <v>0</v>
      </c>
      <c r="J367" s="1673">
        <f t="shared" si="28"/>
        <v>0</v>
      </c>
      <c r="K367" s="1673">
        <f t="shared" si="28"/>
        <v>30304</v>
      </c>
      <c r="L367" s="1673">
        <f t="shared" si="28"/>
        <v>30304</v>
      </c>
    </row>
    <row r="368" spans="1:14" ht="13.5" thickTop="1" x14ac:dyDescent="0.2">
      <c r="A368" s="2285" t="s">
        <v>989</v>
      </c>
      <c r="B368" s="2286"/>
      <c r="C368" s="1693"/>
      <c r="D368" s="1693"/>
      <c r="E368" s="1676"/>
      <c r="F368" s="1676"/>
      <c r="G368" s="1676"/>
      <c r="H368" s="1676"/>
      <c r="I368" s="1676"/>
      <c r="J368" s="1675"/>
      <c r="K368" s="1671">
        <f>'Revenues 9-14'!K268-'Expenditures 15-22'!K367</f>
        <v>-18811</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d21dc803-237d-4c68-8692-8d731fd29118"/>
    <ds:schemaRef ds:uri="http://schemas.microsoft.com/office/infopath/2007/PartnerControls"/>
    <ds:schemaRef ds:uri="4d435f69-8686-490b-bd6d-b153bf22ab50"/>
    <ds:schemaRef ds:uri="http://purl.org/dc/elements/1.1/"/>
    <ds:schemaRef ds:uri="http://www.w3.org/XML/1998/namespace"/>
    <ds:schemaRef ds:uri="http://schemas.openxmlformats.org/package/2006/metadata/core-properties"/>
    <ds:schemaRef ds:uri="http://purl.org/dc/terms/"/>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2020-09-18T21:37:15Z</cp:lastPrinted>
  <dcterms:created xsi:type="dcterms:W3CDTF">2003-10-29T19:06:34Z</dcterms:created>
  <dcterms:modified xsi:type="dcterms:W3CDTF">2020-10-15T16:24:03Z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