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647C48F-7FD8-4580-BD71-547E81A30D0E}"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5" i="183" l="1"/>
  <c r="F34" i="183"/>
  <c r="F33" i="183"/>
  <c r="F32" i="183"/>
  <c r="F31" i="183"/>
  <c r="F30" i="183"/>
  <c r="F29" i="183"/>
  <c r="F28" i="183"/>
  <c r="F27" i="183"/>
  <c r="F26" i="183"/>
  <c r="F25" i="183"/>
  <c r="F24" i="183"/>
  <c r="F23" i="183"/>
  <c r="F22" i="183"/>
  <c r="F21"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7696" i="106" l="1"/>
  <c r="D7696" i="106" s="1"/>
  <c r="E66" i="184"/>
  <c r="N66" i="184" s="1"/>
  <c r="B7189" i="106"/>
  <c r="D7189" i="106" s="1"/>
  <c r="E64" i="184"/>
  <c r="N64" i="184" s="1"/>
  <c r="B7171" i="106"/>
  <c r="D7171" i="106" s="1"/>
  <c r="E62" i="184"/>
  <c r="N62" i="184" s="1"/>
  <c r="D31" i="108"/>
  <c r="E16" i="184"/>
  <c r="H16" i="184" s="1"/>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N57" i="184" s="1"/>
  <c r="G33" i="108"/>
  <c r="E17" i="184"/>
  <c r="H17" i="184" s="1"/>
  <c r="G30" i="108"/>
  <c r="H12" i="184"/>
  <c r="H19" i="184" s="1"/>
  <c r="L20" i="184" s="1"/>
  <c r="E19" i="184"/>
  <c r="F77" i="4"/>
  <c r="B3255" i="106" s="1"/>
  <c r="D3255" i="106" s="1"/>
  <c r="B7153" i="106"/>
  <c r="D7153" i="106" s="1"/>
  <c r="E60" i="184"/>
  <c r="N60" i="184" s="1"/>
  <c r="B7135" i="106"/>
  <c r="D7135" i="106" s="1"/>
  <c r="E58"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L114" i="29"/>
  <c r="B5527" i="106"/>
  <c r="D5527" i="106" s="1"/>
  <c r="B1381" i="106"/>
  <c r="D1381" i="106" s="1"/>
  <c r="F41" i="108"/>
  <c r="G43" i="108" s="1"/>
  <c r="N58" i="184"/>
  <c r="N68" i="184" s="1"/>
  <c r="E68" i="184"/>
  <c r="K342" i="29"/>
  <c r="F13" i="34" s="1"/>
  <c r="E367" i="29"/>
  <c r="B3636" i="106" s="1"/>
  <c r="D3636" i="106" s="1"/>
  <c r="B3635" i="106"/>
  <c r="D3635" i="106" s="1"/>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F77" i="34" l="1"/>
  <c r="D8" i="146"/>
  <c r="B6223" i="106"/>
  <c r="D6223" i="106" s="1"/>
  <c r="J10" i="4"/>
  <c r="B6225" i="106" s="1"/>
  <c r="D6225"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<sst xmlns="http://schemas.openxmlformats.org/spreadsheetml/2006/main" count="5212" uniqueCount="2105">
  <si>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</si>
  <si>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</si>
  <si>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</si>
  <si>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</si>
  <si>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</si>
  <si>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</si>
  <si>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</si>
  <si>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</si>
  <si>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</si>
  <si>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</si>
  <si>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</si>
  <si>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</si>
  <si>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</si>
  <si>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</si>
  <si>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</si>
  <si>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</si>
  <si>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</si>
  <si>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</si>
  <si>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</si>
  <si>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</si>
  <si>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</si>
  <si>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</si>
  <si>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</si>
  <si>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</si>
  <si>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</si>
  <si>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</si>
  <si>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</si>
  <si>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</si>
  <si>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</si>
  <si>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</si>
  <si>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</si>
  <si>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</si>
  <si>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</si>
  <si>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</si>
  <si>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</si>
  <si>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</si>
  <si>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</si>
  <si>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</si>
  <si>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</si>
  <si>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</si>
  <si>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</si>
  <si>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</si>
  <si>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</si>
  <si>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</si>
  <si>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</si>
  <si>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</si>
  <si>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</si>
  <si>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</si>
  <si>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</si>
  <si>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</si>
  <si>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</si>
  <si>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</si>
  <si>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</si>
  <si>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</si>
  <si>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</si>
  <si>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</si>
  <si>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</si>
  <si>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</si>
  <si>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</si>
  <si>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</si>
  <si>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</si>
  <si>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</si>
  <si>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</si>
  <si>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</si>
  <si>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</si>
  <si>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</si>
  <si>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</si>
  <si>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</si>
  <si>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</si>
  <si>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</si>
  <si>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</si>
  <si>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</si>
  <si>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</si>
  <si>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</si>
  <si>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</si>
  <si>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</si>
  <si>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</si>
  <si>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</si>
  <si>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</si>
  <si>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</si>
  <si>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</si>
  <si>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</si>
  <si>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</si>
  <si>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</si>
  <si>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</si>
  <si>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</si>
  <si>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</si>
  <si>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</si>
  <si>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</si>
  <si>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</si>
  <si>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</si>
  <si>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</si>
  <si>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</si>
  <si>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</si>
  <si>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</si>
  <si>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</si>
  <si>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</si>
  <si>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</si>
  <si>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</si>
  <si>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</si>
  <si>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</si>
  <si>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</si>
  <si>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</si>
  <si>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</si>
  <si>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</si>
  <si>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</si>
  <si>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</si>
  <si>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</si>
  <si>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</si>
  <si>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</si>
  <si>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</si>
  <si>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</si>
  <si>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</si>
  <si>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</si>
  <si>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</si>
  <si>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</si>
  <si>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</si>
  <si>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</si>
  <si>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</si>
  <si>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</si>
  <si>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</si>
  <si>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</si>
  <si>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</si>
  <si>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</si>
  <si>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</si>
  <si>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</si>
  <si>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</si>
  <si>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</si>
  <si>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</si>
  <si>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</si>
  <si>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</si>
  <si>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</si>
  <si>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</si>
  <si>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</si>
  <si>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</si>
  <si>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</si>
  <si>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</si>
  <si>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</si>
  <si>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</si>
  <si>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</si>
  <si>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</si>
  <si>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</si>
  <si>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</si>
  <si>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</si>
  <si>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</si>
  <si>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</si>
  <si>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</si>
  <si>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</si>
  <si>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</si>
  <si>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</si>
  <si>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</si>
  <si>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</si>
  <si>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</si>
  <si>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</si>
  <si>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</si>
  <si>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</si>
  <si>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</si>
  <si>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</si>
  <si>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</si>
  <si>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</si>
  <si>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</si>
  <si>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</si>
  <si>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</si>
  <si>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</si>
  <si>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</si>
  <si>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</si>
  <si>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</si>
  <si>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</si>
  <si>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</si>
  <si>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</si>
  <si>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</si>
  <si>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</si>
  <si>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</si>
  <si>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</si>
  <si>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</si>
  <si>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</si>
  <si>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</si>
  <si>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</si>
  <si>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</si>
  <si>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</si>
  <si>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</si>
  <si>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</si>
  <si>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</si>
  <si>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</si>
  <si>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</si>
  <si>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</si>
  <si>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</si>
  <si>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</si>
  <si>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</si>
  <si>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</si>
  <si>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</si>
  <si>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</si>
  <si>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</si>
  <si>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</si>
  <si>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</si>
  <si>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</si>
  <si>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</si>
  <si>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</si>
  <si>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</si>
  <si>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</si>
  <si>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</si>
  <si>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</si>
  <si>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</si>
  <si>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</si>
  <si>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</si>
  <si>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</si>
  <si>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</si>
  <si>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</si>
  <si>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</si>
  <si>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</si>
  <si>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</si>
  <si>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</si>
  <si>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</si>
  <si>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</si>
  <si>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</si>
  <si>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</si>
  <si>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</si>
  <si>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</si>
  <si>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</si>
  <si>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</si>
  <si>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</si>
  <si>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</si>
  <si>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</si>
  <si>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</si>
  <si>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</si>
  <si>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</si>
  <si>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</si>
  <si>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</si>
  <si>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</si>
  <si>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</si>
  <si>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</si>
  <si>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</si>
  <si>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</si>
  <si>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</si>
  <si>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</si>
  <si>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</si>
  <si>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</si>
  <si>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</si>
  <si>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</si>
  <si>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</si>
  <si>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</si>
  <si>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</si>
  <si>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</si>
  <si>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</si>
  <si>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</si>
  <si>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</si>
  <si>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</si>
  <si>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</si>
  <si>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</si>
  <si>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</si>
  <si>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</si>
  <si>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</si>
  <si>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</si>
  <si>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</si>
  <si>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</si>
  <si>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</si>
  <si>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</si>
  <si>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</si>
  <si>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</si>
  <si>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</si>
  <si>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</si>
  <si>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</si>
  <si>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</si>
  <si>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</si>
  <si>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</si>
  <si>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</si>
  <si>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</si>
  <si>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</si>
  <si>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</si>
  <si>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</si>
  <si>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</si>
  <si>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</si>
  <si>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</si>
  <si>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</si>
  <si>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</si>
  <si>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</si>
  <si>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</si>
  <si>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</si>
  <si>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</si>
  <si>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</si>
  <si>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</si>
  <si>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</si>
  <si>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</si>
  <si>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</si>
  <si>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</si>
  <si>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</si>
  <si>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</si>
  <si>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</si>
  <si>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</si>
  <si>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</si>
  <si>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</si>
  <si>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</si>
  <si>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</si>
  <si>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</si>
  <si>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</si>
  <si>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</si>
  <si>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</si>
  <si>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</si>
  <si>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</si>
  <si>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</si>
  <si>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</si>
  <si>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</si>
  <si>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</si>
  <si>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</si>
  <si>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</si>
  <si>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</si>
  <si>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</si>
  <si>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</si>
  <si>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</si>
  <si>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</si>
  <si>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</si>
  <si>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</si>
  <si>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</si>
  <si>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</si>
  <si>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</si>
  <si>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</si>
  <si>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</si>
  <si>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</si>
  <si>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</si>
  <si>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</si>
  <si>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</si>
  <si>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</si>
  <si>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</si>
  <si>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</si>
  <si>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</si>
  <si>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</si>
  <si>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</si>
  <si>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</si>
  <si>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</si>
  <si>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</si>
  <si>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</si>
  <si>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</si>
  <si>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</si>
  <si>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</si>
  <si>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</si>
  <si>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</si>
  <si>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</si>
  <si>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</si>
  <si>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</si>
  <si>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</si>
  <si>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</si>
  <si>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</si>
  <si>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</si>
  <si>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</si>
  <si>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</si>
  <si>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</si>
  <si>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</si>
  <si>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</si>
  <si>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</si>
  <si>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</si>
  <si>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</si>
  <si>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</si>
  <si>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</si>
  <si>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</si>
  <si>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</si>
  <si>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</si>
  <si>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</si>
  <si>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</si>
  <si>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</si>
  <si>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</si>
  <si>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</si>
  <si>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</si>
  <si>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</si>
  <si>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</si>
  <si>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</si>
  <si>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</si>
  <si>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</si>
  <si>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</si>
  <si>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</si>
  <si>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</si>
  <si>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</si>
  <si>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</si>
  <si>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</si>
  <si>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</si>
  <si>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</si>
  <si>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</si>
  <si>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</si>
  <si>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</si>
  <si>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</si>
  <si>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</si>
  <si>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</si>
  <si>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</si>
  <si>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</si>
  <si>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</si>
  <si>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</si>
  <si>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</si>
  <si>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</si>
  <si>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</si>
  <si>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</si>
  <si>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</si>
  <si>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</si>
  <si>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</si>
  <si>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</si>
  <si>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</si>
  <si>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</si>
  <si>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</si>
  <si>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</si>
  <si>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</si>
  <si>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</si>
  <si>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</si>
  <si>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</si>
  <si>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</si>
  <si>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</si>
  <si>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</si>
  <si>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</si>
  <si>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</si>
  <si>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</si>
  <si>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</si>
  <si>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</si>
  <si>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</si>
  <si>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</si>
  <si>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</si>
  <si>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</si>
  <si>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</si>
  <si>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</si>
  <si>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</si>
  <si>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</si>
  <si>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</si>
  <si>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</si>
  <si>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</si>
  <si>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</si>
  <si>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</si>
  <si>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</si>
  <si>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</si>
  <si>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</si>
  <si>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</si>
  <si>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</si>
  <si>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</si>
  <si>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</si>
  <si>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</si>
  <si>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</si>
  <si>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</si>
  <si>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</si>
  <si>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</si>
  <si>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</si>
  <si>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</si>
  <si>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</si>
  <si>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</si>
  <si>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</si>
  <si>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</si>
  <si>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</si>
  <si>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</si>
  <si>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</si>
  <si>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</si>
  <si>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</si>
  <si>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</si>
  <si>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</si>
  <si>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</si>
  <si>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</si>
  <si>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</si>
  <si>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</si>
  <si>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</si>
  <si>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</si>
  <si>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</si>
  <si>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</si>
  <si>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</si>
  <si>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</si>
  <si>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</si>
  <si>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</si>
  <si>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</si>
  <si>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</si>
  <si>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</si>
  <si>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</si>
  <si>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</si>
  <si>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</si>
  <si>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</si>
  <si>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</si>
  <si>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</si>
  <si>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</si>
  <si>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</si>
  <si>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</si>
  <si>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</si>
  <si>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</si>
  <si>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</si>
  <si>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</si>
  <si>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</si>
  <si>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</si>
  <si>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</si>
  <si>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</si>
  <si>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</si>
  <si>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</si>
  <si>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</si>
  <si>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</si>
  <si>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</si>
  <si>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</si>
  <si>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</si>
  <si>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</si>
  <si>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</si>
  <si>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</si>
  <si>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</si>
  <si>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</si>
  <si>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</si>
  <si>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</si>
  <si>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</si>
  <si>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</si>
  <si>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</si>
  <si>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</si>
  <si>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</si>
  <si>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</si>
  <si>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</si>
  <si>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</si>
  <si>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</si>
  <si>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</si>
  <si>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</si>
  <si>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</si>
  <si>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</si>
  <si>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</si>
  <si>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</si>
  <si>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</si>
  <si>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</si>
  <si>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</si>
  <si>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</si>
  <si>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</si>
  <si>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</si>
  <si>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</si>
  <si>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</si>
  <si>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</si>
  <si>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</si>
  <si>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</si>
  <si>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</si>
  <si>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</si>
  <si>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</si>
  <si>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</si>
  <si>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</si>
  <si>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</si>
  <si>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</si>
  <si>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</si>
  <si>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</si>
  <si>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</si>
  <si>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</si>
  <si>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</si>
  <si>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</si>
  <si>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</si>
  <si>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</si>
  <si>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</si>
  <si>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</si>
  <si>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</si>
  <si>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</si>
  <si>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</si>
  <si>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</si>
  <si>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</si>
  <si>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</si>
  <si>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</si>
  <si>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</si>
  <si>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</si>
  <si>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</si>
  <si>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</si>
  <si>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</si>
  <si>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</si>
  <si>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</si>
  <si>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</si>
  <si>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</si>
  <si>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</si>
  <si>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</si>
  <si>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</si>
  <si>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</si>
  <si>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</si>
  <si>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</si>
  <si>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</si>
  <si>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</si>
  <si>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</si>
  <si>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</si>
  <si>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</si>
  <si>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</si>
  <si>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</si>
  <si>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</si>
  <si>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</si>
  <si>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</si>
  <si>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</si>
  <si>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</si>
  <si>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</si>
  <si>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</si>
  <si>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</si>
  <si>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</si>
  <si>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</si>
  <si>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</si>
  <si>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</si>
  <si>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</si>
  <si>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</si>
  <si>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</si>
  <si>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</si>
  <si>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</si>
  <si>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</si>
  <si>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</si>
  <si>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</si>
  <si>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</si>
  <si>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</si>
  <si>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</si>
  <si>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</si>
  <si>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</si>
  <si>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</si>
  <si>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</si>
  <si>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</si>
  <si>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</si>
  <si>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</si>
  <si>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</si>
  <si>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</si>
  <si>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</si>
  <si>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</si>
  <si>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</si>
  <si>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</si>
  <si>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</si>
  <si>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</si>
  <si>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</si>
  <si>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</si>
  <si>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</si>
  <si>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</si>
  <si>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</si>
  <si>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</si>
  <si>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</si>
  <si>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</si>
  <si>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</si>
  <si>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</si>
  <si>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</si>
  <si>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</si>
  <si>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</si>
  <si>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</si>
  <si>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</si>
  <si>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</si>
  <si>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</si>
  <si>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</si>
  <si>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</si>
  <si>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</si>
  <si>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</si>
  <si>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</si>
  <si>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</si>
  <si>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</si>
  <si>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</si>
  <si>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</si>
  <si>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</si>
  <si>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</si>
  <si>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</si>
  <si>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</si>
  <si>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</si>
  <si>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</si>
  <si>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</si>
  <si>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</si>
  <si>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</si>
  <si>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</si>
  <si>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</si>
  <si>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</si>
  <si>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</si>
  <si>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</si>
  <si>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</si>
  <si>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</si>
  <si>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</si>
  <si>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</si>
  <si>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</si>
  <si>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</si>
  <si>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</si>
  <si>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</si>
  <si>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</si>
  <si>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</si>
  <si>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</si>
  <si>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</si>
  <si>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</si>
  <si>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</si>
  <si>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</si>
  <si>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</si>
  <si>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</si>
  <si>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</si>
  <si>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</si>
  <si>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</si>
  <si>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</si>
  <si>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</si>
  <si>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</si>
  <si>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</si>
  <si>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</si>
  <si>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</si>
  <si>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</si>
  <si>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</si>
  <si>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</si>
  <si>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</si>
  <si>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</si>
  <si>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</si>
  <si>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</si>
  <si>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</si>
  <si>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</si>
  <si>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</si>
  <si>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</si>
  <si>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</si>
  <si>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</si>
  <si>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</si>
  <si>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</si>
  <si>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</si>
  <si>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</si>
  <si>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</si>
  <si>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</si>
  <si>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</si>
  <si>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</si>
  <si>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</si>
  <si>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</si>
  <si>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</si>
  <si>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</si>
  <si>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</si>
  <si>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</si>
  <si>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</si>
  <si>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</si>
  <si>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</si>
  <si>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</si>
  <si>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</si>
  <si>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</si>
  <si>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</si>
  <si>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</si>
  <si>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</si>
  <si>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</si>
  <si>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</si>
  <si>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</si>
  <si>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</si>
  <si>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</si>
  <si>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</si>
  <si>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</si>
  <si>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</si>
  <si>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</si>
  <si>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</si>
  <si>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</si>
  <si>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</si>
  <si>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</si>
  <si>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</si>
  <si>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</si>
  <si>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</si>
  <si>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</si>
  <si>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</si>
  <si>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</si>
  <si>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</si>
  <si>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</si>
  <si>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</si>
  <si>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</si>
  <si>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</si>
  <si>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</si>
  <si>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</si>
  <si>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</si>
  <si>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</si>
  <si>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</si>
  <si>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</si>
  <si>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</si>
  <si>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</si>
  <si>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</si>
  <si>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</si>
  <si>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</si>
  <si>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</si>
  <si>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</si>
  <si>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</si>
  <si>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</si>
  <si>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</si>
  <si>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</si>
  <si>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</si>
  <si>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</si>
  <si>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</si>
  <si>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</si>
  <si>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</si>
  <si>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</si>
  <si>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</si>
  <si>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</si>
  <si>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</si>
  <si>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</si>
  <si>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</si>
  <si>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</si>
  <si>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</si>
  <si>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</si>
  <si>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</si>
  <si>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</si>
  <si>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</si>
  <si>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</si>
  <si>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</si>
  <si>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</si>
  <si>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</si>
  <si>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</si>
  <si>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</si>
  <si>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</si>
  <si>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</si>
  <si>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</si>
  <si>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</si>
  <si>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</si>
  <si>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</si>
  <si>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</si>
  <si>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</si>
  <si>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</si>
  <si>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</si>
  <si>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</si>
  <si>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</si>
  <si>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</si>
  <si>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</si>
  <si>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</si>
  <si>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</si>
  <si>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</si>
  <si>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</si>
  <si>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</si>
  <si>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</si>
  <si>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</si>
  <si>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</si>
  <si>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</si>
  <si>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</si>
  <si>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</si>
  <si>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</si>
  <si>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</si>
  <si>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</si>
  <si>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</si>
  <si>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</si>
  <si>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</si>
  <si>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</si>
  <si>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</si>
  <si>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</si>
  <si>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</si>
  <si>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</si>
  <si>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</si>
  <si>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</si>
  <si>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</si>
  <si>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</si>
  <si>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</si>
  <si>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</si>
  <si>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</si>
  <si>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</si>
  <si>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</si>
  <si>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</si>
  <si>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</si>
  <si>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</si>
  <si>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</si>
  <si>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</si>
  <si>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</si>
  <si>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</si>
  <si>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</si>
  <si>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</si>
  <si>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</si>
  <si>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</si>
  <si>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</si>
  <si>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</si>
  <si>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</si>
  <si>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</si>
  <si>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</si>
  <si>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</si>
  <si>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</si>
  <si>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</si>
  <si>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</si>
  <si>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</si>
  <si>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</si>
  <si>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</si>
  <si>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</si>
  <si>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</si>
  <si>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</si>
  <si>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</si>
  <si>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</si>
  <si>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</si>
  <si>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</si>
  <si>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</si>
  <si>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</si>
  <si>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</si>
  <si>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</si>
  <si>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</si>
  <si>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</si>
  <si>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</si>
  <si>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</si>
  <si>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</si>
  <si>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</si>
  <si>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</si>
  <si>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</si>
  <si>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</si>
  <si>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</si>
  <si>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</si>
  <si>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</si>
  <si>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</si>
  <si>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</si>
  <si>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</si>
  <si>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</si>
  <si>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</si>
  <si>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</si>
  <si>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</si>
  <si>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</si>
  <si>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</si>
  <si>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</si>
  <si>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</si>
  <si>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</si>
  <si>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</si>
  <si>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</si>
  <si>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</si>
  <si>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</si>
  <si>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</si>
  <si>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</si>
  <si>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</si>
  <si>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</si>
  <si>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</si>
  <si>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</si>
  <si>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</si>
  <si>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</si>
  <si>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</si>
  <si>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</si>
  <si>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</si>
  <si>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</si>
  <si>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</si>
  <si>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</si>
  <si>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</si>
  <si>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</si>
  <si>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</si>
  <si>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</si>
  <si>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</si>
  <si>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</si>
  <si>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</si>
  <si>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</si>
  <si>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</si>
  <si>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</si>
  <si>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</si>
  <si>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</si>
  <si>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</si>
  <si>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</si>
  <si>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</si>
  <si>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</si>
  <si>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</si>
  <si>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</si>
  <si>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</si>
  <si>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</si>
  <si>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</si>
  <si>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</si>
  <si>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</si>
  <si>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</si>
  <si>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</si>
  <si>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</si>
  <si>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</si>
  <si>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</si>
  <si>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</si>
  <si>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</si>
  <si>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</si>
  <si>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</si>
  <si>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</si>
  <si>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</si>
  <si>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</si>
  <si>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</si>
  <si>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</si>
  <si>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</si>
  <si>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</si>
  <si>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</si>
  <si>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</si>
  <si>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</si>
  <si>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</si>
  <si>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</si>
  <si>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</si>
  <si>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</si>
  <si>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</si>
  <si>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</si>
  <si>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</si>
  <si>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</si>
  <si>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</si>
  <si>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</si>
  <si>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</si>
  <si>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</si>
  <si>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</si>
  <si>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</si>
  <si>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</si>
  <si>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</si>
  <si>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</si>
  <si>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</si>
  <si>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</si>
  <si>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</si>
  <si>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</si>
  <si>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</si>
  <si>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</si>
  <si>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</si>
  <si>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</si>
  <si>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</si>
  <si>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</si>
  <si>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</si>
  <si>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</si>
  <si>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</si>
  <si>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</si>
  <si>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</si>
  <si>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</si>
  <si>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</si>
  <si>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</si>
  <si>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</si>
  <si>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</si>
  <si>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</si>
  <si>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</si>
  <si>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</si>
  <si>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</si>
  <si>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</si>
  <si>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</si>
  <si>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</si>
  <si>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</si>
  <si>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</si>
  <si>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</si>
  <si>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</si>
  <si>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</si>
  <si>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</si>
  <si>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</si>
  <si>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</si>
  <si>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</si>
  <si>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</si>
  <si>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</si>
  <si>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</si>
  <si>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</si>
  <si>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</si>
  <si>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</si>
  <si>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</si>
  <si>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</si>
  <si>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</si>
  <si>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</si>
  <si>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</si>
  <si>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</si>
  <si>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</si>
  <si>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</si>
  <si>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</si>
  <si>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</si>
  <si>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</si>
  <si>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</si>
  <si>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</si>
  <si>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</si>
  <si>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</si>
  <si>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</si>
  <si>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</si>
  <si>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</si>
  <si>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</si>
  <si>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</si>
  <si>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</si>
  <si>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</si>
  <si>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</si>
  <si>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</si>
  <si>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</si>
  <si>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</si>
  <si>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</si>
  <si>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</si>
  <si>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</si>
  <si>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</si>
  <si>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</si>
  <si>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</si>
  <si>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</si>
  <si>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</si>
  <si>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</si>
  <si>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</si>
  <si>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</si>
  <si>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</si>
  <si>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</si>
  <si>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</si>
  <si>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</si>
  <si>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</si>
  <si>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</si>
  <si>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</si>
  <si>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</si>
  <si>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</si>
  <si>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</si>
  <si>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</si>
  <si>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</si>
  <si>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</si>
  <si>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</si>
  <si>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</si>
  <si>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</si>
  <si>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</si>
  <si>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</si>
  <si>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</si>
  <si>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</si>
  <si>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</si>
  <si>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</si>
  <si>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</si>
  <si>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</si>
  <si>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</si>
  <si>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</si>
  <si>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</si>
  <si>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</si>
  <si>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</si>
  <si>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</si>
  <si>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</si>
  <si>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</si>
  <si>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</si>
  <si>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</si>
  <si>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</si>
  <si>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</si>
  <si>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</si>
  <si>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</si>
  <si>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</si>
  <si>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</si>
  <si>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</si>
  <si>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</si>
  <si>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</si>
  <si>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</si>
  <si>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</si>
  <si>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</si>
  <si>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</si>
  <si>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</si>
  <si>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</si>
  <si>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</si>
  <si>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</si>
  <si>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</si>
  <si>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</si>
  <si>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</si>
  <si>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</si>
  <si>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</si>
  <si>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</si>
  <si>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</si>
  <si>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</si>
  <si>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</si>
  <si>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</si>
  <si>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</si>
  <si>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</si>
  <si>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</si>
  <si>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</si>
  <si>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</si>
  <si>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</si>
  <si>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</si>
  <si>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</si>
  <si>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</si>
  <si>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</si>
  <si>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</si>
  <si>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</si>
  <si>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</si>
  <si>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</si>
  <si>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</si>
  <si>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</si>
  <si>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</si>
  <si>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</si>
  <si>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</si>
  <si>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</si>
  <si>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</si>
  <si>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</si>
  <si>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</si>
  <si>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</si>
  <si>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</si>
  <si>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</si>
  <si>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</si>
  <si>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</si>
  <si>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</si>
  <si>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</si>
  <si>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</si>
  <si>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</si>
  <si>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</si>
  <si>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</si>
  <si>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</si>
  <si>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</si>
  <si>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</si>
  <si>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</si>
  <si>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</si>
  <si>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</si>
  <si>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</si>
  <si>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</si>
  <si>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</si>
  <si>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</si>
  <si>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</si>
  <si>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</si>
  <si>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</si>
  <si>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</si>
  <si>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</si>
  <si>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</si>
  <si>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</si>
  <si>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</si>
  <si>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</si>
  <si>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</si>
  <si>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</si>
  <si>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</si>
  <si>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</si>
  <si>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</si>
  <si>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</si>
  <si>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</si>
  <si>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</si>
  <si>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</si>
  <si>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</si>
  <si>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</si>
  <si>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</si>
  <si>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</si>
  <si>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</si>
  <si>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</si>
  <si>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</si>
  <si>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</si>
  <si>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</si>
  <si>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</si>
  <si>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</si>
  <si>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</si>
  <si>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</si>
  <si>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</si>
  <si>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</si>
  <si>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</si>
  <si>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</si>
  <si>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</si>
  <si>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</si>
  <si>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</si>
  <si>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</si>
  <si>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</si>
  <si>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</si>
  <si>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</si>
  <si>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</si>
  <si>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</si>
  <si>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</si>
  <si>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</si>
  <si>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</si>
  <si>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</si>
  <si>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</si>
  <si>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</si>
  <si>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</si>
  <si>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</si>
  <si>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</si>
  <si>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</si>
  <si>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</si>
  <si>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</si>
  <si>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</si>
  <si>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</si>
  <si>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</si>
  <si>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</si>
  <si>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</si>
  <si>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</si>
  <si>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</si>
  <si>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</si>
  <si>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</si>
  <si>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</si>
  <si>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</si>
  <si>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</si>
  <si>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</si>
  <si>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</si>
  <si>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</si>
  <si>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</si>
  <si>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</si>
  <si>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</si>
  <si>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</si>
  <si>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</si>
  <si>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</si>
  <si>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</si>
  <si>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</si>
  <si>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</si>
  <si>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</si>
  <si>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</si>
  <si>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</si>
  <si>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</si>
  <si>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</si>
  <si>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</si>
  <si>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</si>
  <si>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</si>
  <si>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</si>
  <si>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</si>
  <si>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</si>
  <si>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</si>
  <si>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</si>
  <si>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</si>
  <si>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</si>
  <si>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</si>
  <si>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</si>
  <si>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</si>
  <si>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</si>
  <si>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</si>
  <si>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</si>
  <si>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</si>
  <si>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</si>
  <si>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</si>
  <si>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</si>
  <si>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</si>
  <si>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</si>
  <si>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</si>
  <si>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</si>
  <si>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</si>
  <si>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</si>
  <si>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</si>
  <si>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</si>
  <si>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</si>
  <si>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</si>
  <si>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</si>
  <si>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</si>
  <si>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</si>
  <si>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</si>
  <si>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</si>
  <si>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</si>
  <si>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</si>
  <si>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</si>
  <si>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</si>
  <si>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</si>
  <si>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</si>
  <si>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</si>
  <si>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</si>
  <si>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</si>
  <si>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</si>
  <si>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</si>
  <si>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</si>
  <si>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</si>
  <si>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</si>
  <si>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</si>
  <si>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</si>
  <si>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</si>
  <si>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</si>
  <si>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</si>
  <si>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</si>
  <si>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</si>
  <si>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</si>
  <si>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</si>
  <si>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</si>
  <si>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</si>
  <si>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</si>
  <si>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</si>
  <si>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</si>
  <si>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</si>
  <si>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</si>
  <si>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</si>
  <si>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</si>
  <si>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</si>
  <si>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</si>
  <si>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</si>
  <si>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</si>
  <si>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</si>
  <si>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</si>
  <si>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</si>
  <si>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</si>
  <si>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</si>
  <si>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</si>
  <si>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</si>
  <si>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</si>
  <si>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</si>
  <si>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</si>
  <si>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</si>
  <si>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</si>
  <si>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</si>
  <si>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</si>
  <si>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</si>
  <si>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</si>
  <si>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</si>
  <si>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</si>
  <si>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</si>
  <si>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</si>
  <si>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</si>
  <si>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</si>
  <si>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</si>
  <si>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</si>
  <si>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</si>
  <si>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</si>
  <si>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</si>
  <si>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</si>
  <si>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</si>
  <si>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</si>
  <si>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</si>
  <si>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</si>
  <si>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</si>
  <si>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</si>
  <si>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</si>
  <si>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</si>
  <si>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</si>
  <si>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</si>
  <si>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</si>
  <si>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</si>
  <si>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</si>
  <si>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</si>
  <si>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</si>
  <si>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</si>
  <si>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</si>
  <si>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</si>
  <si>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</si>
  <si>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</si>
  <si>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</si>
  <si>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</si>
  <si>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</si>
  <si>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</si>
  <si>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</si>
  <si>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</si>
  <si>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</si>
  <si>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</si>
  <si>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</si>
  <si>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</si>
  <si>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</si>
  <si>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</si>
  <si>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</si>
  <si>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</si>
  <si>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</si>
  <si>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</si>
  <si>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</si>
  <si>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</si>
  <si>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</si>
  <si>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</si>
  <si>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</si>
  <si>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</si>
  <si>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</si>
  <si>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</si>
  <si>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</si>
  <si>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</si>
  <si>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</si>
  <si>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</si>
  <si>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</si>
  <si>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</si>
  <si>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</si>
  <si>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</si>
  <si>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</si>
  <si>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</si>
  <si>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</si>
  <si>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</si>
  <si>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</si>
  <si>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</si>
  <si>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</si>
  <si>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</si>
  <si>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</si>
  <si>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</si>
  <si>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</si>
  <si>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</si>
  <si>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</si>
  <si>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</si>
  <si>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</si>
  <si>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</si>
  <si>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</si>
  <si>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</si>
  <si>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</si>
  <si>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</si>
  <si>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</si>
  <si>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</si>
  <si>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</si>
  <si>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</si>
  <si>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</si>
  <si>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</si>
  <si>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</si>
  <si>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</si>
  <si>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</si>
  <si>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</si>
  <si>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</si>
  <si>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</si>
  <si>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</si>
  <si>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</si>
  <si>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</si>
  <si>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</si>
  <si>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</si>
  <si>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</si>
  <si>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</si>
  <si>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</si>
  <si>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</si>
  <si>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</si>
  <si>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</si>
  <si>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</si>
  <si>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</si>
  <si>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</si>
  <si>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</si>
  <si>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</si>
  <si>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</si>
  <si>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</si>
  <si>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</si>
  <si>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</si>
  <si>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</si>
  <si>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</si>
  <si>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</si>
  <si>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</si>
  <si>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</si>
  <si>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</si>
  <si>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</si>
  <si>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</si>
  <si>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</si>
  <si>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</si>
  <si>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</si>
  <si>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</si>
  <si>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</si>
  <si>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</si>
  <si>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</si>
  <si>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</si>
  <si>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</si>
  <si>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</si>
  <si>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</si>
  <si>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</si>
  <si>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</si>
  <si>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</si>
  <si>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</si>
  <si>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</si>
  <si>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</si>
  <si>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</si>
  <si>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</si>
  <si>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</si>
  <si>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</si>
  <si>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</si>
  <si>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</si>
  <si>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</si>
  <si>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</si>
  <si>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</si>
  <si>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</si>
  <si>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</si>
  <si>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</si>
  <si>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</si>
  <si>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</si>
  <si>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</si>
  <si>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</si>
  <si>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</si>
  <si>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</si>
  <si>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</si>
  <si>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</si>
  <si>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</si>
  <si>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</si>
  <si>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</si>
  <si>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</si>
  <si>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</si>
  <si>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</si>
  <si>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</si>
  <si>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</si>
  <si>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</si>
  <si>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</si>
  <si>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</si>
  <si>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</si>
  <si>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</si>
  <si>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</si>
  <si>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</si>
  <si>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</si>
  <si>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</si>
  <si>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</si>
  <si>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</si>
  <si>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</si>
  <si>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</si>
  <si>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</si>
  <si>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</si>
  <si>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</si>
  <si>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</si>
  <si>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</si>
  <si>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</si>
  <si>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</si>
  <si>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</si>
  <si>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</si>
  <si>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</si>
  <si>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</si>
  <si>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</si>
  <si>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</si>
  <si>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</si>
  <si>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</si>
  <si>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</si>
  <si>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</si>
  <si>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</si>
  <si>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</si>
  <si>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</si>
  <si>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</si>
  <si>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</si>
  <si>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</si>
  <si>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</si>
  <si>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</si>
  <si>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</si>
  <si>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</si>
  <si>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</si>
  <si>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</si>
  <si>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</si>
  <si>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</si>
  <si>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</si>
  <si>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</si>
  <si>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</si>
  <si>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</si>
  <si>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</si>
  <si>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</si>
  <si>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</si>
  <si>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</si>
  <si>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</si>
  <si>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</si>
  <si>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</si>
  <si>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</si>
  <si>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</si>
  <si>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</si>
  <si>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</si>
  <si>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</si>
  <si>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</si>
  <si>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</si>
  <si>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</si>
  <si>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</si>
  <si>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</si>
  <si>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</si>
  <si>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</si>
  <si>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</si>
  <si>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</si>
  <si>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</si>
  <si>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</si>
  <si>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</si>
  <si>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</si>
  <si>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</si>
  <si>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</si>
  <si>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</si>
  <si>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</si>
  <si>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</si>
  <si>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</si>
  <si>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</si>
  <si>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</si>
  <si>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</si>
  <si>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</si>
  <si>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</si>
  <si>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</si>
  <si>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</si>
  <si>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</si>
  <si>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</si>
  <si>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</si>
  <si>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</si>
  <si>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</si>
  <si>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</si>
  <si>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</si>
  <si>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</si>
  <si>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</si>
  <si>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</si>
  <si>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</si>
  <si>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</si>
  <si>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</si>
  <si>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</si>
  <si>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</si>
  <si>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</si>
  <si>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</si>
  <si>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</si>
  <si>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</si>
  <si>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</si>
  <si>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</si>
  <si>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</si>
  <si>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</si>
  <si>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</si>
  <si>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</si>
  <si>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</si>
  <si>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</si>
  <si>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</si>
  <si>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</si>
  <si>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</si>
  <si>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</si>
  <si>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</si>
  <si>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</si>
  <si>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</si>
  <si>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</si>
  <si>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</si>
  <si>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</si>
  <si>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</si>
  <si>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</si>
  <si>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</si>
  <si>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</si>
  <si>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</si>
  <si>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</si>
  <si>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</si>
  <si>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</si>
  <si>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</si>
  <si>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</si>
  <si>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</si>
  <si>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</si>
  <si>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</si>
  <si>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</si>
  <si>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</si>
  <si>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</si>
  <si>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</si>
  <si>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</si>
  <si>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</si>
  <si>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</si>
  <si>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</si>
  <si>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</si>
  <si>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</si>
  <si>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</si>
  <si>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</si>
  <si>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</si>
  <si>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</si>
  <si>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</si>
  <si>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</si>
  <si>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</si>
  <si>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</si>
  <si>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</si>
  <si>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</si>
  <si>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</si>
  <si>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</si>
  <si>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</si>
  <si>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</si>
  <si>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</si>
  <si>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</si>
  <si>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</si>
  <si>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</si>
  <si>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</si>
  <si>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</si>
  <si>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</si>
  <si>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</si>
  <si>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</si>
  <si>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</si>
  <si>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</si>
  <si>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</si>
  <si>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</si>
  <si>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</si>
  <si>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</si>
  <si>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</si>
  <si>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</si>
  <si>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</si>
  <si>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</si>
  <si>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</si>
  <si>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</si>
  <si>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</si>
  <si>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</si>
  <si>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</si>
  <si>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</si>
  <si>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</si>
  <si>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</si>
  <si>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</si>
  <si>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</si>
  <si>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</si>
  <si>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</si>
  <si>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</si>
  <si>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</si>
  <si>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</si>
  <si>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</si>
  <si>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</si>
  <si>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</si>
  <si>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</si>
  <si>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</si>
  <si>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</si>
  <si>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</si>
  <si>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</si>
  <si>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</si>
  <si>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</si>
  <si>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</si>
  <si>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</si>
  <si>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</si>
  <si>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</si>
  <si>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</si>
  <si>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</si>
  <si>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</si>
  <si>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</si>
  <si>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</si>
  <si>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</si>
  <si>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</si>
  <si>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</si>
  <si>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</si>
  <si>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</si>
  <si>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</si>
  <si>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</si>
  <si>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</si>
  <si>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</si>
  <si>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</si>
  <si>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</si>
  <si>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</si>
  <si>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</si>
  <si>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</si>
  <si>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</si>
  <si>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</si>
  <si>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</si>
  <si>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</si>
  <si>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</si>
  <si>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</si>
  <si>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</si>
  <si>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</si>
  <si>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</si>
  <si>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</si>
  <si>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</si>
  <si>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</si>
  <si>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</si>
  <si>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</si>
  <si>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</si>
  <si>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</si>
  <si>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</si>
  <si>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</si>
  <si>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</si>
  <si>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</si>
  <si>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</si>
  <si>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</si>
  <si>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</si>
  <si>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</si>
  <si>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</si>
  <si>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</si>
  <si>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</si>
  <si>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</si>
  <si>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</si>
  <si>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</si>
  <si>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</si>
  <si>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</si>
  <si>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</si>
  <si>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</si>
  <si>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</si>
  <si>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</si>
  <si>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</si>
  <si>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</si>
  <si>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</si>
  <si>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</si>
  <si>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</si>
  <si>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</si>
  <si>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</si>
  <si>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</si>
  <si>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</si>
  <si>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</si>
  <si>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</si>
  <si>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</si>
  <si>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</si>
  <si>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</si>
  <si>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</si>
  <si>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</si>
  <si>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</si>
  <si>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</si>
  <si>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</si>
  <si>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</si>
  <si>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</si>
  <si>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</si>
  <si>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</si>
  <si>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</si>
  <si>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</si>
  <si>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</si>
  <si>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</si>
  <si>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</si>
  <si>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</si>
  <si>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</si>
  <si>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</si>
  <si>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</si>
  <si>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</si>
  <si>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</si>
  <si>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</si>
  <si>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</si>
  <si>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</si>
  <si>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</si>
  <si>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</si>
  <si>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</si>
  <si>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</si>
  <si>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</si>
  <si>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</si>
  <si>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</si>
  <si>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</si>
  <si>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</si>
  <si>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</si>
  <si>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</si>
  <si>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</si>
  <si>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</si>
  <si>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</si>
  <si>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</si>
  <si>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</si>
  <si>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</si>
  <si>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</si>
  <si>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</si>
  <si>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</si>
  <si>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</si>
  <si>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</si>
  <si>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</si>
  <si>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</si>
  <si>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</si>
  <si>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</si>
  <si>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</si>
  <si>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</si>
  <si>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</si>
  <si>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</si>
  <si>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</si>
  <si>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</si>
  <si>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</si>
  <si>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</si>
  <si>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</si>
  <si>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</si>
  <si>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</si>
  <si>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</si>
  <si>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</si>
  <si>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</si>
  <si>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</si>
  <si>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</si>
  <si>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</si>
  <si>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</si>
  <si>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</si>
  <si>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</si>
  <si>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</si>
  <si>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</si>
  <si>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</si>
  <si>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</si>
  <si>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</si>
  <si>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</si>
  <si>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</si>
  <si>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</si>
  <si>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</si>
  <si>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</si>
  <si>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</si>
  <si>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</si>
  <si>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</si>
  <si>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</si>
  <si>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</si>
  <si>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</si>
  <si>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</si>
  <si>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</si>
  <si>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</si>
  <si>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</si>
  <si>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</si>
  <si>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</si>
  <si>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</si>
  <si>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</si>
  <si>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</si>
  <si>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</si>
  <si>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</si>
  <si>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</si>
  <si>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</si>
  <si>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</si>
  <si>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</si>
  <si>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</si>
  <si>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</si>
  <si>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</si>
  <si>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</si>
  <si>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</si>
  <si>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</si>
  <si>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</si>
  <si>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</si>
  <si>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</si>
  <si>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</si>
  <si>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</si>
  <si>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</si>
  <si>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</si>
  <si>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</si>
  <si>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</si>
  <si>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</si>
  <si>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</si>
  <si>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</si>
  <si>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</si>
  <si>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</si>
  <si>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</si>
  <si>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</si>
  <si>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</si>
  <si>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</si>
  <si>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</si>
  <si>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</si>
  <si>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</si>
  <si>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</si>
  <si>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</si>
  <si>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</si>
  <si>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</si>
  <si>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</si>
  <si>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</si>
  <si>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</si>
  <si>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</si>
  <si>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</si>
  <si>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</si>
  <si>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</si>
  <si>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</si>
  <si>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</si>
  <si>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</si>
  <si>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</si>
  <si>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</si>
  <si>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</si>
  <si>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</si>
  <si>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</si>
  <si>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</si>
  <si>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</si>
  <si>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</si>
  <si>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</si>
  <si>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</si>
  <si>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</si>
  <si>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</si>
  <si>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</si>
  <si>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</si>
  <si>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</si>
  <si>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</si>
  <si>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</si>
  <si>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</si>
  <si>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</si>
  <si>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</si>
  <si>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</si>
  <si>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</si>
  <si>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</si>
  <si>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</si>
  <si>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</si>
  <si>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</si>
  <si>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</si>
  <si>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</si>
  <si>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</si>
  <si>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</si>
  <si>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</si>
  <si>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</si>
  <si>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</si>
  <si>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</si>
  <si>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</si>
  <si>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</si>
  <si>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</si>
  <si>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</si>
  <si>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</si>
  <si>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</si>
  <si>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</si>
  <si>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</si>
  <si>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</si>
  <si>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</si>
  <si>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</si>
  <si>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</si>
  <si>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</si>
  <si>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</si>
  <si>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</si>
  <si>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</si>
  <si>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</si>
  <si>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</si>
  <si>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</si>
  <si>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</si>
  <si>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</si>
  <si>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</si>
  <si>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</si>
  <si>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</si>
  <si>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</si>
  <si>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</si>
  <si>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</si>
  <si>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</si>
  <si>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</si>
  <si>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</si>
  <si>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</si>
  <si>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</si>
  <si>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</si>
  <si>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</si>
  <si>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</si>
  <si>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</si>
  <si>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</si>
  <si>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</si>
  <si>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</si>
  <si>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</si>
  <si>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</si>
  <si>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</si>
  <si>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</si>
  <si>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</si>
  <si>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</si>
  <si>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</si>
  <si>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</si>
  <si>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</si>
  <si>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</si>
  <si>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</si>
  <si>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</si>
  <si>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</si>
  <si>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</si>
  <si>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</si>
  <si>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</si>
  <si>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</si>
  <si>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</si>
  <si>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</si>
  <si>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</si>
  <si>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</si>
  <si>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</si>
  <si>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</si>
  <si>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</si>
  <si>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</si>
  <si>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</si>
  <si>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</si>
  <si>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</si>
  <si>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</si>
  <si>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</si>
  <si>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</si>
  <si>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</si>
  <si>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</si>
  <si>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</si>
  <si>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</si>
  <si>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</si>
  <si>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</si>
  <si>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</si>
  <si>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</si>
  <si>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</si>
  <si>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</si>
  <si>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</si>
  <si>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</si>
  <si>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</si>
  <si>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</si>
  <si>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</si>
  <si>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</si>
  <si>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</si>
  <si>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</si>
  <si>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</si>
  <si>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</si>
  <si>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</si>
  <si>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</si>
  <si>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</si>
  <si>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</si>
  <si>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</si>
  <si>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</si>
  <si>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</si>
  <si>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</si>
  <si>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</si>
  <si>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</si>
  <si>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</si>
  <si>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</si>
  <si>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</si>
  <si>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</si>
  <si>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</si>
  <si>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</si>
  <si>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</si>
  <si>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</si>
  <si>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</si>
  <si>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</si>
  <si>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</si>
  <si>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</si>
  <si>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</si>
  <si>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</si>
  <si>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</si>
  <si>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</si>
  <si>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</si>
  <si>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</si>
  <si>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</si>
  <si>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</si>
  <si>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</si>
  <si>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</si>
  <si>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</si>
  <si>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</si>
  <si>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</si>
  <si>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</si>
  <si>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SUSAN J. LYONS, CPA, P.C.</t>
  </si>
  <si>
    <t>SUSAN J. LYONS</t>
  </si>
  <si>
    <t>5859 U.S. HIGHWAY 51</t>
  </si>
  <si>
    <t>ODIN</t>
  </si>
  <si>
    <t>IL</t>
  </si>
  <si>
    <t>618-267-3213</t>
  </si>
  <si>
    <t>066-004957</t>
  </si>
  <si>
    <t>slyons1007@gmail.com</t>
  </si>
  <si>
    <t>RON DANIELS</t>
  </si>
  <si>
    <t>rdaniels@roe13.org</t>
  </si>
  <si>
    <t>23. The opinion is adverse due to the use of the Regulatory Basis of Accounting.</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</si>
  <si>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</si>
  <si>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</si>
  <si>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</si>
  <si>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</si>
  <si>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</si>
  <si>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</si>
  <si>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</si>
  <si>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JEFFERSON</t>
  </si>
  <si>
    <t>233 WEST SOUTH</t>
  </si>
  <si>
    <t>DIX</t>
  </si>
  <si>
    <t>sphillips@rome2.net</t>
  </si>
  <si>
    <t>Stephen Phillips</t>
  </si>
  <si>
    <t>618-266-7214</t>
  </si>
  <si>
    <t>618-266-7902</t>
  </si>
  <si>
    <t>x</t>
  </si>
  <si>
    <t>Taxable General Obligation Limited Tax Bonds, Series 2018</t>
  </si>
  <si>
    <t>ED-Instructional-Purchased Service</t>
  </si>
  <si>
    <t>DTI Office Solutions</t>
  </si>
  <si>
    <t>Quality Network Solutions</t>
  </si>
  <si>
    <t>TR-Support Services Business-Purchased Service</t>
  </si>
  <si>
    <t>Durham School Ser vices</t>
  </si>
  <si>
    <t>See below</t>
  </si>
  <si>
    <t>Line 13 - FJSPED 801, Field Com Cons Dist 3, Regional Office of Education 13</t>
  </si>
  <si>
    <t>AEP Energy and Constellation New Energy</t>
  </si>
  <si>
    <t>Prairie State Insurance Cooperative</t>
  </si>
  <si>
    <t>Regional Office of Education #13</t>
  </si>
  <si>
    <t>Franklin-Jefferson Special Education District 801</t>
  </si>
  <si>
    <t>Quality Network Services</t>
  </si>
  <si>
    <t>Page 10, Line 107 - Education-Grants $3,000 and reimbursements $4,102</t>
  </si>
  <si>
    <t xml:space="preserve">                                        Operations and Maintenance - Erate $17,687 and refund $300</t>
  </si>
  <si>
    <t>Page 12, Line 171 - Orphanage Tuition (acct 3950) $21,223 and State Library Grant (acct 3800) $750</t>
  </si>
  <si>
    <t>Page 12, Line 183 - REAP Grant</t>
  </si>
  <si>
    <t>Page 25, Line 10 - Mobile Home Tax</t>
  </si>
  <si>
    <t>The District bookkeeper and Treasurer is the same employee, which is an inadequate segregation of accounting duties.</t>
  </si>
  <si>
    <t>The District bookkeeper/Treasurer deposits receipts, has check signing authority, records receipts and disbursements, and prepares the bank reconciliation.  The bank reconciliation is not reviewed by anyone independent of the receipt and disbursement process.</t>
  </si>
  <si>
    <t>There are no questioned costs related to this finding.</t>
  </si>
  <si>
    <t>The possibility exists that unintentional or intentional errors or misappropriations may occur and not be detected by District employees in a timely manner.</t>
  </si>
  <si>
    <t>Lack of segregation of duties.</t>
  </si>
  <si>
    <t>The District should review its internal controls and segregate accounting duties to the greatest extent possible using the present staff.  The Superintendent should receive the bank statement unopened and review it for unusual items.  The bank statement should be forwarded to the bookkeeper to complete the bank reconciliation.  The reconciliation should then be returned to the Superintendent for review to ensure that it is completed timely and agrees to the general ledger account balance.  The review needs to be documented with the Superintendent's initials on the bank statement and reconciliation.</t>
  </si>
  <si>
    <t>Due to the small size of the District and its limited funds, hiring additional personnel is not feasible.  The District agrees with the finding and recommendation.</t>
  </si>
  <si>
    <t>See PDF</t>
  </si>
  <si>
    <t xml:space="preserve"> Rome CCSD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</si>
</sst>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2"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1200150</xdr:colOff>
          <xdr:row>9</xdr:row>
          <xdr:rowOff>28575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4</xdr:col>
          <xdr:colOff>409575</xdr:colOff>
          <xdr:row>12</xdr:row>
          <xdr:rowOff>28575</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E44" sqref="AE4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6">
        <f>+'AFR20'!E4</f>
        <v>44119</v>
      </c>
      <c r="C1" s="2036"/>
      <c r="D1" s="2037"/>
      <c r="I1" s="2115" t="s">
        <v>402</v>
      </c>
      <c r="J1" s="2116"/>
      <c r="K1" s="2116"/>
      <c r="L1" s="2116"/>
      <c r="M1" s="2116"/>
      <c r="N1" s="2116"/>
      <c r="O1" s="2116"/>
      <c r="P1" s="2116"/>
      <c r="Q1" s="2116"/>
      <c r="R1" s="2116"/>
      <c r="S1" s="2116"/>
    </row>
    <row r="2" spans="1:32" ht="12" customHeight="1" x14ac:dyDescent="0.2">
      <c r="A2" s="1830" t="str">
        <f>"Due to ISBE on "</f>
        <v xml:space="preserve">Due to ISBE on </v>
      </c>
      <c r="B2" s="2038">
        <f>+'AFR20'!F4</f>
        <v>44151</v>
      </c>
      <c r="C2" s="2038"/>
      <c r="D2" s="2039"/>
      <c r="I2" s="2117" t="s">
        <v>2003</v>
      </c>
      <c r="J2" s="2116"/>
      <c r="K2" s="2116"/>
      <c r="L2" s="2116"/>
      <c r="M2" s="2116"/>
      <c r="N2" s="2116"/>
      <c r="O2" s="2116"/>
      <c r="P2" s="2116"/>
      <c r="Q2" s="2116"/>
      <c r="R2" s="2116"/>
      <c r="S2" s="2116"/>
    </row>
    <row r="3" spans="1:32" ht="12" customHeight="1" x14ac:dyDescent="0.2">
      <c r="A3" s="1833" t="str">
        <f>"SD/JA"&amp;MID('AFR20'!E2,3,2)</f>
        <v>SD/JA20</v>
      </c>
      <c r="B3" s="151"/>
      <c r="C3" s="151"/>
      <c r="D3" s="152"/>
      <c r="I3" s="2117" t="s">
        <v>52</v>
      </c>
      <c r="J3" s="2116"/>
      <c r="K3" s="2116"/>
      <c r="L3" s="2116"/>
      <c r="M3" s="2116"/>
      <c r="N3" s="2116"/>
      <c r="O3" s="2116"/>
      <c r="P3" s="2116"/>
      <c r="Q3" s="2116"/>
      <c r="R3" s="2116"/>
      <c r="S3" s="2116"/>
    </row>
    <row r="4" spans="1:32" ht="12" customHeight="1" x14ac:dyDescent="0.2">
      <c r="A4" s="37"/>
      <c r="I4" s="2117" t="s">
        <v>521</v>
      </c>
      <c r="J4" s="2116"/>
      <c r="K4" s="2116"/>
      <c r="L4" s="2116"/>
      <c r="M4" s="2116"/>
      <c r="N4" s="2116"/>
      <c r="O4" s="2116"/>
      <c r="P4" s="2116"/>
      <c r="Q4" s="2116"/>
      <c r="R4" s="2116"/>
      <c r="S4" s="2116"/>
    </row>
    <row r="5" spans="1:32" ht="14.1" customHeight="1" x14ac:dyDescent="0.2">
      <c r="B5" s="101" t="s">
        <v>2051</v>
      </c>
      <c r="C5" s="26" t="s">
        <v>904</v>
      </c>
      <c r="D5" s="81"/>
      <c r="E5" s="81"/>
      <c r="H5" s="38"/>
      <c r="I5" s="2124" t="s">
        <v>675</v>
      </c>
      <c r="J5" s="2069"/>
      <c r="K5" s="2069"/>
      <c r="L5" s="2069"/>
      <c r="M5" s="2069"/>
      <c r="N5" s="2069"/>
      <c r="O5" s="2069"/>
      <c r="P5" s="2069"/>
      <c r="Q5" s="2069"/>
      <c r="R5" s="2069"/>
      <c r="S5" s="2069"/>
      <c r="AF5" s="1826"/>
    </row>
    <row r="6" spans="1:32" ht="14.1" customHeight="1" x14ac:dyDescent="0.2">
      <c r="B6" s="101"/>
      <c r="C6" s="26" t="s">
        <v>905</v>
      </c>
      <c r="D6" s="81"/>
      <c r="E6" s="81"/>
      <c r="I6" s="2123" t="s">
        <v>877</v>
      </c>
      <c r="J6" s="2069"/>
      <c r="K6" s="2069"/>
      <c r="L6" s="2069"/>
      <c r="M6" s="2069"/>
      <c r="N6" s="2069"/>
      <c r="O6" s="2069"/>
      <c r="P6" s="2069"/>
      <c r="Q6" s="2069"/>
      <c r="R6" s="2069"/>
      <c r="S6" s="2069"/>
    </row>
    <row r="7" spans="1:32" ht="12.2" customHeight="1" x14ac:dyDescent="0.2">
      <c r="I7" s="2118" t="str">
        <f>"June 30, "&amp;'AFR20'!E2</f>
        <v>June 30, 2020</v>
      </c>
      <c r="J7" s="2119"/>
      <c r="K7" s="2119"/>
      <c r="L7" s="2119"/>
      <c r="M7" s="2119"/>
      <c r="N7" s="2119"/>
      <c r="O7" s="2119"/>
      <c r="P7" s="2119"/>
      <c r="Q7" s="2119"/>
      <c r="R7" s="2119"/>
      <c r="S7" s="211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0" t="s">
        <v>669</v>
      </c>
      <c r="J9" s="2121"/>
      <c r="K9" s="2121"/>
      <c r="L9" s="2121"/>
      <c r="M9" s="2121"/>
      <c r="N9" s="2121"/>
      <c r="O9" s="2121"/>
      <c r="P9" s="2121"/>
      <c r="Q9" s="2121"/>
      <c r="R9" s="2121"/>
      <c r="S9" s="2122"/>
      <c r="T9" s="2065" t="s">
        <v>530</v>
      </c>
      <c r="U9" s="2066"/>
      <c r="V9" s="2066"/>
      <c r="W9" s="2066"/>
      <c r="X9" s="2066"/>
      <c r="Y9" s="2066"/>
      <c r="Z9" s="2066"/>
      <c r="AA9" s="2067"/>
    </row>
    <row r="10" spans="1:32" ht="13.5" customHeight="1" x14ac:dyDescent="0.2">
      <c r="A10" s="2074" t="s">
        <v>670</v>
      </c>
      <c r="B10" s="2075"/>
      <c r="C10" s="2075"/>
      <c r="D10" s="2075"/>
      <c r="E10" s="2075"/>
      <c r="F10" s="2075"/>
      <c r="G10" s="2075"/>
      <c r="H10" s="2076"/>
      <c r="I10" s="29"/>
      <c r="J10" s="30"/>
      <c r="K10" s="28"/>
      <c r="R10" s="30"/>
      <c r="S10" s="30"/>
      <c r="T10" s="2068"/>
      <c r="U10" s="2069"/>
      <c r="V10" s="2069"/>
      <c r="W10" s="2069"/>
      <c r="X10" s="2069"/>
      <c r="Y10" s="2069"/>
      <c r="Z10" s="2069"/>
      <c r="AA10" s="2070"/>
    </row>
    <row r="11" spans="1:32" ht="14.25" customHeight="1" x14ac:dyDescent="0.2">
      <c r="A11" s="2077" t="s">
        <v>949</v>
      </c>
      <c r="B11" s="2078"/>
      <c r="C11" s="2078"/>
      <c r="D11" s="2078"/>
      <c r="E11" s="2078"/>
      <c r="F11" s="2078"/>
      <c r="G11" s="2078"/>
      <c r="H11" s="2079"/>
      <c r="I11" s="27"/>
      <c r="J11" s="71"/>
      <c r="K11" s="27"/>
      <c r="O11" s="144" t="s">
        <v>2051</v>
      </c>
      <c r="P11" s="97" t="s">
        <v>199</v>
      </c>
      <c r="Q11" s="30"/>
      <c r="R11" s="28"/>
      <c r="S11" s="27"/>
      <c r="T11" s="2071"/>
      <c r="U11" s="2072"/>
      <c r="V11" s="2072"/>
      <c r="W11" s="2072"/>
      <c r="X11" s="2072"/>
      <c r="Y11" s="2072"/>
      <c r="Z11" s="2072"/>
      <c r="AA11" s="207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5">
        <v>13041002004</v>
      </c>
      <c r="B13" s="2086"/>
      <c r="C13" s="2086"/>
      <c r="D13" s="2086"/>
      <c r="E13" s="2086"/>
      <c r="F13" s="2086"/>
      <c r="G13" s="2086"/>
      <c r="H13" s="2087"/>
      <c r="I13" s="31"/>
      <c r="J13" s="30"/>
      <c r="K13" s="28"/>
      <c r="L13" s="30"/>
      <c r="M13" s="30"/>
      <c r="N13" s="30"/>
      <c r="O13" s="30"/>
      <c r="P13" s="30"/>
      <c r="Q13" s="30"/>
      <c r="R13" s="30"/>
      <c r="S13" s="30"/>
      <c r="T13" s="2090" t="s">
        <v>2052</v>
      </c>
      <c r="U13" s="2091"/>
      <c r="V13" s="2091"/>
      <c r="W13" s="2091"/>
      <c r="X13" s="2091"/>
      <c r="Y13" s="2092"/>
      <c r="Z13" s="2092"/>
      <c r="AA13" s="2093"/>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3" t="s">
        <v>2070</v>
      </c>
      <c r="B15" s="2088"/>
      <c r="C15" s="2088"/>
      <c r="D15" s="2088"/>
      <c r="E15" s="2088"/>
      <c r="F15" s="2088"/>
      <c r="G15" s="2088"/>
      <c r="H15" s="2089"/>
      <c r="T15" s="2051" t="s">
        <v>2053</v>
      </c>
      <c r="U15" s="2052"/>
      <c r="V15" s="2052"/>
      <c r="W15" s="2052"/>
      <c r="X15" s="2052"/>
      <c r="Y15" s="2094"/>
      <c r="Z15" s="2094"/>
      <c r="AA15" s="209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3" t="s">
        <v>2104</v>
      </c>
      <c r="B17" s="2113"/>
      <c r="C17" s="2113"/>
      <c r="D17" s="2113"/>
      <c r="E17" s="2113"/>
      <c r="F17" s="2113"/>
      <c r="G17" s="2113"/>
      <c r="H17" s="2114"/>
      <c r="T17" s="2100" t="s">
        <v>2054</v>
      </c>
      <c r="U17" s="2101"/>
      <c r="V17" s="2101"/>
      <c r="W17" s="2101"/>
      <c r="X17" s="2101"/>
      <c r="Y17" s="2101"/>
      <c r="Z17" s="2101"/>
      <c r="AA17" s="2102"/>
    </row>
    <row r="18" spans="1:27" ht="13.5" customHeight="1" x14ac:dyDescent="0.2">
      <c r="A18" s="82" t="s">
        <v>527</v>
      </c>
      <c r="B18" s="73"/>
      <c r="C18" s="69"/>
      <c r="D18" s="73"/>
      <c r="E18" s="73"/>
      <c r="F18" s="73"/>
      <c r="G18" s="73"/>
      <c r="H18" s="53"/>
      <c r="I18" s="2110" t="s">
        <v>671</v>
      </c>
      <c r="J18" s="2111"/>
      <c r="K18" s="2111"/>
      <c r="L18" s="2111"/>
      <c r="M18" s="2111"/>
      <c r="N18" s="2111"/>
      <c r="O18" s="2111"/>
      <c r="P18" s="2111"/>
      <c r="Q18" s="2111"/>
      <c r="R18" s="2111"/>
      <c r="S18" s="2112"/>
      <c r="T18" s="82" t="s">
        <v>706</v>
      </c>
      <c r="U18" s="48"/>
      <c r="V18" s="69"/>
      <c r="W18" s="47"/>
      <c r="X18" s="82" t="s">
        <v>264</v>
      </c>
      <c r="Y18" s="78"/>
      <c r="Z18" s="154" t="s">
        <v>672</v>
      </c>
      <c r="AA18" s="44"/>
    </row>
    <row r="19" spans="1:27" ht="13.5" customHeight="1" x14ac:dyDescent="0.2">
      <c r="A19" s="2083" t="s">
        <v>2071</v>
      </c>
      <c r="B19" s="2084"/>
      <c r="C19" s="2084"/>
      <c r="D19" s="2084"/>
      <c r="E19" s="2084"/>
      <c r="F19" s="2084"/>
      <c r="G19" s="2084"/>
      <c r="H19" s="2082"/>
      <c r="I19" s="30"/>
      <c r="J19" s="96"/>
      <c r="K19" s="40"/>
      <c r="L19" s="38"/>
      <c r="M19" s="109" t="s">
        <v>312</v>
      </c>
      <c r="P19" s="27"/>
      <c r="Q19" s="27"/>
      <c r="R19" s="27"/>
      <c r="S19" s="31"/>
      <c r="T19" s="2083" t="s">
        <v>2055</v>
      </c>
      <c r="U19" s="2081"/>
      <c r="V19" s="2081"/>
      <c r="W19" s="2082"/>
      <c r="X19" s="2098" t="s">
        <v>2056</v>
      </c>
      <c r="Y19" s="2099"/>
      <c r="Z19" s="2096">
        <v>62870</v>
      </c>
      <c r="AA19" s="209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0" t="s">
        <v>2072</v>
      </c>
      <c r="B21" s="2081"/>
      <c r="C21" s="2081"/>
      <c r="D21" s="2081"/>
      <c r="E21" s="2081"/>
      <c r="F21" s="2081"/>
      <c r="G21" s="2081"/>
      <c r="H21" s="2082"/>
      <c r="I21" s="2106" t="s">
        <v>673</v>
      </c>
      <c r="J21" s="2069"/>
      <c r="K21" s="2069"/>
      <c r="L21" s="2069"/>
      <c r="M21" s="2069"/>
      <c r="N21" s="2069"/>
      <c r="O21" s="2069"/>
      <c r="P21" s="2069"/>
      <c r="Q21" s="2069"/>
      <c r="R21" s="2069"/>
      <c r="S21" s="2070"/>
      <c r="T21" s="2048" t="s">
        <v>2057</v>
      </c>
      <c r="U21" s="2049"/>
      <c r="V21" s="2049"/>
      <c r="W21" s="2049"/>
      <c r="X21" s="2062"/>
      <c r="Y21" s="2063"/>
      <c r="Z21" s="2063"/>
      <c r="AA21" s="2064"/>
    </row>
    <row r="22" spans="1:27" ht="13.5" customHeight="1" x14ac:dyDescent="0.2">
      <c r="A22" s="84" t="s">
        <v>528</v>
      </c>
      <c r="B22" s="56"/>
      <c r="C22" s="56"/>
      <c r="D22" s="56"/>
      <c r="E22" s="56"/>
      <c r="F22" s="56"/>
      <c r="G22" s="56"/>
      <c r="H22" s="57"/>
      <c r="I22" s="2107" t="s">
        <v>1412</v>
      </c>
      <c r="J22" s="2108"/>
      <c r="K22" s="2108"/>
      <c r="L22" s="2108"/>
      <c r="M22" s="2108"/>
      <c r="N22" s="2108"/>
      <c r="O22" s="2108"/>
      <c r="P22" s="2108"/>
      <c r="Q22" s="2108"/>
      <c r="R22" s="2108"/>
      <c r="S22" s="2109"/>
      <c r="T22" s="82" t="s">
        <v>1499</v>
      </c>
      <c r="U22" s="48"/>
      <c r="V22" s="69"/>
      <c r="W22" s="48"/>
      <c r="X22" s="155" t="s">
        <v>1307</v>
      </c>
      <c r="Z22" s="43"/>
      <c r="AA22" s="44"/>
    </row>
    <row r="23" spans="1:27" ht="13.5" customHeight="1" x14ac:dyDescent="0.2">
      <c r="A23" s="2103" t="s">
        <v>2073</v>
      </c>
      <c r="B23" s="2104"/>
      <c r="C23" s="2104"/>
      <c r="D23" s="2104"/>
      <c r="E23" s="2104"/>
      <c r="F23" s="2104"/>
      <c r="G23" s="2104"/>
      <c r="H23" s="2105"/>
      <c r="T23" s="2043" t="s">
        <v>2058</v>
      </c>
      <c r="U23" s="2044"/>
      <c r="V23" s="2044"/>
      <c r="W23" s="2044"/>
      <c r="X23" s="2059">
        <v>44530</v>
      </c>
      <c r="Y23" s="2060"/>
      <c r="Z23" s="2060"/>
      <c r="AA23" s="2061"/>
    </row>
    <row r="24" spans="1:27" ht="14.1" customHeight="1" x14ac:dyDescent="0.2">
      <c r="A24" s="85" t="s">
        <v>672</v>
      </c>
      <c r="B24" s="46"/>
      <c r="C24" s="46"/>
      <c r="D24" s="46"/>
      <c r="E24" s="46"/>
      <c r="F24" s="46"/>
      <c r="G24" s="46"/>
      <c r="H24" s="58"/>
      <c r="J24" s="2145">
        <f>IF(B5="x",IF(AUDITCHECK!D29="AFR form Incomplete.","",IF(AUDITCHECK!D29="Deficit reduction plan is required.","School District must complete a deficit reduction plan in the 2020-2021 Budget",)),"")</f>
        <v>0</v>
      </c>
      <c r="K24" s="2145"/>
      <c r="L24" s="2145"/>
      <c r="M24" s="2145"/>
      <c r="N24" s="2145"/>
      <c r="O24" s="2145"/>
      <c r="P24" s="2145"/>
      <c r="Q24" s="2145"/>
      <c r="R24" s="2145"/>
      <c r="S24" s="2146"/>
      <c r="T24" s="102" t="s">
        <v>528</v>
      </c>
      <c r="U24" s="103"/>
      <c r="V24" s="103"/>
      <c r="W24" s="103"/>
      <c r="X24" s="104"/>
      <c r="Y24" s="104"/>
      <c r="Z24" s="104"/>
      <c r="AA24" s="105"/>
    </row>
    <row r="25" spans="1:27" ht="14.1" customHeight="1" x14ac:dyDescent="0.2">
      <c r="A25" s="2080">
        <v>62830</v>
      </c>
      <c r="B25" s="2081"/>
      <c r="C25" s="2081"/>
      <c r="D25" s="2081"/>
      <c r="E25" s="2081"/>
      <c r="F25" s="2081"/>
      <c r="G25" s="2081"/>
      <c r="H25" s="2082"/>
      <c r="I25" s="110"/>
      <c r="J25" s="2147"/>
      <c r="K25" s="2147"/>
      <c r="L25" s="2147"/>
      <c r="M25" s="2147"/>
      <c r="N25" s="2147"/>
      <c r="O25" s="2147"/>
      <c r="P25" s="2147"/>
      <c r="Q25" s="2147"/>
      <c r="R25" s="2147"/>
      <c r="S25" s="2148"/>
      <c r="T25" s="2040" t="s">
        <v>2059</v>
      </c>
      <c r="U25" s="2041"/>
      <c r="V25" s="2041"/>
      <c r="W25" s="2041"/>
      <c r="X25" s="2041"/>
      <c r="Y25" s="2041"/>
      <c r="Z25" s="2041"/>
      <c r="AA25" s="204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8" t="s">
        <v>1494</v>
      </c>
      <c r="J27" s="2111"/>
      <c r="K27" s="2111"/>
      <c r="L27" s="2111"/>
      <c r="M27" s="2111"/>
      <c r="N27" s="2111"/>
      <c r="O27" s="2111"/>
      <c r="P27" s="2111"/>
      <c r="Q27" s="2111"/>
      <c r="R27" s="2111"/>
      <c r="S27" s="211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144" t="s">
        <v>2051</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4"/>
      <c r="Q35" s="2081"/>
      <c r="R35" s="208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3" t="s">
        <v>2074</v>
      </c>
      <c r="B38" s="2113"/>
      <c r="C38" s="2113"/>
      <c r="D38" s="2113"/>
      <c r="E38" s="2113"/>
      <c r="F38" s="2081"/>
      <c r="G38" s="2081"/>
      <c r="H38" s="2082"/>
      <c r="I38" s="2132"/>
      <c r="J38" s="2052"/>
      <c r="K38" s="2052"/>
      <c r="L38" s="2052"/>
      <c r="M38" s="2052"/>
      <c r="N38" s="2052"/>
      <c r="O38" s="2052"/>
      <c r="P38" s="2053"/>
      <c r="Q38" s="2053"/>
      <c r="R38" s="2053"/>
      <c r="S38" s="2054"/>
      <c r="T38" s="2051" t="s">
        <v>2060</v>
      </c>
      <c r="U38" s="2052"/>
      <c r="V38" s="2052"/>
      <c r="W38" s="2052"/>
      <c r="X38" s="2053"/>
      <c r="Y38" s="2053"/>
      <c r="Z38" s="2053"/>
      <c r="AA38" s="2054"/>
    </row>
    <row r="39" spans="1:27" ht="12" customHeight="1" x14ac:dyDescent="0.2">
      <c r="A39" s="2136" t="s">
        <v>528</v>
      </c>
      <c r="B39" s="2137"/>
      <c r="C39" s="69"/>
      <c r="D39" s="66"/>
      <c r="E39" s="66"/>
      <c r="F39" s="76"/>
      <c r="G39" s="66"/>
      <c r="H39" s="53"/>
      <c r="I39" s="2136" t="s">
        <v>528</v>
      </c>
      <c r="J39" s="2137"/>
      <c r="K39" s="2137"/>
      <c r="L39" s="2137"/>
      <c r="M39" s="2137"/>
      <c r="N39" s="64"/>
      <c r="O39" s="69"/>
      <c r="P39" s="69"/>
      <c r="Q39" s="75"/>
      <c r="R39" s="69"/>
      <c r="S39" s="53"/>
      <c r="T39" s="69" t="s">
        <v>528</v>
      </c>
      <c r="U39" s="48"/>
      <c r="V39" s="69"/>
      <c r="W39" s="47"/>
      <c r="X39" s="75"/>
      <c r="Y39" s="43"/>
      <c r="Z39" s="43"/>
      <c r="AA39" s="44"/>
    </row>
    <row r="40" spans="1:27" ht="13.5" customHeight="1" x14ac:dyDescent="0.2">
      <c r="A40" s="2139" t="s">
        <v>2073</v>
      </c>
      <c r="B40" s="2140"/>
      <c r="C40" s="2141"/>
      <c r="D40" s="2141"/>
      <c r="E40" s="2141"/>
      <c r="F40" s="2142"/>
      <c r="G40" s="2142"/>
      <c r="H40" s="2143"/>
      <c r="I40" s="2055"/>
      <c r="J40" s="2057"/>
      <c r="K40" s="2057"/>
      <c r="L40" s="2057"/>
      <c r="M40" s="2057"/>
      <c r="N40" s="2057"/>
      <c r="O40" s="2057"/>
      <c r="P40" s="2057"/>
      <c r="Q40" s="2057"/>
      <c r="R40" s="2057"/>
      <c r="S40" s="2058"/>
      <c r="T40" s="2055" t="s">
        <v>2061</v>
      </c>
      <c r="U40" s="2056"/>
      <c r="V40" s="2057"/>
      <c r="W40" s="2057"/>
      <c r="X40" s="2057"/>
      <c r="Y40" s="2057"/>
      <c r="Z40" s="2057"/>
      <c r="AA40" s="205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9" t="s">
        <v>2075</v>
      </c>
      <c r="B42" s="2130"/>
      <c r="C42" s="2131"/>
      <c r="D42" s="2144" t="s">
        <v>2076</v>
      </c>
      <c r="E42" s="2130"/>
      <c r="F42" s="2130"/>
      <c r="G42" s="2130"/>
      <c r="H42" s="2131"/>
      <c r="I42" s="2050"/>
      <c r="J42" s="2046"/>
      <c r="K42" s="2046"/>
      <c r="L42" s="2046"/>
      <c r="M42" s="2046"/>
      <c r="N42" s="2046"/>
      <c r="O42" s="2047"/>
      <c r="P42" s="2045"/>
      <c r="Q42" s="2046"/>
      <c r="R42" s="2046"/>
      <c r="S42" s="2047"/>
      <c r="T42" s="2050"/>
      <c r="U42" s="2046"/>
      <c r="V42" s="2046"/>
      <c r="W42" s="2047"/>
      <c r="X42" s="2045"/>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3"/>
      <c r="B44" s="2134"/>
      <c r="C44" s="2134"/>
      <c r="D44" s="2134"/>
      <c r="E44" s="2134"/>
      <c r="F44" s="2134"/>
      <c r="G44" s="2134"/>
      <c r="H44" s="2135"/>
      <c r="I44" s="2125"/>
      <c r="J44" s="2127"/>
      <c r="K44" s="2127"/>
      <c r="L44" s="2127"/>
      <c r="M44" s="2127"/>
      <c r="N44" s="2127"/>
      <c r="O44" s="2127"/>
      <c r="P44" s="2127"/>
      <c r="Q44" s="2127"/>
      <c r="R44" s="2127"/>
      <c r="S44" s="2128"/>
      <c r="T44" s="2125"/>
      <c r="U44" s="2126"/>
      <c r="V44" s="2126"/>
      <c r="W44" s="2126"/>
      <c r="X44" s="2126"/>
      <c r="Y44" s="2126"/>
      <c r="Z44" s="2127"/>
      <c r="AA44" s="212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Header>&amp;RPage&amp;P</oddHeader>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F45" sqref="F4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7"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8"/>
      <c r="B3" s="1293"/>
      <c r="C3" s="1294"/>
      <c r="D3" s="1295" t="s">
        <v>254</v>
      </c>
      <c r="E3" s="1294"/>
      <c r="F3" s="1295" t="s">
        <v>255</v>
      </c>
    </row>
    <row r="4" spans="1:8" ht="13.7" customHeight="1" x14ac:dyDescent="0.2">
      <c r="A4" s="579" t="s">
        <v>1145</v>
      </c>
      <c r="B4" s="1720">
        <f>'Revenues 9-14'!C5</f>
        <v>433593</v>
      </c>
      <c r="C4" s="1721"/>
      <c r="D4" s="1722">
        <f>B4-C4</f>
        <v>433593</v>
      </c>
      <c r="E4" s="1721">
        <v>473781</v>
      </c>
      <c r="F4" s="1722">
        <f>E4-C4</f>
        <v>473781</v>
      </c>
    </row>
    <row r="5" spans="1:8" ht="13.7" customHeight="1" x14ac:dyDescent="0.2">
      <c r="A5" s="579" t="s">
        <v>865</v>
      </c>
      <c r="B5" s="1723">
        <f>'Revenues 9-14'!D5</f>
        <v>33214</v>
      </c>
      <c r="C5" s="1663"/>
      <c r="D5" s="1724">
        <f t="shared" ref="D5:D18" si="0">B5-C5</f>
        <v>33214</v>
      </c>
      <c r="E5" s="1663">
        <v>34177</v>
      </c>
      <c r="F5" s="1724">
        <f>E5-C5</f>
        <v>34177</v>
      </c>
    </row>
    <row r="6" spans="1:8" ht="13.7" customHeight="1" x14ac:dyDescent="0.2">
      <c r="A6" s="579" t="s">
        <v>408</v>
      </c>
      <c r="B6" s="1723">
        <f>'Revenues 9-14'!E5</f>
        <v>73592</v>
      </c>
      <c r="C6" s="1663"/>
      <c r="D6" s="1724">
        <f t="shared" si="0"/>
        <v>73592</v>
      </c>
      <c r="E6" s="1663">
        <v>73687</v>
      </c>
      <c r="F6" s="1724">
        <f t="shared" ref="F6:F18" si="1">E6-C6</f>
        <v>73687</v>
      </c>
    </row>
    <row r="7" spans="1:8" ht="13.7" customHeight="1" x14ac:dyDescent="0.2">
      <c r="A7" s="579" t="s">
        <v>154</v>
      </c>
      <c r="B7" s="1723">
        <f>'Revenues 9-14'!F5</f>
        <v>32251</v>
      </c>
      <c r="C7" s="1663"/>
      <c r="D7" s="1724">
        <f t="shared" si="0"/>
        <v>32251</v>
      </c>
      <c r="E7" s="1663">
        <v>33348</v>
      </c>
      <c r="F7" s="1724">
        <f t="shared" si="1"/>
        <v>33348</v>
      </c>
    </row>
    <row r="8" spans="1:8" ht="13.7" customHeight="1" x14ac:dyDescent="0.2">
      <c r="A8" s="579" t="s">
        <v>1169</v>
      </c>
      <c r="B8" s="1723">
        <f>'Revenues 9-14'!G5</f>
        <v>19659</v>
      </c>
      <c r="C8" s="1663"/>
      <c r="D8" s="1724">
        <f t="shared" si="0"/>
        <v>19659</v>
      </c>
      <c r="E8" s="1663">
        <v>19873</v>
      </c>
      <c r="F8" s="1724">
        <f t="shared" si="1"/>
        <v>19873</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0</v>
      </c>
      <c r="C10" s="1663"/>
      <c r="D10" s="1724">
        <f t="shared" si="0"/>
        <v>0</v>
      </c>
      <c r="E10" s="1663"/>
      <c r="F10" s="1724">
        <f t="shared" si="1"/>
        <v>0</v>
      </c>
    </row>
    <row r="11" spans="1:8" x14ac:dyDescent="0.2">
      <c r="A11" s="579" t="s">
        <v>406</v>
      </c>
      <c r="B11" s="1723">
        <f>'Revenues 9-14'!J5</f>
        <v>31455</v>
      </c>
      <c r="C11" s="1663"/>
      <c r="D11" s="1724">
        <f t="shared" si="0"/>
        <v>31455</v>
      </c>
      <c r="E11" s="1663">
        <v>29808</v>
      </c>
      <c r="F11" s="1724">
        <f t="shared" si="1"/>
        <v>29808</v>
      </c>
    </row>
    <row r="12" spans="1:8" ht="13.7" customHeight="1" x14ac:dyDescent="0.2">
      <c r="A12" s="579" t="s">
        <v>156</v>
      </c>
      <c r="B12" s="1723">
        <f>'Revenues 9-14'!K5</f>
        <v>0</v>
      </c>
      <c r="C12" s="1663"/>
      <c r="D12" s="1724">
        <f t="shared" si="0"/>
        <v>0</v>
      </c>
      <c r="E12" s="1663"/>
      <c r="F12" s="1724">
        <f t="shared" si="1"/>
        <v>0</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3241</v>
      </c>
      <c r="C14" s="1663"/>
      <c r="D14" s="1724">
        <f t="shared" si="0"/>
        <v>3241</v>
      </c>
      <c r="E14" s="1663">
        <v>3372</v>
      </c>
      <c r="F14" s="1724">
        <f t="shared" si="1"/>
        <v>3372</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30866</v>
      </c>
      <c r="C16" s="1663"/>
      <c r="D16" s="1724">
        <f t="shared" si="0"/>
        <v>30866</v>
      </c>
      <c r="E16" s="1663">
        <v>19873</v>
      </c>
      <c r="F16" s="1724">
        <f t="shared" si="1"/>
        <v>19873</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657871</v>
      </c>
      <c r="C19" s="1725">
        <f>SUM(C4:C18)</f>
        <v>0</v>
      </c>
      <c r="D19" s="1725">
        <f>SUM(D4:D18)</f>
        <v>657871</v>
      </c>
      <c r="E19" s="1725">
        <f>SUM(E4:E18)</f>
        <v>687919</v>
      </c>
      <c r="F19" s="1725">
        <f>SUM(F4:F18)</f>
        <v>687919</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activeCell="F45" sqref="F4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625</v>
      </c>
      <c r="B1" s="2294"/>
      <c r="C1" s="585"/>
    </row>
    <row r="2" spans="1:7" ht="33.75" x14ac:dyDescent="0.2">
      <c r="A2" s="2302" t="s">
        <v>1779</v>
      </c>
      <c r="B2" s="2303"/>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06" t="s">
        <v>1104</v>
      </c>
      <c r="B3" s="2307"/>
      <c r="C3" s="2295"/>
      <c r="D3" s="2296"/>
      <c r="E3" s="2296"/>
      <c r="F3" s="2297"/>
    </row>
    <row r="4" spans="1:7" ht="12.75" customHeight="1" thickBot="1" x14ac:dyDescent="0.25">
      <c r="A4" s="2304" t="s">
        <v>626</v>
      </c>
      <c r="B4" s="2305"/>
      <c r="C4" s="1655"/>
      <c r="D4" s="1655"/>
      <c r="E4" s="1655"/>
      <c r="F4" s="1731">
        <f>SUM(C4+D4)-E4</f>
        <v>0</v>
      </c>
    </row>
    <row r="5" spans="1:7" ht="15.75" customHeight="1" thickTop="1" x14ac:dyDescent="0.2">
      <c r="A5" s="2289" t="s">
        <v>1101</v>
      </c>
      <c r="B5" s="2290"/>
      <c r="C5" s="2298"/>
      <c r="D5" s="2299"/>
      <c r="E5" s="2299"/>
      <c r="F5" s="2300"/>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291" t="s">
        <v>627</v>
      </c>
      <c r="B15" s="2292"/>
      <c r="C15" s="1731">
        <f>SUM(C6:C14)</f>
        <v>0</v>
      </c>
      <c r="D15" s="1731">
        <f>SUM(D6:D14)</f>
        <v>0</v>
      </c>
      <c r="E15" s="1731">
        <f>SUM(E6:E14)</f>
        <v>0</v>
      </c>
      <c r="F15" s="1731">
        <f>SUM(F6:F14)</f>
        <v>0</v>
      </c>
      <c r="G15" s="473"/>
    </row>
    <row r="16" spans="1:7" s="197" customFormat="1" ht="15.75" customHeight="1" thickTop="1" x14ac:dyDescent="0.2">
      <c r="A16" s="2301" t="s">
        <v>1102</v>
      </c>
      <c r="B16" s="2290"/>
      <c r="C16" s="2298"/>
      <c r="D16" s="2299"/>
      <c r="E16" s="2299"/>
      <c r="F16" s="2300"/>
    </row>
    <row r="17" spans="1:11" ht="12.75" customHeight="1" thickBot="1" x14ac:dyDescent="0.25">
      <c r="A17" s="2314" t="s">
        <v>64</v>
      </c>
      <c r="B17" s="2315"/>
      <c r="C17" s="1732"/>
      <c r="D17" s="1663"/>
      <c r="E17" s="1732"/>
      <c r="F17" s="1731">
        <f>SUM(C17+D17)-E17</f>
        <v>0</v>
      </c>
    </row>
    <row r="18" spans="1:11" ht="12.75" customHeight="1" thickTop="1" thickBot="1" x14ac:dyDescent="0.25">
      <c r="A18" s="2314" t="s">
        <v>6</v>
      </c>
      <c r="B18" s="2315"/>
      <c r="C18" s="1732"/>
      <c r="D18" s="1663"/>
      <c r="E18" s="1732"/>
      <c r="F18" s="1731">
        <f>SUM(C18+D18)-E18</f>
        <v>0</v>
      </c>
    </row>
    <row r="19" spans="1:11" ht="12.75" customHeight="1" thickTop="1" thickBot="1" x14ac:dyDescent="0.25">
      <c r="A19" s="2314" t="s">
        <v>385</v>
      </c>
      <c r="B19" s="2315"/>
      <c r="C19" s="1732"/>
      <c r="D19" s="1663"/>
      <c r="E19" s="1732"/>
      <c r="F19" s="1731">
        <f>SUM(C19+D19)-E19</f>
        <v>0</v>
      </c>
    </row>
    <row r="20" spans="1:11" ht="12.75" customHeight="1" thickTop="1" thickBot="1" x14ac:dyDescent="0.25">
      <c r="A20" s="2314" t="s">
        <v>445</v>
      </c>
      <c r="B20" s="2315"/>
      <c r="C20" s="1732"/>
      <c r="D20" s="1663"/>
      <c r="E20" s="1732"/>
      <c r="F20" s="1731">
        <f>SUM(C20+D20)-E20</f>
        <v>0</v>
      </c>
    </row>
    <row r="21" spans="1:11" ht="14.25" thickTop="1" thickBot="1" x14ac:dyDescent="0.25">
      <c r="A21" s="2291" t="s">
        <v>628</v>
      </c>
      <c r="B21" s="2292"/>
      <c r="C21" s="1731">
        <f>SUM(C17:C20)</f>
        <v>0</v>
      </c>
      <c r="D21" s="1731">
        <f>SUM(D17:D20)</f>
        <v>0</v>
      </c>
      <c r="E21" s="1731">
        <f>SUM(E17:E20)</f>
        <v>0</v>
      </c>
      <c r="F21" s="1731">
        <f>SUM(F17:F20)</f>
        <v>0</v>
      </c>
      <c r="G21" s="473"/>
    </row>
    <row r="22" spans="1:11" ht="15.75" customHeight="1" thickTop="1" x14ac:dyDescent="0.2">
      <c r="A22" s="2316" t="s">
        <v>1103</v>
      </c>
      <c r="B22" s="2290"/>
      <c r="C22" s="2298"/>
      <c r="D22" s="2299"/>
      <c r="E22" s="2299"/>
      <c r="F22" s="2300"/>
    </row>
    <row r="23" spans="1:11" ht="13.5" thickBot="1" x14ac:dyDescent="0.25">
      <c r="A23" s="2304" t="s">
        <v>629</v>
      </c>
      <c r="B23" s="2305"/>
      <c r="C23" s="1655"/>
      <c r="D23" s="1655"/>
      <c r="E23" s="1655"/>
      <c r="F23" s="1731">
        <f>SUM(C23+D23)-E23</f>
        <v>0</v>
      </c>
      <c r="G23" s="473"/>
    </row>
    <row r="24" spans="1:11" ht="15.75" customHeight="1" thickTop="1" x14ac:dyDescent="0.2">
      <c r="A24" s="2316" t="s">
        <v>2006</v>
      </c>
      <c r="B24" s="2290"/>
      <c r="C24" s="2298"/>
      <c r="D24" s="2299"/>
      <c r="E24" s="2299"/>
      <c r="F24" s="2300"/>
    </row>
    <row r="25" spans="1:11" ht="13.5" thickBot="1" x14ac:dyDescent="0.25">
      <c r="A25" s="2304" t="s">
        <v>2007</v>
      </c>
      <c r="B25" s="2305"/>
      <c r="C25" s="1655"/>
      <c r="D25" s="1655"/>
      <c r="E25" s="1655"/>
      <c r="F25" s="1731">
        <f>SUM(C25+D25)-E25</f>
        <v>0</v>
      </c>
      <c r="G25" s="473"/>
    </row>
    <row r="26" spans="1:11" ht="15.75" customHeight="1" thickTop="1" x14ac:dyDescent="0.2">
      <c r="A26" s="2289" t="s">
        <v>652</v>
      </c>
      <c r="B26" s="2290"/>
      <c r="C26" s="589"/>
      <c r="D26" s="589"/>
      <c r="E26" s="589"/>
      <c r="F26" s="590"/>
    </row>
    <row r="27" spans="1:11" ht="13.5" thickBot="1" x14ac:dyDescent="0.25">
      <c r="A27" s="2291" t="s">
        <v>1061</v>
      </c>
      <c r="B27" s="2292"/>
      <c r="C27" s="1663"/>
      <c r="D27" s="1663"/>
      <c r="E27" s="1663"/>
      <c r="F27" s="1731">
        <f>SUM(C27+D27)-E27</f>
        <v>0</v>
      </c>
      <c r="G27" s="473"/>
    </row>
    <row r="28" spans="1:11" ht="7.5" customHeight="1" thickTop="1" x14ac:dyDescent="0.2">
      <c r="A28" s="489"/>
    </row>
    <row r="29" spans="1:11" ht="23.25" customHeight="1" x14ac:dyDescent="0.2">
      <c r="A29" s="2317" t="s">
        <v>578</v>
      </c>
      <c r="B29" s="2294"/>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1877</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t="s">
        <v>2078</v>
      </c>
      <c r="B32" s="595">
        <v>43172</v>
      </c>
      <c r="C32" s="1733">
        <v>329000</v>
      </c>
      <c r="D32" s="1734">
        <v>1</v>
      </c>
      <c r="E32" s="1733">
        <v>329000</v>
      </c>
      <c r="F32" s="1733"/>
      <c r="G32" s="1733"/>
      <c r="H32" s="1733">
        <v>52000</v>
      </c>
      <c r="I32" s="1735">
        <f>((E32+F32)-H32)+G32</f>
        <v>277000</v>
      </c>
      <c r="J32" s="1733">
        <v>250881</v>
      </c>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329000</v>
      </c>
      <c r="D49" s="1741"/>
      <c r="E49" s="1735">
        <f t="shared" ref="E49:J49" si="2">SUM(E31:E48)</f>
        <v>329000</v>
      </c>
      <c r="F49" s="1735">
        <f t="shared" si="2"/>
        <v>0</v>
      </c>
      <c r="G49" s="1735">
        <f t="shared" si="2"/>
        <v>0</v>
      </c>
      <c r="H49" s="1735">
        <f t="shared" si="2"/>
        <v>52000</v>
      </c>
      <c r="I49" s="1735">
        <f t="shared" si="2"/>
        <v>277000</v>
      </c>
      <c r="J49" s="1735">
        <f t="shared" si="2"/>
        <v>250881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8" t="s">
        <v>580</v>
      </c>
      <c r="C52" s="2309"/>
      <c r="D52" s="2309"/>
      <c r="E52" s="603" t="s">
        <v>840</v>
      </c>
      <c r="F52" s="2310"/>
      <c r="G52" s="2311"/>
      <c r="H52" s="596"/>
      <c r="I52" s="596"/>
      <c r="J52" s="600"/>
    </row>
    <row r="53" spans="1:11" ht="11.25" customHeight="1" x14ac:dyDescent="0.2">
      <c r="A53" s="604" t="s">
        <v>907</v>
      </c>
      <c r="B53" s="605" t="s">
        <v>945</v>
      </c>
      <c r="C53" s="600"/>
      <c r="D53" s="597"/>
      <c r="E53" s="603" t="s">
        <v>494</v>
      </c>
      <c r="F53" s="2312"/>
      <c r="G53" s="2313"/>
      <c r="H53" s="596"/>
      <c r="I53" s="596"/>
      <c r="J53" s="600"/>
    </row>
    <row r="54" spans="1:11" ht="11.25" customHeight="1" x14ac:dyDescent="0.2">
      <c r="A54" s="606" t="s">
        <v>908</v>
      </c>
      <c r="B54" s="601" t="s">
        <v>946</v>
      </c>
      <c r="C54" s="600"/>
      <c r="D54" s="597"/>
      <c r="E54" s="603" t="s">
        <v>495</v>
      </c>
      <c r="F54" s="2312"/>
      <c r="G54" s="231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F45" sqref="F4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4" t="s">
        <v>851</v>
      </c>
      <c r="B1" s="2345"/>
      <c r="C1" s="2345"/>
      <c r="D1" s="2345"/>
      <c r="E1" s="2345"/>
      <c r="F1" s="2345"/>
      <c r="G1" s="2346"/>
      <c r="H1" s="1297"/>
      <c r="I1" s="614"/>
      <c r="J1" s="400"/>
    </row>
    <row r="2" spans="1:11" ht="26.25" x14ac:dyDescent="0.2">
      <c r="A2" s="2321" t="s">
        <v>1658</v>
      </c>
      <c r="B2" s="2322"/>
      <c r="C2" s="2322"/>
      <c r="D2" s="2322"/>
      <c r="E2" s="2323"/>
      <c r="F2" s="615" t="s">
        <v>898</v>
      </c>
      <c r="G2" s="616" t="s">
        <v>1655</v>
      </c>
      <c r="H2" s="616" t="s">
        <v>407</v>
      </c>
      <c r="I2" s="616" t="s">
        <v>1148</v>
      </c>
      <c r="J2" s="616" t="s">
        <v>1789</v>
      </c>
      <c r="K2" s="616" t="s">
        <v>137</v>
      </c>
    </row>
    <row r="3" spans="1:11" x14ac:dyDescent="0.2">
      <c r="A3" s="2324" t="str">
        <f>"Cash Basis Fund Balance as of July 1, "&amp;'AFR20'!E2-1</f>
        <v>Cash Basis Fund Balance as of July 1, 2019</v>
      </c>
      <c r="B3" s="2325"/>
      <c r="C3" s="2325"/>
      <c r="D3" s="2325"/>
      <c r="E3" s="2326"/>
      <c r="F3" s="617"/>
      <c r="G3" s="1743">
        <v>0</v>
      </c>
      <c r="H3" s="1743">
        <v>0</v>
      </c>
      <c r="I3" s="1743">
        <v>0</v>
      </c>
      <c r="J3" s="1744">
        <v>0</v>
      </c>
      <c r="K3" s="1744">
        <v>0</v>
      </c>
    </row>
    <row r="4" spans="1:11" x14ac:dyDescent="0.2">
      <c r="A4" s="2327" t="s">
        <v>366</v>
      </c>
      <c r="B4" s="2328"/>
      <c r="C4" s="2328"/>
      <c r="D4" s="2328"/>
      <c r="E4" s="2309"/>
      <c r="F4" s="620"/>
      <c r="G4" s="1745"/>
      <c r="H4" s="1746"/>
      <c r="I4" s="1745"/>
      <c r="J4" s="1747"/>
      <c r="K4" s="1747"/>
    </row>
    <row r="5" spans="1:11" x14ac:dyDescent="0.2">
      <c r="A5" s="2347" t="s">
        <v>1060</v>
      </c>
      <c r="B5" s="2318"/>
      <c r="C5" s="2318"/>
      <c r="D5" s="2318"/>
      <c r="E5" s="2348"/>
      <c r="F5" s="622" t="s">
        <v>843</v>
      </c>
      <c r="G5" s="1748"/>
      <c r="H5" s="1743">
        <v>3240</v>
      </c>
      <c r="I5" s="1749"/>
      <c r="J5" s="1750"/>
      <c r="K5" s="1750"/>
    </row>
    <row r="6" spans="1:11" x14ac:dyDescent="0.2">
      <c r="A6" s="625" t="s">
        <v>715</v>
      </c>
      <c r="B6" s="626"/>
      <c r="C6" s="626"/>
      <c r="D6" s="626"/>
      <c r="E6" s="627"/>
      <c r="F6" s="628" t="s">
        <v>844</v>
      </c>
      <c r="G6" s="1743"/>
      <c r="H6" s="1743">
        <v>8</v>
      </c>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347" t="s">
        <v>1790</v>
      </c>
      <c r="B10" s="2318"/>
      <c r="C10" s="2318"/>
      <c r="D10" s="2318"/>
      <c r="E10" s="2349"/>
      <c r="F10" s="633" t="s">
        <v>857</v>
      </c>
      <c r="G10" s="1752"/>
      <c r="H10" s="1753">
        <v>30</v>
      </c>
      <c r="I10" s="1743"/>
      <c r="J10" s="1744"/>
      <c r="K10" s="1744"/>
    </row>
    <row r="11" spans="1:11" x14ac:dyDescent="0.2">
      <c r="A11" s="2347" t="s">
        <v>159</v>
      </c>
      <c r="B11" s="2318"/>
      <c r="C11" s="2318"/>
      <c r="D11" s="2318"/>
      <c r="E11" s="2348"/>
      <c r="F11" s="622" t="s">
        <v>847</v>
      </c>
      <c r="G11" s="1748"/>
      <c r="H11" s="1743"/>
      <c r="I11" s="1743"/>
      <c r="J11" s="1744"/>
      <c r="K11" s="1750"/>
    </row>
    <row r="12" spans="1:11" ht="13.5" thickBot="1" x14ac:dyDescent="0.25">
      <c r="A12" s="2335" t="s">
        <v>899</v>
      </c>
      <c r="B12" s="2336"/>
      <c r="C12" s="2336"/>
      <c r="D12" s="2336"/>
      <c r="E12" s="2337"/>
      <c r="F12" s="1432"/>
      <c r="G12" s="1754">
        <f>SUM(G5:G11)</f>
        <v>0</v>
      </c>
      <c r="H12" s="1754">
        <f>SUM(H5:H11)</f>
        <v>3278</v>
      </c>
      <c r="I12" s="1754">
        <f>SUM(I5:I11)</f>
        <v>0</v>
      </c>
      <c r="J12" s="1754">
        <f>SUM(J5:J11)</f>
        <v>0</v>
      </c>
      <c r="K12" s="1754">
        <f>SUM(K5:K11)</f>
        <v>0</v>
      </c>
    </row>
    <row r="13" spans="1:11" ht="13.5" thickTop="1" x14ac:dyDescent="0.2">
      <c r="A13" s="2329" t="s">
        <v>367</v>
      </c>
      <c r="B13" s="2330"/>
      <c r="C13" s="2330"/>
      <c r="D13" s="2330"/>
      <c r="E13" s="2331"/>
      <c r="F13" s="634"/>
      <c r="G13" s="1755"/>
      <c r="H13" s="1756"/>
      <c r="I13" s="1757"/>
      <c r="J13" s="1757"/>
      <c r="K13" s="1757"/>
    </row>
    <row r="14" spans="1:11" x14ac:dyDescent="0.2">
      <c r="A14" s="2353" t="s">
        <v>453</v>
      </c>
      <c r="B14" s="2353"/>
      <c r="C14" s="2353"/>
      <c r="D14" s="2353"/>
      <c r="E14" s="2354"/>
      <c r="F14" s="635" t="s">
        <v>849</v>
      </c>
      <c r="G14" s="1752"/>
      <c r="H14" s="1743">
        <v>3278</v>
      </c>
      <c r="I14" s="1748"/>
      <c r="J14" s="1750"/>
      <c r="K14" s="1744"/>
    </row>
    <row r="15" spans="1:11" x14ac:dyDescent="0.2">
      <c r="A15" s="2318" t="s">
        <v>4</v>
      </c>
      <c r="B15" s="2318"/>
      <c r="C15" s="2318"/>
      <c r="D15" s="2318"/>
      <c r="E15" s="2348"/>
      <c r="F15" s="635" t="s">
        <v>850</v>
      </c>
      <c r="G15" s="1748"/>
      <c r="H15" s="1743"/>
      <c r="I15" s="1743"/>
      <c r="J15" s="1744"/>
      <c r="K15" s="1744"/>
    </row>
    <row r="16" spans="1:11" x14ac:dyDescent="0.2">
      <c r="A16" s="2318" t="s">
        <v>295</v>
      </c>
      <c r="B16" s="2318"/>
      <c r="C16" s="2318"/>
      <c r="D16" s="2318"/>
      <c r="E16" s="2348"/>
      <c r="F16" s="635" t="s">
        <v>917</v>
      </c>
      <c r="G16" s="1749"/>
      <c r="H16" s="1745"/>
      <c r="I16" s="1745"/>
      <c r="J16" s="1747"/>
      <c r="K16" s="1747"/>
    </row>
    <row r="17" spans="1:15" x14ac:dyDescent="0.2">
      <c r="A17" s="2342" t="s">
        <v>929</v>
      </c>
      <c r="B17" s="2342"/>
      <c r="C17" s="2342"/>
      <c r="D17" s="2342"/>
      <c r="E17" s="2343"/>
      <c r="F17" s="636"/>
      <c r="G17" s="1758"/>
      <c r="H17" s="1759"/>
      <c r="I17" s="1759"/>
      <c r="J17" s="1760"/>
      <c r="K17" s="1761"/>
    </row>
    <row r="18" spans="1:15" x14ac:dyDescent="0.2">
      <c r="A18" s="2332" t="s">
        <v>365</v>
      </c>
      <c r="B18" s="2333"/>
      <c r="C18" s="2333"/>
      <c r="D18" s="2333"/>
      <c r="E18" s="2334"/>
      <c r="F18" s="635" t="s">
        <v>926</v>
      </c>
      <c r="G18" s="1752"/>
      <c r="H18" s="1752"/>
      <c r="I18" s="1752"/>
      <c r="J18" s="1744"/>
      <c r="K18" s="1762"/>
    </row>
    <row r="19" spans="1:15" ht="21.75" customHeight="1" x14ac:dyDescent="0.2">
      <c r="A19" s="2355" t="s">
        <v>1786</v>
      </c>
      <c r="B19" s="2355"/>
      <c r="C19" s="2355"/>
      <c r="D19" s="2355"/>
      <c r="E19" s="2356"/>
      <c r="F19" s="635" t="s">
        <v>927</v>
      </c>
      <c r="G19" s="1752"/>
      <c r="H19" s="1752"/>
      <c r="I19" s="1752"/>
      <c r="J19" s="1744"/>
      <c r="K19" s="1762"/>
    </row>
    <row r="20" spans="1:15" x14ac:dyDescent="0.2">
      <c r="A20" s="2332" t="s">
        <v>1791</v>
      </c>
      <c r="B20" s="2333"/>
      <c r="C20" s="2333"/>
      <c r="D20" s="2333"/>
      <c r="E20" s="2334"/>
      <c r="F20" s="635" t="s">
        <v>928</v>
      </c>
      <c r="G20" s="1752"/>
      <c r="H20" s="1752"/>
      <c r="I20" s="1752"/>
      <c r="J20" s="1744"/>
      <c r="K20" s="1762"/>
    </row>
    <row r="21" spans="1:15" ht="13.5" thickBot="1" x14ac:dyDescent="0.25">
      <c r="A21" s="2338" t="s">
        <v>633</v>
      </c>
      <c r="B21" s="2338"/>
      <c r="C21" s="2338"/>
      <c r="D21" s="2338"/>
      <c r="E21" s="2338"/>
      <c r="F21" s="1433"/>
      <c r="G21" s="1759"/>
      <c r="H21" s="1763"/>
      <c r="I21" s="1763"/>
      <c r="J21" s="1764">
        <f>SUM(J18:J20)</f>
        <v>0</v>
      </c>
      <c r="K21" s="1760"/>
    </row>
    <row r="22" spans="1:15" ht="13.5" thickTop="1" x14ac:dyDescent="0.2">
      <c r="A22" s="2318" t="s">
        <v>1792</v>
      </c>
      <c r="B22" s="2318"/>
      <c r="C22" s="2318"/>
      <c r="D22" s="2318"/>
      <c r="E22" s="2348"/>
      <c r="F22" s="635" t="s">
        <v>857</v>
      </c>
      <c r="G22" s="1752"/>
      <c r="H22" s="1743"/>
      <c r="I22" s="1743"/>
      <c r="J22" s="1765"/>
      <c r="K22" s="1744"/>
    </row>
    <row r="23" spans="1:15" ht="13.5" thickBot="1" x14ac:dyDescent="0.25">
      <c r="A23" s="2339" t="s">
        <v>900</v>
      </c>
      <c r="B23" s="2338"/>
      <c r="C23" s="2338"/>
      <c r="D23" s="2338"/>
      <c r="E23" s="2338"/>
      <c r="F23" s="1435"/>
      <c r="G23" s="1754">
        <f>SUM(G14:G16,G21,G22)</f>
        <v>0</v>
      </c>
      <c r="H23" s="1754">
        <f>SUM(H14:H16,H21,H22)</f>
        <v>3278</v>
      </c>
      <c r="I23" s="1754">
        <f>SUM(I14:I16,I21,I22)</f>
        <v>0</v>
      </c>
      <c r="J23" s="1754">
        <f>SUM(J14:J16,J21,J22)</f>
        <v>0</v>
      </c>
      <c r="K23" s="1754">
        <f>SUM(K14:K16,K21,K22)</f>
        <v>0</v>
      </c>
      <c r="M23" s="1845"/>
      <c r="N23" s="1845"/>
      <c r="O23" s="1845"/>
    </row>
    <row r="24" spans="1:15" ht="14.25" thickTop="1" thickBot="1" x14ac:dyDescent="0.25">
      <c r="A24" s="2340" t="str">
        <f>"Ending Cash Basis Fund Balance as of June 30, "&amp;'AFR20'!E2</f>
        <v>Ending Cash Basis Fund Balance as of June 30, 2020</v>
      </c>
      <c r="B24" s="2341"/>
      <c r="C24" s="2341"/>
      <c r="D24" s="2341"/>
      <c r="E24" s="2341"/>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1876</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0"/>
      <c r="I31" s="2351"/>
      <c r="J31" s="2351"/>
      <c r="K31" s="2351"/>
    </row>
    <row r="32" spans="1:15" x14ac:dyDescent="0.2">
      <c r="A32" s="649"/>
      <c r="B32" s="232"/>
      <c r="C32" s="232"/>
      <c r="D32" s="232"/>
      <c r="E32" s="645"/>
      <c r="F32" s="651" t="s">
        <v>537</v>
      </c>
      <c r="G32" s="618"/>
      <c r="H32" s="2352"/>
      <c r="I32" s="2351"/>
      <c r="J32" s="2351"/>
      <c r="K32" s="2351"/>
    </row>
    <row r="33" spans="1:11" ht="1.5" customHeight="1" x14ac:dyDescent="0.2">
      <c r="A33" s="652" t="s">
        <v>1159</v>
      </c>
      <c r="B33" s="341"/>
      <c r="C33" s="341"/>
      <c r="D33" s="341"/>
      <c r="E33" s="341"/>
      <c r="F33" s="341"/>
      <c r="G33" s="653"/>
      <c r="H33" s="2352"/>
      <c r="I33" s="2351"/>
      <c r="J33" s="2351"/>
      <c r="K33" s="2351"/>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8" t="s">
        <v>538</v>
      </c>
      <c r="B41" s="2319"/>
      <c r="C41" s="2319"/>
      <c r="D41" s="2319"/>
      <c r="E41" s="2319"/>
      <c r="F41" s="232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1787</v>
      </c>
      <c r="B46" s="382" t="s">
        <v>1656</v>
      </c>
    </row>
    <row r="47" spans="1:11" s="663" customFormat="1" ht="12.75" customHeight="1" x14ac:dyDescent="0.2">
      <c r="A47" s="661"/>
      <c r="B47" s="662" t="s">
        <v>1657</v>
      </c>
      <c r="E47" s="662"/>
      <c r="K47" s="664"/>
    </row>
    <row r="48" spans="1:11" ht="12.75" customHeight="1" x14ac:dyDescent="0.2">
      <c r="A48" s="1299"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45" sqref="F4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1875</v>
      </c>
      <c r="B1" s="2360"/>
      <c r="C1" s="2361"/>
      <c r="D1" s="666"/>
      <c r="E1" s="667"/>
      <c r="F1" s="667"/>
      <c r="G1" s="668"/>
      <c r="H1" s="669"/>
      <c r="I1" s="670"/>
      <c r="J1" s="2357"/>
      <c r="K1" s="2358"/>
      <c r="L1" s="2358"/>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5000</v>
      </c>
      <c r="D5" s="1769"/>
      <c r="E5" s="1769"/>
      <c r="F5" s="1764">
        <f>(C5+D5)-E5</f>
        <v>5000</v>
      </c>
      <c r="G5" s="676"/>
      <c r="H5" s="680"/>
      <c r="I5" s="680"/>
      <c r="J5" s="680"/>
      <c r="K5" s="637"/>
      <c r="L5" s="1441">
        <f>F5-K5</f>
        <v>5000</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4666324</v>
      </c>
      <c r="D8" s="1770">
        <v>53078</v>
      </c>
      <c r="E8" s="1770"/>
      <c r="F8" s="1764">
        <f>(C8+D8)-E8</f>
        <v>4719402</v>
      </c>
      <c r="G8" s="681">
        <v>50</v>
      </c>
      <c r="H8" s="619">
        <v>2117418</v>
      </c>
      <c r="I8" s="619">
        <v>95888</v>
      </c>
      <c r="J8" s="619"/>
      <c r="K8" s="1441">
        <f>(H8+I8)-J8</f>
        <v>2213306</v>
      </c>
      <c r="L8" s="1441">
        <f>F8-K8</f>
        <v>2506096</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147210</v>
      </c>
      <c r="D10" s="1771"/>
      <c r="E10" s="1771"/>
      <c r="F10" s="1772">
        <f>(C10+D10)-E10</f>
        <v>147210</v>
      </c>
      <c r="G10" s="681">
        <v>20</v>
      </c>
      <c r="H10" s="683">
        <v>101306</v>
      </c>
      <c r="I10" s="683">
        <v>5229</v>
      </c>
      <c r="J10" s="683"/>
      <c r="K10" s="1441">
        <f>(H10+I10)-J10</f>
        <v>106535</v>
      </c>
      <c r="L10" s="1441">
        <f>F10-K10</f>
        <v>40675</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814458</v>
      </c>
      <c r="D12" s="1770">
        <v>72530</v>
      </c>
      <c r="E12" s="1770">
        <v>643</v>
      </c>
      <c r="F12" s="1764">
        <f>(C12+D12)-E12</f>
        <v>886345</v>
      </c>
      <c r="G12" s="681">
        <v>10</v>
      </c>
      <c r="H12" s="619">
        <v>679468</v>
      </c>
      <c r="I12" s="619">
        <v>28732</v>
      </c>
      <c r="J12" s="619">
        <v>643</v>
      </c>
      <c r="K12" s="1441">
        <f>(H12+I12)-J12</f>
        <v>707557</v>
      </c>
      <c r="L12" s="1441">
        <f>F12-K12</f>
        <v>178788</v>
      </c>
    </row>
    <row r="13" spans="1:14" ht="14.25" thickTop="1" thickBot="1" x14ac:dyDescent="0.25">
      <c r="A13" s="684" t="s">
        <v>1112</v>
      </c>
      <c r="B13" s="679">
        <v>252</v>
      </c>
      <c r="C13" s="1770"/>
      <c r="D13" s="1770">
        <v>14500</v>
      </c>
      <c r="E13" s="1770"/>
      <c r="F13" s="1764">
        <f>(C13+D13)-E13</f>
        <v>14500</v>
      </c>
      <c r="G13" s="681">
        <v>5</v>
      </c>
      <c r="H13" s="619"/>
      <c r="I13" s="619">
        <v>2658</v>
      </c>
      <c r="J13" s="619"/>
      <c r="K13" s="1441">
        <f>(H13+I13)-J13</f>
        <v>2658</v>
      </c>
      <c r="L13" s="1441">
        <f>F13-K13</f>
        <v>11842</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c r="D15" s="1770"/>
      <c r="E15" s="1770"/>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5632992</v>
      </c>
      <c r="D16" s="1764">
        <f>SUM(D3,D5:D6,D8:D10,D12:D15)</f>
        <v>140108</v>
      </c>
      <c r="E16" s="1764">
        <f>SUM(E3,E5:E6,E8:E10,E12:E15)</f>
        <v>643</v>
      </c>
      <c r="F16" s="1764">
        <f>SUM(F3,F5:F6,F8:F10,F12:F15)</f>
        <v>5772457</v>
      </c>
      <c r="G16" s="681"/>
      <c r="H16" s="1434">
        <f>SUM(H3,H6,H8:H10,H12:H14,)</f>
        <v>2898192</v>
      </c>
      <c r="I16" s="1434">
        <f>SUM(I3,I6,I8:I10,I12:I14,)</f>
        <v>132507</v>
      </c>
      <c r="J16" s="1434">
        <f>SUM(J3,J6,J8:J10,J12:J14,)</f>
        <v>643</v>
      </c>
      <c r="K16" s="1434">
        <f>(H16+I16)-J16</f>
        <v>3030056</v>
      </c>
      <c r="L16" s="1434">
        <f>F16-K16</f>
        <v>2742401</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132507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45" sqref="F4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2723318</v>
      </c>
      <c r="G8" s="701"/>
    </row>
    <row r="9" spans="1:9" x14ac:dyDescent="0.2">
      <c r="A9" s="705" t="s">
        <v>457</v>
      </c>
      <c r="B9" s="706" t="s">
        <v>1848</v>
      </c>
      <c r="C9" s="707"/>
      <c r="D9" s="705" t="s">
        <v>498</v>
      </c>
      <c r="E9" s="704"/>
      <c r="F9" s="1774">
        <f>'Expenditures 15-22'!K151</f>
        <v>214247</v>
      </c>
      <c r="G9" s="708"/>
    </row>
    <row r="10" spans="1:9" x14ac:dyDescent="0.2">
      <c r="A10" s="705" t="s">
        <v>496</v>
      </c>
      <c r="B10" s="706" t="s">
        <v>1849</v>
      </c>
      <c r="C10" s="707"/>
      <c r="D10" s="705" t="s">
        <v>498</v>
      </c>
      <c r="E10" s="704"/>
      <c r="F10" s="1774">
        <f>'Expenditures 15-22'!K174</f>
        <v>73984</v>
      </c>
      <c r="G10" s="708"/>
    </row>
    <row r="11" spans="1:9" x14ac:dyDescent="0.2">
      <c r="A11" s="705" t="s">
        <v>458</v>
      </c>
      <c r="B11" s="706" t="s">
        <v>1850</v>
      </c>
      <c r="C11" s="707"/>
      <c r="D11" s="705" t="s">
        <v>498</v>
      </c>
      <c r="E11" s="704"/>
      <c r="F11" s="1774">
        <f>'Expenditures 15-22'!K210</f>
        <v>282148</v>
      </c>
      <c r="G11" s="708"/>
    </row>
    <row r="12" spans="1:9" x14ac:dyDescent="0.2">
      <c r="A12" s="705" t="s">
        <v>459</v>
      </c>
      <c r="B12" s="706" t="s">
        <v>1851</v>
      </c>
      <c r="C12" s="707"/>
      <c r="D12" s="705" t="s">
        <v>498</v>
      </c>
      <c r="E12" s="704"/>
      <c r="F12" s="1774">
        <f>'Expenditures 15-22'!K295</f>
        <v>80781</v>
      </c>
      <c r="G12" s="708"/>
    </row>
    <row r="13" spans="1:9" x14ac:dyDescent="0.2">
      <c r="A13" s="705" t="s">
        <v>106</v>
      </c>
      <c r="B13" s="706" t="s">
        <v>1852</v>
      </c>
      <c r="C13" s="707"/>
      <c r="D13" s="705" t="s">
        <v>498</v>
      </c>
      <c r="E13" s="704"/>
      <c r="F13" s="1774">
        <f>'Expenditures 15-22'!K342</f>
        <v>38299</v>
      </c>
      <c r="G13" s="709"/>
    </row>
    <row r="14" spans="1:9" ht="12" customHeight="1" thickBot="1" x14ac:dyDescent="0.25">
      <c r="A14" s="1442"/>
      <c r="B14" s="1443"/>
      <c r="C14" s="1444"/>
      <c r="D14" s="1445" t="s">
        <v>498</v>
      </c>
      <c r="E14" s="1446" t="s">
        <v>952</v>
      </c>
      <c r="F14" s="1775">
        <f>SUM(F8:F13)</f>
        <v>3412777</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2">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1909</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7151</v>
      </c>
      <c r="G52" s="701"/>
    </row>
    <row r="53" spans="1:7" x14ac:dyDescent="0.2">
      <c r="A53" s="705" t="s">
        <v>456</v>
      </c>
      <c r="B53" s="705" t="s">
        <v>1458</v>
      </c>
      <c r="C53" s="724">
        <f>'Expenditures 15-22'!B102</f>
        <v>4000</v>
      </c>
      <c r="D53" s="723" t="str">
        <f>'Expenditures 15-22'!A102</f>
        <v>Total Payments to Other Govt Units</v>
      </c>
      <c r="E53" s="704"/>
      <c r="F53" s="1781">
        <f>'Expenditures 15-22'!K102</f>
        <v>171833</v>
      </c>
      <c r="G53" s="701"/>
    </row>
    <row r="54" spans="1:7" x14ac:dyDescent="0.2">
      <c r="A54" s="705" t="s">
        <v>456</v>
      </c>
      <c r="B54" s="705" t="s">
        <v>1459</v>
      </c>
      <c r="C54" s="724" t="s">
        <v>975</v>
      </c>
      <c r="D54" s="720" t="s">
        <v>1086</v>
      </c>
      <c r="E54" s="704"/>
      <c r="F54" s="1781">
        <f>'Expenditures 15-22'!G114</f>
        <v>58419</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1">
        <f>'Expenditures 15-22'!K139</f>
        <v>0</v>
      </c>
      <c r="G57" s="701"/>
    </row>
    <row r="58" spans="1:7" x14ac:dyDescent="0.2">
      <c r="A58" s="705" t="s">
        <v>457</v>
      </c>
      <c r="B58" s="705" t="s">
        <v>1854</v>
      </c>
      <c r="C58" s="721" t="s">
        <v>975</v>
      </c>
      <c r="D58" s="720" t="s">
        <v>1086</v>
      </c>
      <c r="E58" s="704"/>
      <c r="F58" s="1783">
        <f>'Expenditures 15-22'!G151</f>
        <v>67189</v>
      </c>
      <c r="G58" s="701"/>
    </row>
    <row r="59" spans="1:7" x14ac:dyDescent="0.2">
      <c r="A59" s="728" t="s">
        <v>457</v>
      </c>
      <c r="B59" s="692" t="s">
        <v>1855</v>
      </c>
      <c r="C59" s="729" t="s">
        <v>975</v>
      </c>
      <c r="D59" s="692" t="s">
        <v>288</v>
      </c>
      <c r="F59" s="1784">
        <f>'Expenditures 15-22'!I151</f>
        <v>0</v>
      </c>
      <c r="G59" s="701"/>
    </row>
    <row r="60" spans="1:7" x14ac:dyDescent="0.2">
      <c r="A60" s="728" t="s">
        <v>496</v>
      </c>
      <c r="B60" s="692" t="s">
        <v>1856</v>
      </c>
      <c r="C60" s="729">
        <v>4000</v>
      </c>
      <c r="D60" s="692" t="s">
        <v>309</v>
      </c>
      <c r="F60" s="1782">
        <f>'Expenditures 15-22'!K160</f>
        <v>0</v>
      </c>
      <c r="G60" s="701"/>
    </row>
    <row r="61" spans="1:7" x14ac:dyDescent="0.2">
      <c r="A61" s="730" t="s">
        <v>496</v>
      </c>
      <c r="B61" s="730" t="s">
        <v>1857</v>
      </c>
      <c r="C61" s="731" t="str">
        <f>'Expenditures 15-22'!B170</f>
        <v>5300</v>
      </c>
      <c r="D61" s="732" t="s">
        <v>308</v>
      </c>
      <c r="E61" s="715"/>
      <c r="F61" s="1781">
        <f>'Expenditures 15-22'!K170</f>
        <v>52000</v>
      </c>
      <c r="G61" s="701"/>
    </row>
    <row r="62" spans="1:7" x14ac:dyDescent="0.2">
      <c r="A62" s="705" t="s">
        <v>458</v>
      </c>
      <c r="B62" s="705" t="s">
        <v>1858</v>
      </c>
      <c r="C62" s="721">
        <f>'Expenditures 15-22'!B185</f>
        <v>3000</v>
      </c>
      <c r="D62" s="712" t="s">
        <v>446</v>
      </c>
      <c r="E62" s="704"/>
      <c r="F62" s="178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1860</v>
      </c>
      <c r="C64" s="731" t="str">
        <f>'Expenditures 15-22'!B206</f>
        <v>5300</v>
      </c>
      <c r="D64" s="727" t="s">
        <v>308</v>
      </c>
      <c r="E64" s="704"/>
      <c r="F64" s="1781">
        <f>'Expenditures 15-22'!K206</f>
        <v>0</v>
      </c>
      <c r="G64" s="701"/>
    </row>
    <row r="65" spans="1:9" x14ac:dyDescent="0.2">
      <c r="A65" s="705" t="s">
        <v>458</v>
      </c>
      <c r="B65" s="705" t="s">
        <v>1861</v>
      </c>
      <c r="C65" s="721" t="s">
        <v>975</v>
      </c>
      <c r="D65" s="720" t="s">
        <v>1086</v>
      </c>
      <c r="E65" s="704"/>
      <c r="F65" s="1781">
        <f>'Expenditures 15-22'!G210</f>
        <v>14500</v>
      </c>
      <c r="G65" s="701"/>
    </row>
    <row r="66" spans="1:9" x14ac:dyDescent="0.2">
      <c r="A66" s="705" t="s">
        <v>458</v>
      </c>
      <c r="B66" s="705" t="s">
        <v>1862</v>
      </c>
      <c r="C66" s="721" t="s">
        <v>975</v>
      </c>
      <c r="D66" s="720" t="s">
        <v>288</v>
      </c>
      <c r="E66" s="704"/>
      <c r="F66" s="1781">
        <f>'Expenditures 15-22'!I210</f>
        <v>0</v>
      </c>
      <c r="G66" s="701"/>
    </row>
    <row r="67" spans="1:9" x14ac:dyDescent="0.2">
      <c r="A67" s="705" t="s">
        <v>459</v>
      </c>
      <c r="B67" s="705" t="s">
        <v>1863</v>
      </c>
      <c r="C67" s="721" t="str">
        <f>'Expenditures 15-22'!B216</f>
        <v>1125</v>
      </c>
      <c r="D67" s="727" t="str">
        <f>'Expenditures 15-22'!A216</f>
        <v>Pre-K Programs</v>
      </c>
      <c r="E67" s="704"/>
      <c r="F67" s="1781">
        <f>'Expenditures 15-22'!K216</f>
        <v>0</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1865</v>
      </c>
      <c r="C70" s="721">
        <f>'Expenditures 15-22'!B221</f>
        <v>1300</v>
      </c>
      <c r="D70" s="722" t="str">
        <f>'Expenditures 15-22'!A221</f>
        <v>Adult/Continuing Education Programs</v>
      </c>
      <c r="E70" s="704"/>
      <c r="F70" s="1781">
        <f>'Expenditures 15-22'!K221</f>
        <v>0</v>
      </c>
      <c r="G70" s="701"/>
    </row>
    <row r="71" spans="1:9" x14ac:dyDescent="0.2">
      <c r="A71" s="705" t="s">
        <v>459</v>
      </c>
      <c r="B71" s="705" t="s">
        <v>1866</v>
      </c>
      <c r="C71" s="721">
        <f>'Expenditures 15-22'!B224</f>
        <v>1600</v>
      </c>
      <c r="D71" s="722" t="str">
        <f>'Expenditures 15-22'!A224</f>
        <v>Summer School Programs</v>
      </c>
      <c r="E71" s="704"/>
      <c r="F71" s="1781">
        <f>'Expenditures 15-22'!K224</f>
        <v>0</v>
      </c>
      <c r="G71" s="701"/>
    </row>
    <row r="72" spans="1:9" x14ac:dyDescent="0.2">
      <c r="A72" s="705" t="s">
        <v>459</v>
      </c>
      <c r="B72" s="705" t="s">
        <v>1867</v>
      </c>
      <c r="C72" s="721">
        <f>'Expenditures 15-22'!B280</f>
        <v>3000</v>
      </c>
      <c r="D72" s="712" t="s">
        <v>446</v>
      </c>
      <c r="E72" s="704"/>
      <c r="F72" s="1781">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1869</v>
      </c>
      <c r="C74" s="721" t="s">
        <v>855</v>
      </c>
      <c r="D74" s="722" t="s">
        <v>1470</v>
      </c>
      <c r="E74" s="704"/>
      <c r="F74" s="1785">
        <f>'Expenditures 15-22'!K334</f>
        <v>0</v>
      </c>
      <c r="G74" s="701"/>
    </row>
    <row r="75" spans="1:9" x14ac:dyDescent="0.2">
      <c r="A75" s="705" t="s">
        <v>2008</v>
      </c>
      <c r="B75" s="705" t="s">
        <v>2009</v>
      </c>
      <c r="C75" s="721" t="s">
        <v>975</v>
      </c>
      <c r="D75" s="722" t="s">
        <v>1086</v>
      </c>
      <c r="E75" s="704"/>
      <c r="F75" s="1785">
        <f>'Expenditures 15-22'!G342</f>
        <v>0</v>
      </c>
      <c r="G75" s="701"/>
    </row>
    <row r="76" spans="1:9" ht="10.5" customHeight="1" x14ac:dyDescent="0.2">
      <c r="A76" s="701" t="s">
        <v>433</v>
      </c>
      <c r="B76" s="705" t="s">
        <v>2010</v>
      </c>
      <c r="C76" s="711" t="s">
        <v>975</v>
      </c>
      <c r="D76" s="701" t="s">
        <v>288</v>
      </c>
      <c r="E76" s="704"/>
      <c r="F76" s="1785">
        <f>'Expenditures 15-22'!I342</f>
        <v>0</v>
      </c>
      <c r="G76" s="703"/>
    </row>
    <row r="77" spans="1:9" ht="12" thickBot="1" x14ac:dyDescent="0.25">
      <c r="A77" s="1442"/>
      <c r="B77" s="1447"/>
      <c r="C77" s="1444"/>
      <c r="D77" s="1448" t="s">
        <v>2011</v>
      </c>
      <c r="E77" s="1446" t="s">
        <v>952</v>
      </c>
      <c r="F77" s="1786">
        <f>SUM(F18:F76)</f>
        <v>371092</v>
      </c>
      <c r="G77" s="701"/>
    </row>
    <row r="78" spans="1:9" s="728" customFormat="1" ht="12" customHeight="1" thickTop="1" thickBot="1" x14ac:dyDescent="0.25">
      <c r="A78" s="1449"/>
      <c r="B78" s="1447"/>
      <c r="C78" s="1444"/>
      <c r="D78" s="1448" t="s">
        <v>2012</v>
      </c>
      <c r="E78" s="1446"/>
      <c r="F78" s="1787">
        <f>(F14-F77)</f>
        <v>3041685</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381.8</v>
      </c>
      <c r="G79" s="733"/>
      <c r="H79" s="705"/>
      <c r="I79" s="705"/>
    </row>
    <row r="80" spans="1:9" s="728" customFormat="1" ht="12" customHeight="1" thickBot="1" x14ac:dyDescent="0.25">
      <c r="A80" s="1451"/>
      <c r="B80" s="1447"/>
      <c r="C80" s="1444"/>
      <c r="D80" s="1448" t="s">
        <v>2013</v>
      </c>
      <c r="E80" s="1446" t="s">
        <v>952</v>
      </c>
      <c r="F80" s="1789">
        <f>IF(F79&gt;0,F78/F79," Complete Line 79")</f>
        <v>7966.6972236773181</v>
      </c>
      <c r="G80" s="705"/>
    </row>
    <row r="81" spans="1:7" s="728" customFormat="1" ht="8.25" customHeight="1" thickTop="1" x14ac:dyDescent="0.2">
      <c r="A81" s="734"/>
      <c r="B81" s="705"/>
      <c r="C81" s="707"/>
      <c r="D81" s="735"/>
      <c r="E81" s="704"/>
      <c r="F81" s="1790"/>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45071</v>
      </c>
      <c r="G95" s="745"/>
    </row>
    <row r="96" spans="1:7" x14ac:dyDescent="0.2">
      <c r="A96" s="741" t="s">
        <v>139</v>
      </c>
      <c r="B96" s="741" t="s">
        <v>174</v>
      </c>
      <c r="C96" s="743">
        <v>1700</v>
      </c>
      <c r="D96" s="751" t="str">
        <f>'Revenues 9-14'!A82</f>
        <v>Total District/School Activity Income</v>
      </c>
      <c r="E96" s="739"/>
      <c r="F96" s="1792">
        <f>SUM('Revenues 9-14'!C82,'Revenues 9-14'!D82)</f>
        <v>8319</v>
      </c>
      <c r="G96" s="745"/>
    </row>
    <row r="97" spans="1:7" x14ac:dyDescent="0.2">
      <c r="A97" s="741" t="s">
        <v>456</v>
      </c>
      <c r="B97" s="741" t="s">
        <v>175</v>
      </c>
      <c r="C97" s="743">
        <f>'Revenues 9-14'!B84</f>
        <v>1811</v>
      </c>
      <c r="D97" s="744" t="str">
        <f>'Revenues 9-14'!A84</f>
        <v>Rentals - Regular Textbooks</v>
      </c>
      <c r="E97" s="739"/>
      <c r="F97" s="1792">
        <f>'Revenues 9-14'!C84</f>
        <v>2549</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7948</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1910</v>
      </c>
      <c r="C106" s="746">
        <v>3100</v>
      </c>
      <c r="D106" s="752" t="str">
        <f>'Revenues 9-14'!A132</f>
        <v>Total Special Education</v>
      </c>
      <c r="E106" s="739"/>
      <c r="F106" s="1792">
        <f>SUM('Revenues 9-14'!C132:D132,'Revenues 9-14'!F132)</f>
        <v>76402</v>
      </c>
      <c r="G106" s="745"/>
    </row>
    <row r="107" spans="1:7" x14ac:dyDescent="0.2">
      <c r="A107" s="741" t="s">
        <v>668</v>
      </c>
      <c r="B107" s="741" t="s">
        <v>1911</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1912</v>
      </c>
      <c r="C108" s="753">
        <v>3300</v>
      </c>
      <c r="D108" s="744" t="str">
        <f>'Revenues 9-14'!A145</f>
        <v>Total Bilingual Ed</v>
      </c>
      <c r="E108" s="739"/>
      <c r="F108" s="179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2">
        <f>'Revenues 9-14'!C146</f>
        <v>1237</v>
      </c>
      <c r="G109" s="745"/>
    </row>
    <row r="110" spans="1:7" x14ac:dyDescent="0.2">
      <c r="A110" s="741" t="s">
        <v>668</v>
      </c>
      <c r="B110" s="741" t="s">
        <v>1914</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2">
        <f>SUM('Revenues 9-14'!C148,'Revenues 9-14'!D148)</f>
        <v>0</v>
      </c>
      <c r="G111" s="745"/>
    </row>
    <row r="112" spans="1:7" x14ac:dyDescent="0.2">
      <c r="A112" s="741" t="s">
        <v>663</v>
      </c>
      <c r="B112" s="741" t="s">
        <v>1916</v>
      </c>
      <c r="C112" s="755">
        <v>3500</v>
      </c>
      <c r="D112" s="744" t="str">
        <f>'Revenues 9-14'!A155</f>
        <v>Total Transportation</v>
      </c>
      <c r="E112" s="739"/>
      <c r="F112" s="1792">
        <f>SUM('Revenues 9-14'!C155,'Revenues 9-14'!D155,'Revenues 9-14'!F155,'Revenues 9-14'!G155)</f>
        <v>143323</v>
      </c>
      <c r="G112" s="745"/>
    </row>
    <row r="113" spans="1:7" x14ac:dyDescent="0.2">
      <c r="A113" s="741" t="s">
        <v>456</v>
      </c>
      <c r="B113" s="741" t="s">
        <v>1917</v>
      </c>
      <c r="C113" s="753">
        <f>'Revenues 9-14'!B156</f>
        <v>3610</v>
      </c>
      <c r="D113" s="744" t="str">
        <f>'Revenues 9-14'!A156</f>
        <v>Learning Improvement - Change Grants</v>
      </c>
      <c r="E113" s="739"/>
      <c r="F113" s="1792">
        <f>'Revenues 9-14'!C156</f>
        <v>0</v>
      </c>
      <c r="G113" s="745"/>
    </row>
    <row r="114" spans="1:7" x14ac:dyDescent="0.2">
      <c r="A114" s="741" t="s">
        <v>663</v>
      </c>
      <c r="B114" s="741" t="s">
        <v>1918</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1">
        <f>SUM('Revenues 9-14'!C163:G163)</f>
        <v>0</v>
      </c>
      <c r="G119" s="745"/>
    </row>
    <row r="120" spans="1:7" x14ac:dyDescent="0.2">
      <c r="A120" s="756" t="s">
        <v>501</v>
      </c>
      <c r="B120" s="756" t="s">
        <v>1924</v>
      </c>
      <c r="C120" s="757">
        <f>'Revenues 9-14'!B164</f>
        <v>3815</v>
      </c>
      <c r="D120" s="758" t="str">
        <f>'Revenues 9-14'!A164</f>
        <v>State Charter Schools</v>
      </c>
      <c r="E120" s="739"/>
      <c r="F120" s="179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2">
        <f>'Revenues 9-14'!D167</f>
        <v>50000</v>
      </c>
      <c r="G121" s="763"/>
    </row>
    <row r="122" spans="1:7" x14ac:dyDescent="0.2">
      <c r="A122" s="760" t="s">
        <v>497</v>
      </c>
      <c r="B122" s="760" t="s">
        <v>1926</v>
      </c>
      <c r="C122" s="761">
        <f>'Revenues 9-14'!B168</f>
        <v>3999</v>
      </c>
      <c r="D122" s="762" t="s">
        <v>540</v>
      </c>
      <c r="E122" s="764"/>
      <c r="F122" s="1792">
        <f>SUM('Revenues 9-14'!C168:G168,'Revenues 9-14'!J168)</f>
        <v>21973</v>
      </c>
      <c r="G122" s="763"/>
    </row>
    <row r="123" spans="1:7" x14ac:dyDescent="0.2">
      <c r="A123" s="760" t="s">
        <v>456</v>
      </c>
      <c r="B123" s="760" t="s">
        <v>1927</v>
      </c>
      <c r="C123" s="765">
        <f>'Revenues 9-14'!B177</f>
        <v>4045</v>
      </c>
      <c r="D123" s="762" t="str">
        <f>'Revenues 9-14'!A177 &amp; " (Subtract)"</f>
        <v>Head Start (Subtract)</v>
      </c>
      <c r="E123" s="739"/>
      <c r="F123" s="179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2">
        <f>SUM('Revenues 9-14'!C181,'Revenues 9-14'!D181,'Revenues 9-14'!F181,'Revenues 9-14'!G181)</f>
        <v>17301</v>
      </c>
      <c r="G124" s="763"/>
    </row>
    <row r="125" spans="1:7" x14ac:dyDescent="0.2">
      <c r="A125" s="760" t="s">
        <v>663</v>
      </c>
      <c r="B125" s="760" t="s">
        <v>1929</v>
      </c>
      <c r="C125" s="765">
        <v>4100</v>
      </c>
      <c r="D125" s="766" t="str">
        <f>'Revenues 9-14'!A188</f>
        <v>Total Title V</v>
      </c>
      <c r="E125" s="739"/>
      <c r="F125" s="179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2">
        <f>SUM('Revenues 9-14'!C198,'Revenues 9-14'!G198)</f>
        <v>165222</v>
      </c>
      <c r="G126" s="763"/>
    </row>
    <row r="127" spans="1:7" x14ac:dyDescent="0.2">
      <c r="A127" s="760" t="s">
        <v>663</v>
      </c>
      <c r="B127" s="760" t="s">
        <v>1931</v>
      </c>
      <c r="C127" s="765">
        <v>4300</v>
      </c>
      <c r="D127" s="766" t="str">
        <f>'Revenues 9-14'!A204</f>
        <v>Total Title I</v>
      </c>
      <c r="E127" s="739"/>
      <c r="F127" s="1792">
        <f>SUM('Revenues 9-14'!C204,'Revenues 9-14'!D204,'Revenues 9-14'!F204,'Revenues 9-14'!G204)</f>
        <v>43399</v>
      </c>
      <c r="G127" s="763"/>
    </row>
    <row r="128" spans="1:7" x14ac:dyDescent="0.2">
      <c r="A128" s="760" t="s">
        <v>663</v>
      </c>
      <c r="B128" s="760" t="s">
        <v>1932</v>
      </c>
      <c r="C128" s="765">
        <v>4400</v>
      </c>
      <c r="D128" s="766" t="str">
        <f>'Revenues 9-14'!A209</f>
        <v>Total Title IV</v>
      </c>
      <c r="E128" s="739"/>
      <c r="F128" s="1792">
        <f>SUM('Revenues 9-14'!C209,'Revenues 9-14'!D209,'Revenues 9-14'!F209,'Revenues 9-14'!G209)</f>
        <v>10000</v>
      </c>
      <c r="G128" s="763"/>
    </row>
    <row r="129" spans="1:7" x14ac:dyDescent="0.2">
      <c r="A129" s="760" t="s">
        <v>663</v>
      </c>
      <c r="B129" s="760" t="s">
        <v>1933</v>
      </c>
      <c r="C129" s="765">
        <f>'Revenues 9-14'!B213</f>
        <v>4620</v>
      </c>
      <c r="D129" s="766" t="str">
        <f>'Revenues 9-14'!A213</f>
        <v>Fed - Spec Education - IDEA - Flow Through</v>
      </c>
      <c r="E129" s="739"/>
      <c r="F129" s="1792">
        <f>SUM('Revenues 9-14'!C213:D213,'Revenues 9-14'!F213:G213)</f>
        <v>25322</v>
      </c>
      <c r="G129" s="763"/>
    </row>
    <row r="130" spans="1:7" x14ac:dyDescent="0.2">
      <c r="A130" s="760" t="s">
        <v>663</v>
      </c>
      <c r="B130" s="760" t="s">
        <v>1934</v>
      </c>
      <c r="C130" s="765">
        <f>'Revenues 9-14'!B214</f>
        <v>4625</v>
      </c>
      <c r="D130" s="766" t="str">
        <f>'Revenues 9-14'!A214</f>
        <v>Fed - Spec Education - IDEA - Room &amp; Board</v>
      </c>
      <c r="E130" s="739"/>
      <c r="F130" s="1792">
        <f>SUM('Revenues 9-14'!C214,'Revenues 9-14'!D214,'Revenues 9-14'!F214,'Revenues 9-14'!G214)</f>
        <v>7376</v>
      </c>
      <c r="G130" s="763"/>
    </row>
    <row r="131" spans="1:7" x14ac:dyDescent="0.2">
      <c r="A131" s="760" t="s">
        <v>663</v>
      </c>
      <c r="B131" s="760" t="s">
        <v>1935</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1936</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2">
        <v>0</v>
      </c>
      <c r="G139" s="738"/>
    </row>
    <row r="140" spans="1:7" s="703" customFormat="1" hidden="1" x14ac:dyDescent="0.2">
      <c r="A140" s="767" t="s">
        <v>204</v>
      </c>
      <c r="B140" s="767" t="s">
        <v>1943</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1951</v>
      </c>
      <c r="C158" s="773" t="s">
        <v>836</v>
      </c>
      <c r="D158" s="774" t="s">
        <v>772</v>
      </c>
      <c r="E158" s="775"/>
      <c r="F158" s="1792">
        <f>SUM(F134:F157)</f>
        <v>0</v>
      </c>
      <c r="G158" s="738"/>
    </row>
    <row r="159" spans="1:7" s="703" customFormat="1" x14ac:dyDescent="0.2">
      <c r="A159" s="771" t="s">
        <v>456</v>
      </c>
      <c r="B159" s="772" t="s">
        <v>1952</v>
      </c>
      <c r="C159" s="773" t="s">
        <v>1410</v>
      </c>
      <c r="D159" s="774" t="s">
        <v>1411</v>
      </c>
      <c r="E159" s="775"/>
      <c r="F159" s="1792">
        <f>SUM('Revenues 9-14'!C253)</f>
        <v>0</v>
      </c>
      <c r="G159" s="738"/>
    </row>
    <row r="160" spans="1:7" s="703" customFormat="1" x14ac:dyDescent="0.2">
      <c r="A160" s="771" t="s">
        <v>497</v>
      </c>
      <c r="B160" s="772" t="s">
        <v>1953</v>
      </c>
      <c r="C160" s="773" t="s">
        <v>1449</v>
      </c>
      <c r="D160" s="774" t="s">
        <v>1450</v>
      </c>
      <c r="E160" s="775"/>
      <c r="F160" s="179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1">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2">
        <f>SUM('Revenues 9-14'!C263:D263,'Revenues 9-14'!F263:G263)</f>
        <v>2397</v>
      </c>
      <c r="G169" s="780">
        <v>6320</v>
      </c>
    </row>
    <row r="170" spans="1:7" x14ac:dyDescent="0.2">
      <c r="A170" s="760" t="s">
        <v>663</v>
      </c>
      <c r="B170" s="760" t="s">
        <v>1961</v>
      </c>
      <c r="C170" s="765">
        <f>'Revenues 9-14'!B264</f>
        <v>4992</v>
      </c>
      <c r="D170" s="766" t="str">
        <f>'Revenues 9-14'!A264</f>
        <v>Medicaid Matching Funds - Fee-for-Service Program</v>
      </c>
      <c r="E170" s="739"/>
      <c r="F170" s="1792">
        <f>SUM('Revenues 9-14'!C264:D264,'Revenues 9-14'!F264:G264)</f>
        <v>8823</v>
      </c>
      <c r="G170" s="780"/>
    </row>
    <row r="171" spans="1:7" x14ac:dyDescent="0.2">
      <c r="A171" s="781" t="s">
        <v>663</v>
      </c>
      <c r="B171" s="777" t="s">
        <v>1962</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1885</v>
      </c>
      <c r="C172" s="1530">
        <v>3100</v>
      </c>
      <c r="D172" s="1531" t="s">
        <v>1887</v>
      </c>
      <c r="E172" s="739"/>
      <c r="F172" s="1793">
        <v>113241</v>
      </c>
      <c r="G172" s="760"/>
    </row>
    <row r="173" spans="1:7" x14ac:dyDescent="0.2">
      <c r="A173" s="1528" t="s">
        <v>659</v>
      </c>
      <c r="B173" s="1529" t="s">
        <v>1885</v>
      </c>
      <c r="C173" s="1530">
        <v>3300</v>
      </c>
      <c r="D173" s="1531" t="s">
        <v>1888</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2016</v>
      </c>
      <c r="E175" s="1455" t="s">
        <v>952</v>
      </c>
      <c r="F175" s="1795">
        <f>SUM(F85:F133,F158:F173)</f>
        <v>749903</v>
      </c>
    </row>
    <row r="176" spans="1:7" ht="12" customHeight="1" x14ac:dyDescent="0.2">
      <c r="A176" s="1442"/>
      <c r="B176" s="1452"/>
      <c r="C176" s="1453"/>
      <c r="D176" s="1454" t="s">
        <v>2014</v>
      </c>
      <c r="E176" s="1455"/>
      <c r="F176" s="1792">
        <f>'PCTC-OEPP 27-28'!F78-F175</f>
        <v>2291782</v>
      </c>
    </row>
    <row r="177" spans="1:9" ht="12" customHeight="1" x14ac:dyDescent="0.2">
      <c r="A177" s="1442"/>
      <c r="B177" s="1452"/>
      <c r="C177" s="1453"/>
      <c r="D177" s="1454" t="s">
        <v>1794</v>
      </c>
      <c r="E177" s="1455"/>
      <c r="F177" s="1792">
        <f>'Cap Outlay Deprec 26'!I18</f>
        <v>132507</v>
      </c>
    </row>
    <row r="178" spans="1:9" ht="12" customHeight="1" x14ac:dyDescent="0.2">
      <c r="A178" s="1442"/>
      <c r="B178" s="1452"/>
      <c r="C178" s="1453"/>
      <c r="D178" s="1454" t="s">
        <v>2015</v>
      </c>
      <c r="E178" s="1455"/>
      <c r="F178" s="1792">
        <f>F176+F177</f>
        <v>2424289</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381.8</v>
      </c>
      <c r="G179" s="763"/>
      <c r="I179" s="701"/>
    </row>
    <row r="180" spans="1:9" ht="12" customHeight="1" thickBot="1" x14ac:dyDescent="0.25">
      <c r="A180" s="1442"/>
      <c r="B180" s="1456"/>
      <c r="C180" s="1453"/>
      <c r="D180" s="1454" t="s">
        <v>2017</v>
      </c>
      <c r="E180" s="1455" t="s">
        <v>1528</v>
      </c>
      <c r="F180" s="1797">
        <f>F178/F179</f>
        <v>6349.6306966998427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1890</v>
      </c>
      <c r="B186" s="153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B19" sqref="B19"/>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1807</v>
      </c>
      <c r="B1" s="1859"/>
      <c r="C1" s="1860"/>
      <c r="D1" s="1860"/>
      <c r="E1" s="1860"/>
      <c r="F1" s="1860"/>
    </row>
    <row r="2" spans="1:6" x14ac:dyDescent="0.25">
      <c r="A2" s="1862"/>
      <c r="B2" s="1863"/>
      <c r="C2" s="1911" t="s">
        <v>2003</v>
      </c>
      <c r="D2" s="1862"/>
      <c r="E2" s="1862"/>
      <c r="F2" s="1862"/>
    </row>
    <row r="3" spans="1:6" ht="5.25" customHeight="1" x14ac:dyDescent="0.25">
      <c r="A3" s="1864"/>
      <c r="B3" s="1865"/>
      <c r="C3" s="1864"/>
      <c r="D3" s="1864"/>
      <c r="E3" s="1864"/>
      <c r="F3" s="1864"/>
    </row>
    <row r="4" spans="1:6" ht="18.75" customHeight="1" x14ac:dyDescent="0.25">
      <c r="A4" s="2376" t="s">
        <v>1795</v>
      </c>
      <c r="B4" s="2377"/>
      <c r="C4" s="2377"/>
      <c r="D4" s="2377"/>
      <c r="E4" s="2377"/>
      <c r="F4" s="2378"/>
    </row>
    <row r="5" spans="1:6" x14ac:dyDescent="0.25">
      <c r="A5" s="2379"/>
      <c r="B5" s="2380"/>
      <c r="C5" s="2380"/>
      <c r="D5" s="2380"/>
      <c r="E5" s="2380"/>
      <c r="F5" s="2381"/>
    </row>
    <row r="6" spans="1:6" ht="18.75" x14ac:dyDescent="0.25">
      <c r="A6" s="1866" t="s">
        <v>1796</v>
      </c>
      <c r="B6" s="1867"/>
      <c r="C6" s="1868"/>
      <c r="D6" s="1868"/>
      <c r="E6" s="1868"/>
      <c r="F6" s="1869"/>
    </row>
    <row r="7" spans="1:6" ht="47.25" customHeight="1" x14ac:dyDescent="0.25">
      <c r="A7" s="2382" t="s">
        <v>1985</v>
      </c>
      <c r="B7" s="2383"/>
      <c r="C7" s="2383"/>
      <c r="D7" s="2383"/>
      <c r="E7" s="2383"/>
      <c r="F7" s="2384"/>
    </row>
    <row r="8" spans="1:6" ht="20.25" customHeight="1" x14ac:dyDescent="0.25">
      <c r="A8" s="1900" t="s">
        <v>1987</v>
      </c>
      <c r="B8" s="1901"/>
      <c r="C8" s="1901"/>
      <c r="D8" s="1901"/>
      <c r="E8" s="1870"/>
      <c r="F8" s="1871"/>
    </row>
    <row r="9" spans="1:6" ht="18" customHeight="1" x14ac:dyDescent="0.25">
      <c r="A9" s="1872" t="s">
        <v>1984</v>
      </c>
      <c r="B9" s="1874"/>
      <c r="C9" s="1874"/>
      <c r="D9" s="1874"/>
      <c r="E9" s="1870"/>
      <c r="F9" s="1871"/>
    </row>
    <row r="10" spans="1:6" ht="15.75" customHeight="1" x14ac:dyDescent="0.25">
      <c r="A10" s="2385" t="s">
        <v>1981</v>
      </c>
      <c r="B10" s="2386"/>
      <c r="C10" s="2386"/>
      <c r="D10" s="2386"/>
      <c r="E10" s="2386"/>
      <c r="F10" s="2387"/>
    </row>
    <row r="11" spans="1:6" ht="33" customHeight="1" x14ac:dyDescent="0.25">
      <c r="A11" s="2382" t="s">
        <v>1986</v>
      </c>
      <c r="B11" s="2383"/>
      <c r="C11" s="2383"/>
      <c r="D11" s="2383"/>
      <c r="E11" s="2383"/>
      <c r="F11" s="2384"/>
    </row>
    <row r="12" spans="1:6" ht="15" customHeight="1" x14ac:dyDescent="0.25">
      <c r="A12" s="1872" t="s">
        <v>1982</v>
      </c>
      <c r="B12" s="1873"/>
      <c r="C12" s="1874"/>
      <c r="D12" s="1874"/>
      <c r="E12" s="1874"/>
      <c r="F12" s="1875"/>
    </row>
    <row r="13" spans="1:6" ht="17.25" customHeight="1" x14ac:dyDescent="0.25">
      <c r="A13" s="2382" t="s">
        <v>1983</v>
      </c>
      <c r="B13" s="2383"/>
      <c r="C13" s="2383"/>
      <c r="D13" s="2383"/>
      <c r="E13" s="2383"/>
      <c r="F13" s="2384"/>
    </row>
    <row r="14" spans="1:6" ht="15" customHeight="1" x14ac:dyDescent="0.25">
      <c r="A14" s="1872" t="s">
        <v>1800</v>
      </c>
      <c r="B14" s="1873"/>
      <c r="C14" s="1874"/>
      <c r="D14" s="1874"/>
      <c r="E14" s="1874"/>
      <c r="F14" s="1875"/>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5" t="s">
        <v>1799</v>
      </c>
      <c r="C17" s="1880" t="s">
        <v>1797</v>
      </c>
      <c r="D17" s="1881">
        <v>500000</v>
      </c>
      <c r="E17" s="1881" t="str">
        <f>IF(D17&lt;25000,D17,"25,000")</f>
        <v>25,000</v>
      </c>
      <c r="F17" s="1882">
        <f>IF(D17&gt;=25000,(D17-E17),"0")</f>
        <v>475000</v>
      </c>
    </row>
    <row r="18" spans="1:7" x14ac:dyDescent="0.25">
      <c r="A18" s="2034" t="s">
        <v>2079</v>
      </c>
      <c r="B18" s="1906">
        <v>101000300</v>
      </c>
      <c r="C18" s="2035" t="s">
        <v>2080</v>
      </c>
      <c r="D18" s="1884">
        <v>5822</v>
      </c>
      <c r="E18" s="1904">
        <f t="shared" ref="E18:E33" si="0">IF(D18&lt;25000,D18,"25,000")</f>
        <v>5822</v>
      </c>
      <c r="F18" s="1904" t="str">
        <f t="shared" ref="F18:F33" si="1">IF(D18&gt;=25000,(D18-E18),"0")</f>
        <v>0</v>
      </c>
      <c r="G18" s="1885"/>
    </row>
    <row r="19" spans="1:7" x14ac:dyDescent="0.25">
      <c r="A19" s="2034" t="s">
        <v>2079</v>
      </c>
      <c r="B19" s="1906">
        <v>101000300</v>
      </c>
      <c r="C19" s="2035" t="s">
        <v>2081</v>
      </c>
      <c r="D19" s="1884">
        <v>41524</v>
      </c>
      <c r="E19" s="1904" t="str">
        <f t="shared" si="0"/>
        <v>25,000</v>
      </c>
      <c r="F19" s="1904">
        <f t="shared" si="1"/>
        <v>16524</v>
      </c>
    </row>
    <row r="20" spans="1:7" x14ac:dyDescent="0.25">
      <c r="A20" s="2034" t="s">
        <v>2082</v>
      </c>
      <c r="B20" s="1906">
        <v>402550300</v>
      </c>
      <c r="C20" s="2035" t="s">
        <v>2083</v>
      </c>
      <c r="D20" s="1884">
        <v>253512</v>
      </c>
      <c r="E20" s="1904" t="str">
        <f t="shared" si="0"/>
        <v>25,000</v>
      </c>
      <c r="F20" s="1904">
        <f t="shared" si="1"/>
        <v>228512</v>
      </c>
    </row>
    <row r="21" spans="1:7" x14ac:dyDescent="0.25">
      <c r="A21" s="1886"/>
      <c r="B21" s="1906"/>
      <c r="C21" s="1883"/>
      <c r="D21" s="1884"/>
      <c r="E21" s="1904">
        <f t="shared" si="0"/>
        <v>0</v>
      </c>
      <c r="F21" s="1904" t="str">
        <f t="shared" si="1"/>
        <v>0</v>
      </c>
    </row>
    <row r="22" spans="1:7" x14ac:dyDescent="0.25">
      <c r="A22" s="1886"/>
      <c r="B22" s="1906"/>
      <c r="C22" s="1883"/>
      <c r="D22" s="1884"/>
      <c r="E22" s="1904">
        <f t="shared" si="0"/>
        <v>0</v>
      </c>
      <c r="F22" s="1904" t="str">
        <f t="shared" si="1"/>
        <v>0</v>
      </c>
    </row>
    <row r="23" spans="1:7" x14ac:dyDescent="0.25">
      <c r="A23" s="1886"/>
      <c r="B23" s="1906"/>
      <c r="C23" s="1883"/>
      <c r="D23" s="1884"/>
      <c r="E23" s="1904">
        <f t="shared" si="0"/>
        <v>0</v>
      </c>
      <c r="F23" s="1904" t="str">
        <f t="shared" si="1"/>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x14ac:dyDescent="0.25">
      <c r="A26" s="1886"/>
      <c r="B26" s="1906"/>
      <c r="C26" s="1883"/>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7"/>
      <c r="C33" s="1887"/>
      <c r="D33" s="1884"/>
      <c r="E33" s="1904">
        <f t="shared" si="0"/>
        <v>0</v>
      </c>
      <c r="F33" s="1904" t="str">
        <f t="shared" si="1"/>
        <v>0</v>
      </c>
    </row>
    <row r="34" spans="1:6" x14ac:dyDescent="0.25">
      <c r="A34" s="1886"/>
      <c r="B34" s="1907"/>
      <c r="C34" s="1887"/>
      <c r="D34" s="1884"/>
      <c r="E34" s="1904">
        <f t="shared" ref="E34:E35" si="2">IF(D34&lt;25000,D34,"25,000")</f>
        <v>0</v>
      </c>
      <c r="F34" s="1904" t="str">
        <f t="shared" ref="F34:F35" si="3">IF(D34&gt;=25000,(D34-E34),"0")</f>
        <v>0</v>
      </c>
    </row>
    <row r="35" spans="1:6" x14ac:dyDescent="0.25">
      <c r="A35" s="1886"/>
      <c r="B35" s="1908"/>
      <c r="C35" s="1887"/>
      <c r="D35" s="1884"/>
      <c r="E35" s="1904">
        <f t="shared" si="2"/>
        <v>0</v>
      </c>
      <c r="F35" s="1904" t="str">
        <f t="shared" si="3"/>
        <v>0</v>
      </c>
    </row>
    <row r="36" spans="1:6" x14ac:dyDescent="0.25">
      <c r="A36" s="1888" t="s">
        <v>155</v>
      </c>
      <c r="B36" s="1909"/>
      <c r="C36" s="1889"/>
      <c r="D36" s="1890">
        <f>SUM(D18:D35)</f>
        <v>300858</v>
      </c>
      <c r="E36" s="1891">
        <f>SUM(E18:E35)</f>
        <v>5822</v>
      </c>
      <c r="F36" s="1892">
        <f>SUM(F18:F35)</f>
        <v>245036</v>
      </c>
    </row>
  </sheetData>
  <sheetProtection selectLockedCells="1"/>
  <mergeCells count="6">
    <mergeCell ref="A15:F15"/>
    <mergeCell ref="A4:F5"/>
    <mergeCell ref="A7:F7"/>
    <mergeCell ref="A10:F10"/>
    <mergeCell ref="A11:F11"/>
    <mergeCell ref="A13:F13"/>
  </mergeCells>
  <pageMargins left="0.2" right="0.2" top="0.74" bottom="0.25" header="0.48"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7" colorId="8" zoomScale="110" zoomScaleNormal="110" workbookViewId="0">
      <selection activeCell="F45" sqref="F4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v>0</v>
      </c>
      <c r="F7" s="805"/>
      <c r="G7" s="806"/>
      <c r="H7" s="157"/>
      <c r="I7" s="157"/>
    </row>
    <row r="8" spans="1:13" s="542" customFormat="1" ht="12" customHeight="1" x14ac:dyDescent="0.2">
      <c r="A8" s="802" t="s">
        <v>129</v>
      </c>
      <c r="B8" s="803"/>
      <c r="C8" s="803"/>
      <c r="D8" s="804"/>
      <c r="E8" s="1799">
        <v>0</v>
      </c>
      <c r="F8" s="805"/>
      <c r="G8" s="806"/>
      <c r="H8" s="157"/>
      <c r="I8" s="157"/>
    </row>
    <row r="9" spans="1:13" s="542" customFormat="1" ht="12" customHeight="1" x14ac:dyDescent="0.2">
      <c r="A9" s="802" t="s">
        <v>130</v>
      </c>
      <c r="B9" s="803"/>
      <c r="C9" s="803"/>
      <c r="D9" s="804"/>
      <c r="E9" s="1799">
        <v>0</v>
      </c>
      <c r="F9" s="805"/>
      <c r="G9" s="806"/>
      <c r="H9" s="157"/>
      <c r="I9" s="157"/>
    </row>
    <row r="10" spans="1:13" s="542" customFormat="1" ht="12" customHeight="1" x14ac:dyDescent="0.2">
      <c r="A10" s="802" t="s">
        <v>1894</v>
      </c>
      <c r="B10" s="803"/>
      <c r="C10" s="807"/>
      <c r="D10" s="804"/>
      <c r="E10" s="1799">
        <v>126635</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0">
        <v>18030</v>
      </c>
      <c r="F11" s="805"/>
      <c r="G11" s="808"/>
      <c r="H11" s="178"/>
      <c r="I11" s="178"/>
      <c r="J11" s="1852"/>
      <c r="K11" s="1852"/>
      <c r="L11" s="1852"/>
      <c r="M11" s="1852"/>
    </row>
    <row r="12" spans="1:13" s="542" customFormat="1" ht="12" customHeight="1" x14ac:dyDescent="0.2">
      <c r="A12" s="802" t="s">
        <v>131</v>
      </c>
      <c r="B12" s="803"/>
      <c r="C12" s="803"/>
      <c r="D12" s="804"/>
      <c r="E12" s="1799">
        <v>0</v>
      </c>
      <c r="F12" s="805"/>
      <c r="G12" s="806"/>
      <c r="H12" s="157"/>
      <c r="I12" s="157"/>
    </row>
    <row r="13" spans="1:13" s="542" customFormat="1" ht="12" customHeight="1" x14ac:dyDescent="0.2">
      <c r="A13" s="802" t="s">
        <v>201</v>
      </c>
      <c r="B13" s="803"/>
      <c r="C13" s="803"/>
      <c r="D13" s="804"/>
      <c r="E13" s="1799">
        <v>0</v>
      </c>
      <c r="F13" s="805"/>
      <c r="G13" s="806"/>
      <c r="H13" s="157"/>
      <c r="I13" s="157"/>
    </row>
    <row r="14" spans="1:13" s="542" customFormat="1" ht="12" customHeight="1" x14ac:dyDescent="0.2">
      <c r="A14" s="802" t="s">
        <v>202</v>
      </c>
      <c r="B14" s="803"/>
      <c r="C14" s="803"/>
      <c r="D14" s="804"/>
      <c r="E14" s="1799">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1834486</v>
      </c>
      <c r="F19" s="1801"/>
      <c r="G19" s="1803">
        <f>'Expenditures 15-22'!K33-SUM('Expenditures 15-22'!G33,'Expenditures 15-22'!I33)+'Expenditures 15-22'!D229</f>
        <v>1834486</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67952</v>
      </c>
      <c r="F21" s="1804"/>
      <c r="G21" s="1807">
        <f>'Expenditures 15-22'!K42-SUM('Expenditures 15-22'!G42,'Expenditures 15-22'!I42)+'Expenditures 15-22'!K120-SUM('Expenditures 15-22'!G120,'Expenditures 15-22'!I120)+'Expenditures 15-22'!K180-SUM('Expenditures 15-22'!G180,'Expenditures 15-22'!I180)+'Expenditures 15-22'!D238</f>
        <v>67952</v>
      </c>
      <c r="H21" s="817"/>
      <c r="I21" s="157"/>
    </row>
    <row r="22" spans="1:9" s="542" customFormat="1" ht="12" customHeight="1" x14ac:dyDescent="0.2">
      <c r="A22" s="824" t="s">
        <v>560</v>
      </c>
      <c r="B22" s="825"/>
      <c r="C22" s="823">
        <v>2200</v>
      </c>
      <c r="D22" s="1804"/>
      <c r="E22" s="1806">
        <f>'Expenditures 15-22'!K47-SUM('Expenditures 15-22'!G47,'Expenditures 15-22'!I47)+'Expenditures 15-22'!D243</f>
        <v>28456</v>
      </c>
      <c r="F22" s="1804"/>
      <c r="G22" s="1807">
        <f>'Expenditures 15-22'!K47-SUM('Expenditures 15-22'!G47,'Expenditures 15-22'!I47)+'Expenditures 15-22'!D243</f>
        <v>28456</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189968</v>
      </c>
      <c r="F23" s="1804"/>
      <c r="G23" s="1806">
        <f>'Expenditures 15-22'!K53-SUM('Expenditures 15-22'!G53,'Expenditures 15-22'!I53)+'Expenditures 15-22'!D257+'Expenditures 15-22'!K330-SUM('Expenditures 15-22'!G330,'Expenditures 15-22'!I330)</f>
        <v>189968</v>
      </c>
      <c r="H23" s="817"/>
      <c r="I23" s="157"/>
    </row>
    <row r="24" spans="1:9" s="542" customFormat="1" ht="12" customHeight="1" x14ac:dyDescent="0.2">
      <c r="A24" s="824" t="s">
        <v>562</v>
      </c>
      <c r="B24" s="825"/>
      <c r="C24" s="823">
        <v>2400</v>
      </c>
      <c r="D24" s="1804"/>
      <c r="E24" s="1806">
        <f>'Expenditures 15-22'!K57-SUM('Expenditures 15-22'!G57,'Expenditures 15-22'!I57)+'Expenditures 15-22'!D261</f>
        <v>121554</v>
      </c>
      <c r="F24" s="1804"/>
      <c r="G24" s="1807">
        <f>'Expenditures 15-22'!K57-SUM('Expenditures 15-22'!G57,'Expenditures 15-22'!I57)+'Expenditures 15-22'!D261</f>
        <v>121554</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59824</v>
      </c>
      <c r="E27" s="1806">
        <f>E8</f>
        <v>0</v>
      </c>
      <c r="F27" s="1806">
        <f>'Expenditures 15-22'!K60-SUM('Expenditures 15-22'!G60,'Expenditures 15-22'!I60)+'Expenditures 15-22'!D264-E8</f>
        <v>59824</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250254</v>
      </c>
      <c r="F28" s="1808">
        <f>'Expenditures 15-22'!K61-SUM('Expenditures 15-22'!G61,'Expenditures 15-22'!I61)+'Expenditures 15-22'!K124-SUM('Expenditures 15-22'!G124,'Expenditures 15-22'!I124)+'Expenditures 15-22'!D266-E9</f>
        <v>250254</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268429</v>
      </c>
      <c r="F29" s="1804"/>
      <c r="G29" s="1807">
        <f>'Expenditures 15-22'!K62-SUM('Expenditures 15-22'!G62,'Expenditures 15-22'!I62)+'Expenditures 15-22'!K125-SUM('Expenditures 15-22'!G125,'Expenditures 15-22'!I125)+'Expenditures 15-22'!K182-SUM('Expenditures 15-22'!G182,'Expenditures 15-22'!I182)+'Expenditures 15-22'!D267</f>
        <v>268429</v>
      </c>
      <c r="H29" s="815"/>
    </row>
    <row r="30" spans="1:9" ht="12" customHeight="1" x14ac:dyDescent="0.2">
      <c r="A30" s="824" t="s">
        <v>100</v>
      </c>
      <c r="B30" s="827"/>
      <c r="C30" s="823">
        <v>2560</v>
      </c>
      <c r="D30" s="1804"/>
      <c r="E30" s="1806">
        <f>'Expenditures 15-22'!K63-SUM('Expenditures 15-22'!G63,'Expenditures 15-22'!I63)+'Expenditures 15-22'!D268-E10</f>
        <v>67620</v>
      </c>
      <c r="F30" s="1804"/>
      <c r="G30" s="1806">
        <f>'Expenditures 15-22'!K63-SUM('Expenditures 15-22'!G63,'Expenditures 15-22'!I63)+'Expenditures 15-22'!D268-E10</f>
        <v>67620</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4523</v>
      </c>
      <c r="E37" s="1806">
        <f>E14</f>
        <v>0</v>
      </c>
      <c r="F37" s="1806">
        <f>'Expenditures 15-22'!K71-SUM('Expenditures 15-22'!G71,'Expenditures 15-22'!I71)+'Expenditures 15-22'!D276-E14</f>
        <v>4523</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7151</v>
      </c>
      <c r="F39" s="1804"/>
      <c r="G39" s="1806">
        <f>'Expenditures 15-22'!K75-SUM('Expenditures 15-22'!G75,'Expenditures 15-22'!I75)+'Expenditures 15-22'!K130-SUM('Expenditures 15-22'!G130,'Expenditures 15-22'!I130)+'Expenditures 15-22'!K185-SUM('Expenditures 15-22'!G185,'Expenditures 15-22'!I185)+'Expenditures 15-22'!D280</f>
        <v>7151</v>
      </c>
    </row>
    <row r="40" spans="1:7" ht="12" customHeight="1" x14ac:dyDescent="0.2">
      <c r="A40" s="820" t="s">
        <v>1798</v>
      </c>
      <c r="B40" s="821"/>
      <c r="C40" s="823"/>
      <c r="D40" s="1804"/>
      <c r="E40" s="1808">
        <f>-'Contracts Paid in CY 29'!F36</f>
        <v>-245036</v>
      </c>
      <c r="F40" s="1804"/>
      <c r="G40" s="1808">
        <f>-'Contracts Paid in CY 29'!F36</f>
        <v>-245036</v>
      </c>
    </row>
    <row r="41" spans="1:7" ht="12" customHeight="1" x14ac:dyDescent="0.2">
      <c r="A41" s="828" t="s">
        <v>155</v>
      </c>
      <c r="B41" s="829"/>
      <c r="C41" s="830"/>
      <c r="D41" s="1808">
        <f>SUM(D19:D39)</f>
        <v>64347</v>
      </c>
      <c r="E41" s="1808">
        <f>SUM(E19:E40)</f>
        <v>2590834</v>
      </c>
      <c r="F41" s="1808">
        <f>SUM(F19:F39)</f>
        <v>314601</v>
      </c>
      <c r="G41" s="1808">
        <f>SUM(G19:G40)</f>
        <v>2340580</v>
      </c>
    </row>
    <row r="42" spans="1:7" x14ac:dyDescent="0.2">
      <c r="A42" s="817"/>
      <c r="B42" s="157"/>
      <c r="C42" s="831"/>
      <c r="D42" s="2391" t="s">
        <v>519</v>
      </c>
      <c r="E42" s="2392"/>
      <c r="F42" s="832" t="s">
        <v>520</v>
      </c>
      <c r="G42" s="833"/>
    </row>
    <row r="43" spans="1:7" ht="12" customHeight="1" x14ac:dyDescent="0.2">
      <c r="A43" s="817"/>
      <c r="B43" s="157"/>
      <c r="C43" s="831"/>
      <c r="D43" s="1457" t="s">
        <v>470</v>
      </c>
      <c r="E43" s="1809">
        <f>D41</f>
        <v>64347</v>
      </c>
      <c r="F43" s="1457" t="s">
        <v>470</v>
      </c>
      <c r="G43" s="1809">
        <f>F41</f>
        <v>314601</v>
      </c>
    </row>
    <row r="44" spans="1:7" ht="12" customHeight="1" x14ac:dyDescent="0.2">
      <c r="A44" s="817"/>
      <c r="B44" s="157"/>
      <c r="C44" s="831"/>
      <c r="D44" s="1457" t="s">
        <v>471</v>
      </c>
      <c r="E44" s="1809">
        <f>E41</f>
        <v>2590834</v>
      </c>
      <c r="F44" s="1457" t="s">
        <v>471</v>
      </c>
      <c r="G44" s="1809">
        <f>G41</f>
        <v>2340580</v>
      </c>
    </row>
    <row r="45" spans="1:7" ht="12" customHeight="1" x14ac:dyDescent="0.2">
      <c r="A45" s="817"/>
      <c r="B45" s="157"/>
      <c r="C45" s="157"/>
      <c r="D45" s="1458" t="s">
        <v>999</v>
      </c>
      <c r="E45" s="1810">
        <f>(E43/E44)</f>
        <v>2.4836404030516814E-2</v>
      </c>
      <c r="F45" s="1458" t="s">
        <v>999</v>
      </c>
      <c r="G45" s="1810">
        <f>(G43/G44)</f>
        <v>0.13441155611002401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45" sqref="F45"/>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399" t="s">
        <v>1363</v>
      </c>
      <c r="B1" s="2399"/>
      <c r="C1" s="2399"/>
      <c r="D1" s="2399"/>
      <c r="E1" s="2399"/>
      <c r="F1" s="2399"/>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00" t="s">
        <v>1529</v>
      </c>
      <c r="B5" s="2401"/>
      <c r="C5" s="2402"/>
      <c r="D5" s="2402"/>
      <c r="E5" s="2402"/>
      <c r="F5" s="2402"/>
      <c r="G5" s="1506"/>
      <c r="L5" s="1506"/>
      <c r="M5" s="1854"/>
      <c r="N5" s="1854"/>
      <c r="O5" s="1854"/>
    </row>
    <row r="6" spans="1:15" ht="12" customHeight="1" x14ac:dyDescent="0.25">
      <c r="A6" s="1479"/>
      <c r="B6" s="1480"/>
      <c r="C6" s="2403" t="str">
        <f>COVER!A17</f>
        <v xml:space="preserve"> Rome CCSD 2</v>
      </c>
      <c r="D6" s="2403"/>
      <c r="E6" s="2403"/>
      <c r="F6" s="1481"/>
      <c r="G6" s="1506"/>
      <c r="L6" s="1506"/>
      <c r="M6" s="1854"/>
      <c r="N6" s="1854"/>
      <c r="O6" s="1854"/>
    </row>
    <row r="7" spans="1:15" ht="11.25" customHeight="1" thickBot="1" x14ac:dyDescent="0.3">
      <c r="A7" s="1479"/>
      <c r="B7" s="1480"/>
      <c r="C7" s="2404">
        <f>COVER!A13</f>
        <v>13041002004</v>
      </c>
      <c r="D7" s="2404"/>
      <c r="E7" s="2404"/>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t="s">
        <v>2077</v>
      </c>
      <c r="D11" s="1494" t="s">
        <v>2077</v>
      </c>
      <c r="E11" s="1495" t="s">
        <v>2077</v>
      </c>
      <c r="F11" s="1496" t="s">
        <v>2088</v>
      </c>
      <c r="G11" s="1506"/>
      <c r="H11" s="1506">
        <f>IF(C11="X",5,0)</f>
        <v>5</v>
      </c>
      <c r="I11" s="1506">
        <f>IF(D11="X",5,0)</f>
        <v>5</v>
      </c>
      <c r="J11" s="1506">
        <f>IF(E11="X",5,0)</f>
        <v>5</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t="s">
        <v>2077</v>
      </c>
      <c r="D13" s="1494" t="s">
        <v>2077</v>
      </c>
      <c r="E13" s="1497" t="s">
        <v>2077</v>
      </c>
      <c r="F13" s="1496" t="s">
        <v>2084</v>
      </c>
      <c r="G13" s="1506"/>
      <c r="H13" s="1506">
        <f t="shared" si="0"/>
        <v>5</v>
      </c>
      <c r="I13" s="1506">
        <f t="shared" si="1"/>
        <v>5</v>
      </c>
      <c r="J13" s="1506">
        <f t="shared" si="2"/>
        <v>5</v>
      </c>
      <c r="L13" s="1506"/>
      <c r="M13" s="1854"/>
      <c r="N13" s="1854"/>
      <c r="O13" s="1854"/>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1371</v>
      </c>
      <c r="B15" s="1493"/>
      <c r="C15" s="1494" t="s">
        <v>2077</v>
      </c>
      <c r="D15" s="1494" t="s">
        <v>2077</v>
      </c>
      <c r="E15" s="1497" t="s">
        <v>2077</v>
      </c>
      <c r="F15" s="1496" t="s">
        <v>2086</v>
      </c>
      <c r="G15" s="1506"/>
      <c r="H15" s="1506">
        <f t="shared" si="0"/>
        <v>5</v>
      </c>
      <c r="I15" s="1506">
        <f t="shared" si="1"/>
        <v>5</v>
      </c>
      <c r="J15" s="1506">
        <f t="shared" si="2"/>
        <v>5</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t="s">
        <v>2077</v>
      </c>
      <c r="D19" s="1494" t="s">
        <v>2077</v>
      </c>
      <c r="E19" s="1497" t="s">
        <v>2077</v>
      </c>
      <c r="F19" s="1496" t="s">
        <v>2087</v>
      </c>
      <c r="G19" s="1506"/>
      <c r="H19" s="1506">
        <f t="shared" si="0"/>
        <v>5</v>
      </c>
      <c r="I19" s="1506">
        <f t="shared" si="1"/>
        <v>5</v>
      </c>
      <c r="J19" s="1506">
        <f t="shared" si="2"/>
        <v>5</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t="s">
        <v>2077</v>
      </c>
      <c r="D24" s="1494" t="s">
        <v>2077</v>
      </c>
      <c r="E24" s="1497" t="s">
        <v>2077</v>
      </c>
      <c r="F24" s="1496" t="s">
        <v>2088</v>
      </c>
      <c r="G24" s="1506"/>
      <c r="H24" s="1506">
        <f t="shared" si="0"/>
        <v>5</v>
      </c>
      <c r="I24" s="1506">
        <f t="shared" si="1"/>
        <v>5</v>
      </c>
      <c r="J24" s="1506">
        <f t="shared" si="2"/>
        <v>5</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2077</v>
      </c>
      <c r="D26" s="1494" t="s">
        <v>2077</v>
      </c>
      <c r="E26" s="1497" t="s">
        <v>2077</v>
      </c>
      <c r="F26" s="1496" t="s">
        <v>2089</v>
      </c>
      <c r="G26" s="1506"/>
      <c r="H26" s="1506">
        <f t="shared" si="0"/>
        <v>5</v>
      </c>
      <c r="I26" s="1506">
        <f t="shared" si="1"/>
        <v>5</v>
      </c>
      <c r="J26" s="1506">
        <f t="shared" si="2"/>
        <v>5</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t="s">
        <v>2077</v>
      </c>
      <c r="D29" s="1494" t="s">
        <v>2077</v>
      </c>
      <c r="E29" s="1497" t="s">
        <v>2077</v>
      </c>
      <c r="F29" s="1496" t="s">
        <v>2090</v>
      </c>
      <c r="G29" s="1506"/>
      <c r="H29" s="1506">
        <f t="shared" si="0"/>
        <v>5</v>
      </c>
      <c r="I29" s="1506">
        <f t="shared" si="1"/>
        <v>5</v>
      </c>
      <c r="J29" s="1506">
        <f t="shared" si="2"/>
        <v>5</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35</v>
      </c>
      <c r="I34" s="1506">
        <f>SUM(I11:I32)</f>
        <v>35</v>
      </c>
      <c r="J34" s="1506">
        <f>SUM(J11:J32)</f>
        <v>35</v>
      </c>
      <c r="K34" s="1506">
        <f>SUM(H34:J34)</f>
        <v>105</v>
      </c>
      <c r="L34" s="1506"/>
      <c r="M34" s="1854"/>
      <c r="N34" s="1854"/>
      <c r="O34" s="1854"/>
    </row>
    <row r="35" spans="1:15" ht="12" customHeight="1" x14ac:dyDescent="0.2">
      <c r="A35" s="1499" t="s">
        <v>1376</v>
      </c>
      <c r="B35" s="1500"/>
      <c r="C35" s="2405"/>
      <c r="D35" s="2405"/>
      <c r="E35" s="2405"/>
      <c r="F35" s="2406"/>
    </row>
    <row r="36" spans="1:15" ht="12" customHeight="1" x14ac:dyDescent="0.2">
      <c r="A36" s="2396" t="s">
        <v>2085</v>
      </c>
      <c r="B36" s="2397"/>
      <c r="C36" s="2397"/>
      <c r="D36" s="2397"/>
      <c r="E36" s="2397"/>
      <c r="F36" s="2398"/>
    </row>
    <row r="37" spans="1:15" ht="12" customHeight="1" x14ac:dyDescent="0.2">
      <c r="A37" s="2410"/>
      <c r="B37" s="2397"/>
      <c r="C37" s="2397"/>
      <c r="D37" s="2397"/>
      <c r="E37" s="2397"/>
      <c r="F37" s="2398"/>
    </row>
    <row r="38" spans="1:15" ht="12" customHeight="1" x14ac:dyDescent="0.2">
      <c r="A38" s="2411"/>
      <c r="B38" s="2412"/>
      <c r="C38" s="2412"/>
      <c r="D38" s="2412"/>
      <c r="E38" s="2412"/>
      <c r="F38" s="2413"/>
    </row>
    <row r="39" spans="1:15" ht="4.5" hidden="1" customHeight="1" x14ac:dyDescent="0.2">
      <c r="A39" s="1501"/>
      <c r="B39" s="1501"/>
      <c r="C39" s="1501"/>
      <c r="D39" s="1501"/>
      <c r="E39" s="1501"/>
      <c r="F39" s="1501"/>
    </row>
    <row r="40" spans="1:15" s="1498" customFormat="1" ht="12" customHeight="1" x14ac:dyDescent="0.25">
      <c r="A40" s="1502" t="s">
        <v>1375</v>
      </c>
      <c r="B40" s="1503"/>
      <c r="C40" s="2414"/>
      <c r="D40" s="2414"/>
      <c r="E40" s="2414"/>
      <c r="F40" s="2415"/>
      <c r="H40" s="1507"/>
      <c r="I40" s="1507"/>
      <c r="J40" s="1507"/>
      <c r="K40" s="1507"/>
    </row>
    <row r="41" spans="1:15" s="1498" customFormat="1" ht="12" customHeight="1" x14ac:dyDescent="0.25">
      <c r="A41" s="2416"/>
      <c r="B41" s="2417"/>
      <c r="C41" s="2417"/>
      <c r="D41" s="2417"/>
      <c r="E41" s="2417"/>
      <c r="F41" s="2418"/>
      <c r="H41" s="1507"/>
      <c r="I41" s="1507"/>
      <c r="J41" s="1507"/>
      <c r="K41" s="1507"/>
    </row>
    <row r="42" spans="1:15" s="1498" customFormat="1" ht="12" customHeight="1" x14ac:dyDescent="0.25">
      <c r="A42" s="2416"/>
      <c r="B42" s="2417"/>
      <c r="C42" s="2417"/>
      <c r="D42" s="2417"/>
      <c r="E42" s="2417"/>
      <c r="F42" s="2418"/>
      <c r="H42" s="1507"/>
      <c r="I42" s="1507"/>
      <c r="J42" s="1507"/>
      <c r="K42" s="1507"/>
    </row>
    <row r="43" spans="1:15" s="1498" customFormat="1" ht="15" x14ac:dyDescent="0.25">
      <c r="A43" s="2407"/>
      <c r="B43" s="2408"/>
      <c r="C43" s="2408"/>
      <c r="D43" s="2408"/>
      <c r="E43" s="2408"/>
      <c r="F43" s="2409"/>
      <c r="H43" s="1507"/>
      <c r="I43" s="1507"/>
      <c r="J43" s="1507"/>
      <c r="K43" s="1507"/>
    </row>
    <row r="44" spans="1:15" s="1498" customFormat="1" ht="12" hidden="1" customHeight="1" x14ac:dyDescent="0.25">
      <c r="A44" s="2407"/>
      <c r="B44" s="2408"/>
      <c r="C44" s="2408"/>
      <c r="D44" s="2408"/>
      <c r="E44" s="2408"/>
      <c r="F44" s="2409"/>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 zoomScaleNormal="100" workbookViewId="0">
      <selection activeCell="F45" sqref="F45"/>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2002</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6"/>
      <c r="C6" s="1376"/>
      <c r="D6" s="1376"/>
      <c r="E6" s="1377"/>
      <c r="F6" s="1920"/>
      <c r="G6" s="1921"/>
      <c r="H6" s="838"/>
      <c r="I6" s="1922" t="s">
        <v>1021</v>
      </c>
      <c r="J6" s="2420" t="str">
        <f>COVER!A17</f>
        <v xml:space="preserve"> Rome CCSD 2</v>
      </c>
      <c r="K6" s="2420"/>
      <c r="L6" s="2421"/>
      <c r="M6" s="838"/>
      <c r="N6" s="1996"/>
    </row>
    <row r="7" spans="1:14" x14ac:dyDescent="0.2">
      <c r="A7" s="2422" t="s">
        <v>864</v>
      </c>
      <c r="B7" s="2423"/>
      <c r="C7" s="2423"/>
      <c r="D7" s="2423"/>
      <c r="E7" s="2424"/>
      <c r="F7" s="839"/>
      <c r="G7" s="838"/>
      <c r="H7" s="838"/>
      <c r="I7" s="1922" t="s">
        <v>369</v>
      </c>
      <c r="J7" s="2425">
        <f>COVER!A13</f>
        <v>13041002004</v>
      </c>
      <c r="K7" s="2425"/>
      <c r="L7" s="2425"/>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2018</v>
      </c>
      <c r="F9" s="1856"/>
      <c r="G9" s="1856"/>
      <c r="H9" s="1856"/>
      <c r="I9" s="1927" t="s">
        <v>2019</v>
      </c>
      <c r="J9" s="1856"/>
      <c r="K9" s="1856"/>
      <c r="L9" s="1857"/>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26" t="s">
        <v>478</v>
      </c>
      <c r="B11" s="2427"/>
      <c r="C11" s="2428"/>
      <c r="D11" s="1935" t="s">
        <v>866</v>
      </c>
      <c r="E11" s="1935" t="s">
        <v>64</v>
      </c>
      <c r="F11" s="1935" t="s">
        <v>6</v>
      </c>
      <c r="G11" s="1936" t="s">
        <v>2020</v>
      </c>
      <c r="H11" s="1937" t="s">
        <v>155</v>
      </c>
      <c r="I11" s="1935" t="s">
        <v>64</v>
      </c>
      <c r="J11" s="1935" t="s">
        <v>6</v>
      </c>
      <c r="K11" s="1936" t="s">
        <v>2001</v>
      </c>
      <c r="L11" s="1937" t="s">
        <v>155</v>
      </c>
      <c r="M11" s="838"/>
      <c r="N11" s="1996"/>
    </row>
    <row r="12" spans="1:14" x14ac:dyDescent="0.2">
      <c r="A12" s="2001">
        <v>1</v>
      </c>
      <c r="B12" s="1938" t="s">
        <v>813</v>
      </c>
      <c r="C12" s="842"/>
      <c r="D12" s="1939">
        <v>2320</v>
      </c>
      <c r="E12" s="1942">
        <f>'Expenditures 15-22'!K50</f>
        <v>118586</v>
      </c>
      <c r="F12" s="1940"/>
      <c r="G12" s="1966">
        <f>G68</f>
        <v>0</v>
      </c>
      <c r="H12" s="1942">
        <f t="shared" ref="H12:H18" si="0">SUM(E12:G12)</f>
        <v>118586</v>
      </c>
      <c r="I12" s="1941">
        <v>122500</v>
      </c>
      <c r="J12" s="1940"/>
      <c r="K12" s="1941"/>
      <c r="L12" s="1942">
        <f t="shared" ref="L12:L18" si="1">SUM(I12:K12)</f>
        <v>122500</v>
      </c>
      <c r="M12" s="838"/>
      <c r="N12" s="1996"/>
    </row>
    <row r="13" spans="1:14" x14ac:dyDescent="0.2">
      <c r="A13" s="2001">
        <v>2</v>
      </c>
      <c r="B13" s="1938" t="s">
        <v>42</v>
      </c>
      <c r="C13" s="842"/>
      <c r="D13" s="1939">
        <v>2330</v>
      </c>
      <c r="E13" s="1942">
        <f>'Expenditures 15-22'!K51</f>
        <v>0</v>
      </c>
      <c r="F13" s="1940"/>
      <c r="G13" s="1966">
        <f>H68</f>
        <v>0</v>
      </c>
      <c r="H13" s="1942">
        <f t="shared" si="0"/>
        <v>0</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29" t="s">
        <v>7</v>
      </c>
      <c r="C18" s="2430"/>
      <c r="D18" s="2431"/>
      <c r="E18" s="1944">
        <v>11972</v>
      </c>
      <c r="F18" s="1944"/>
      <c r="G18" s="1941"/>
      <c r="H18" s="1945">
        <f t="shared" si="0"/>
        <v>11972</v>
      </c>
      <c r="I18" s="1941">
        <v>12000</v>
      </c>
      <c r="J18" s="1941"/>
      <c r="K18" s="1941"/>
      <c r="L18" s="1942">
        <f t="shared" si="1"/>
        <v>12000</v>
      </c>
      <c r="M18" s="838"/>
      <c r="N18" s="1996"/>
    </row>
    <row r="19" spans="1:14" ht="13.5" thickBot="1" x14ac:dyDescent="0.25">
      <c r="A19" s="2001">
        <v>8</v>
      </c>
      <c r="B19" s="1946" t="s">
        <v>1151</v>
      </c>
      <c r="C19" s="838"/>
      <c r="D19" s="1947"/>
      <c r="E19" s="1948">
        <f t="shared" ref="E19:L19" si="2">SUM(E12:E17)-E18</f>
        <v>106614</v>
      </c>
      <c r="F19" s="1948">
        <f t="shared" si="2"/>
        <v>0</v>
      </c>
      <c r="G19" s="1948">
        <f t="shared" ref="G19" si="3">SUM(G12:G17)-G18</f>
        <v>0</v>
      </c>
      <c r="H19" s="1948">
        <f t="shared" si="2"/>
        <v>106614</v>
      </c>
      <c r="I19" s="1948">
        <f t="shared" si="2"/>
        <v>110500</v>
      </c>
      <c r="J19" s="1948">
        <f t="shared" si="2"/>
        <v>0</v>
      </c>
      <c r="K19" s="1948">
        <f t="shared" si="2"/>
        <v>0</v>
      </c>
      <c r="L19" s="1948">
        <f t="shared" si="2"/>
        <v>110500</v>
      </c>
      <c r="M19" s="838"/>
      <c r="N19" s="1996"/>
    </row>
    <row r="20" spans="1:14" ht="13.5" thickTop="1" x14ac:dyDescent="0.2">
      <c r="A20" s="2001">
        <v>9</v>
      </c>
      <c r="B20" s="2432" t="s">
        <v>2021</v>
      </c>
      <c r="C20" s="2432"/>
      <c r="D20" s="2433"/>
      <c r="E20" s="1949"/>
      <c r="F20" s="1949"/>
      <c r="G20" s="1949"/>
      <c r="H20" s="1949"/>
      <c r="I20" s="1949"/>
      <c r="J20" s="1949"/>
      <c r="K20" s="1949"/>
      <c r="L20" s="1950">
        <f>IF(AND(H19&gt;0,L19&gt;0),(((L19-H19)/H19)),"Enter Budget Data")</f>
        <v>3.6449246815615212E-2</v>
      </c>
      <c r="M20" s="838"/>
      <c r="N20" s="1996"/>
    </row>
    <row r="21" spans="1:14" x14ac:dyDescent="0.2">
      <c r="A21" s="2003" t="s">
        <v>194</v>
      </c>
      <c r="B21" s="2004" t="s">
        <v>2046</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2022</v>
      </c>
      <c r="B24" s="2008"/>
      <c r="C24" s="2009"/>
      <c r="D24" s="2009"/>
      <c r="E24" s="2009"/>
      <c r="F24" s="2009"/>
      <c r="G24" s="2009"/>
      <c r="H24" s="2009"/>
      <c r="I24" s="2009"/>
      <c r="J24" s="2009"/>
      <c r="K24" s="2009"/>
      <c r="L24" s="838"/>
      <c r="M24" s="838"/>
      <c r="N24" s="1996"/>
    </row>
    <row r="25" spans="1:14" x14ac:dyDescent="0.2">
      <c r="A25" s="2007" t="s">
        <v>2023</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34"/>
      <c r="D27" s="2434"/>
      <c r="E27" s="843"/>
      <c r="F27" s="2435"/>
      <c r="G27" s="2435"/>
      <c r="H27" s="2435"/>
      <c r="I27" s="838"/>
      <c r="J27" s="838"/>
      <c r="K27" s="838"/>
      <c r="L27" s="838"/>
      <c r="M27" s="838"/>
      <c r="N27" s="1996"/>
    </row>
    <row r="28" spans="1:14" x14ac:dyDescent="0.2">
      <c r="A28" s="1995"/>
      <c r="B28" s="2005"/>
      <c r="C28" s="1955" t="s">
        <v>1026</v>
      </c>
      <c r="D28" s="844"/>
      <c r="E28" s="1956"/>
      <c r="F28" s="2436" t="s">
        <v>1492</v>
      </c>
      <c r="G28" s="2436"/>
      <c r="H28" s="2436"/>
      <c r="I28" s="838"/>
      <c r="J28" s="838"/>
      <c r="K28" s="838"/>
      <c r="L28" s="838"/>
      <c r="M28" s="838"/>
      <c r="N28" s="1996"/>
    </row>
    <row r="29" spans="1:14" x14ac:dyDescent="0.2">
      <c r="A29" s="1995"/>
      <c r="B29" s="2005"/>
      <c r="C29" s="2437"/>
      <c r="D29" s="2437"/>
      <c r="E29" s="845"/>
      <c r="F29" s="2437"/>
      <c r="G29" s="2437"/>
      <c r="H29" s="2437"/>
      <c r="I29" s="838"/>
      <c r="J29" s="838"/>
      <c r="K29" s="838"/>
      <c r="L29" s="838"/>
      <c r="M29" s="838"/>
      <c r="N29" s="1996"/>
    </row>
    <row r="30" spans="1:14" x14ac:dyDescent="0.2">
      <c r="A30" s="1995"/>
      <c r="B30" s="2005"/>
      <c r="C30" s="1958" t="s">
        <v>1544</v>
      </c>
      <c r="D30" s="838"/>
      <c r="E30" s="1957"/>
      <c r="F30" s="2419" t="s">
        <v>1493</v>
      </c>
      <c r="G30" s="2419"/>
      <c r="H30" s="2419"/>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40" t="s">
        <v>2024</v>
      </c>
      <c r="D34" s="2441"/>
      <c r="E34" s="2441"/>
      <c r="F34" s="2441"/>
      <c r="G34" s="2441"/>
      <c r="H34" s="2441"/>
      <c r="I34" s="2441"/>
      <c r="J34" s="2441"/>
      <c r="K34" s="2014"/>
      <c r="L34" s="838"/>
      <c r="M34" s="838"/>
      <c r="N34" s="1996"/>
    </row>
    <row r="35" spans="1:14" x14ac:dyDescent="0.2">
      <c r="A35" s="1995"/>
      <c r="B35" s="838"/>
      <c r="C35" s="2441"/>
      <c r="D35" s="2441"/>
      <c r="E35" s="2441"/>
      <c r="F35" s="2441"/>
      <c r="G35" s="2441"/>
      <c r="H35" s="2441"/>
      <c r="I35" s="2441"/>
      <c r="J35" s="2441"/>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40" t="s">
        <v>2025</v>
      </c>
      <c r="D37" s="2441"/>
      <c r="E37" s="2441"/>
      <c r="F37" s="2441"/>
      <c r="G37" s="2441"/>
      <c r="H37" s="2441"/>
      <c r="I37" s="2441"/>
      <c r="J37" s="2441"/>
      <c r="K37" s="2014"/>
      <c r="L37" s="2016"/>
      <c r="M37" s="838"/>
      <c r="N37" s="1996"/>
    </row>
    <row r="38" spans="1:14" x14ac:dyDescent="0.2">
      <c r="A38" s="1995"/>
      <c r="B38" s="838"/>
      <c r="C38" s="2441"/>
      <c r="D38" s="2441"/>
      <c r="E38" s="2441"/>
      <c r="F38" s="2441"/>
      <c r="G38" s="2441"/>
      <c r="H38" s="2441"/>
      <c r="I38" s="2441"/>
      <c r="J38" s="2441"/>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42" t="s">
        <v>2026</v>
      </c>
      <c r="D40" s="2443"/>
      <c r="E40" s="2443"/>
      <c r="F40" s="2443"/>
      <c r="G40" s="2443"/>
      <c r="H40" s="2443"/>
      <c r="I40" s="2443"/>
      <c r="J40" s="2443"/>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0"/>
      <c r="B44" s="1981"/>
      <c r="C44" s="1981"/>
      <c r="D44" s="1981"/>
      <c r="E44" s="1981"/>
      <c r="F44" s="1981"/>
      <c r="G44" s="1981"/>
      <c r="H44" s="1981"/>
      <c r="I44" s="1981"/>
      <c r="J44" s="1981"/>
      <c r="K44" s="1981"/>
      <c r="L44" s="1981"/>
      <c r="M44" s="1981"/>
      <c r="N44" s="1982"/>
    </row>
    <row r="45" spans="1:14" x14ac:dyDescent="0.2">
      <c r="A45" s="1980" t="s">
        <v>2028</v>
      </c>
      <c r="B45" s="1981"/>
      <c r="C45" s="1981"/>
      <c r="D45" s="1981"/>
      <c r="E45" s="1981"/>
      <c r="F45" s="1981"/>
      <c r="G45" s="1981"/>
      <c r="H45" s="1981"/>
      <c r="I45" s="1981"/>
      <c r="J45" s="1981"/>
      <c r="K45" s="1981"/>
      <c r="L45" s="1981"/>
      <c r="M45" s="1981"/>
      <c r="N45" s="1982"/>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2045</v>
      </c>
      <c r="B49" s="2022"/>
      <c r="C49" s="2022"/>
      <c r="D49" s="2023"/>
      <c r="E49" s="2023"/>
      <c r="F49" s="2023"/>
      <c r="G49" s="2023"/>
      <c r="H49" s="2023"/>
      <c r="I49" s="2023"/>
      <c r="J49" s="2023"/>
      <c r="K49" s="2023"/>
      <c r="L49" s="2023"/>
      <c r="M49" s="2023"/>
      <c r="N49" s="2024"/>
    </row>
    <row r="50" spans="1:14" ht="15" x14ac:dyDescent="0.25">
      <c r="A50" s="2026" t="s">
        <v>2044</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20" t="str">
        <f>J6</f>
        <v xml:space="preserve"> Rome CCSD 2</v>
      </c>
      <c r="M52" s="2420"/>
      <c r="N52" s="2450"/>
    </row>
    <row r="53" spans="1:14" x14ac:dyDescent="0.2">
      <c r="A53" s="1980"/>
      <c r="B53" s="1981"/>
      <c r="C53" s="1981"/>
      <c r="D53" s="1981"/>
      <c r="E53" s="1981"/>
      <c r="F53" s="1981"/>
      <c r="G53" s="1981"/>
      <c r="H53" s="1981"/>
      <c r="I53" s="1981"/>
      <c r="J53" s="1981"/>
      <c r="K53" s="1922" t="s">
        <v>369</v>
      </c>
      <c r="L53" s="2425">
        <f>J7</f>
        <v>13041002004</v>
      </c>
      <c r="M53" s="2425"/>
      <c r="N53" s="2451"/>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52"/>
      <c r="B55" s="2453"/>
      <c r="C55" s="2453"/>
      <c r="D55" s="1968"/>
      <c r="E55" s="1968"/>
      <c r="F55" s="1968"/>
      <c r="G55" s="2454" t="s">
        <v>2030</v>
      </c>
      <c r="H55" s="2454"/>
      <c r="I55" s="2454"/>
      <c r="J55" s="2454"/>
      <c r="K55" s="2454"/>
      <c r="L55" s="2454"/>
      <c r="M55" s="2454"/>
      <c r="N55" s="2455"/>
    </row>
    <row r="56" spans="1:14" ht="63.75" x14ac:dyDescent="0.2">
      <c r="A56" s="2456" t="s">
        <v>2031</v>
      </c>
      <c r="B56" s="2457"/>
      <c r="C56" s="2458"/>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2">
      <c r="A57" s="2459" t="s">
        <v>296</v>
      </c>
      <c r="B57" s="2460"/>
      <c r="C57" s="2460"/>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38" t="s">
        <v>2041</v>
      </c>
      <c r="B58" s="2439"/>
      <c r="C58" s="2439"/>
      <c r="D58" s="1965">
        <v>2362</v>
      </c>
      <c r="E58" s="1975">
        <f>'Expenditures 15-22'!K320</f>
        <v>21458</v>
      </c>
      <c r="F58" s="1970"/>
      <c r="G58" s="2029"/>
      <c r="H58" s="2030"/>
      <c r="I58" s="2030"/>
      <c r="J58" s="2030"/>
      <c r="K58" s="2030"/>
      <c r="L58" s="2030"/>
      <c r="M58" s="2030">
        <v>21458</v>
      </c>
      <c r="N58" s="1973">
        <f>IF((SUM(G58:M58))=E58,SUM(G58:M58),"Column N does not agree with Column E")</f>
        <v>21458</v>
      </c>
    </row>
    <row r="59" spans="1:14" ht="24.75" customHeight="1" x14ac:dyDescent="0.2">
      <c r="A59" s="2461" t="s">
        <v>297</v>
      </c>
      <c r="B59" s="2462"/>
      <c r="C59" s="2462"/>
      <c r="D59" s="1965">
        <v>2363</v>
      </c>
      <c r="E59" s="1975">
        <f>'Expenditures 15-22'!K321</f>
        <v>4226</v>
      </c>
      <c r="F59" s="1970"/>
      <c r="G59" s="2029"/>
      <c r="H59" s="2030"/>
      <c r="I59" s="2030"/>
      <c r="J59" s="2030"/>
      <c r="K59" s="2030"/>
      <c r="L59" s="2030"/>
      <c r="M59" s="2030">
        <v>4226</v>
      </c>
      <c r="N59" s="1973">
        <f>IF((SUM(G59:M59))=E59,SUM(G59:M59),"Column N does not agree with Column E")</f>
        <v>4226</v>
      </c>
    </row>
    <row r="60" spans="1:14" ht="24" customHeight="1" x14ac:dyDescent="0.2">
      <c r="A60" s="2461" t="s">
        <v>236</v>
      </c>
      <c r="B60" s="2462"/>
      <c r="C60" s="2462"/>
      <c r="D60" s="1965">
        <v>2364</v>
      </c>
      <c r="E60" s="1975">
        <f>'Expenditures 15-22'!K322</f>
        <v>12615</v>
      </c>
      <c r="F60" s="1970"/>
      <c r="G60" s="2029"/>
      <c r="H60" s="2030"/>
      <c r="I60" s="2030"/>
      <c r="J60" s="2030"/>
      <c r="K60" s="2030"/>
      <c r="L60" s="2030"/>
      <c r="M60" s="2030">
        <v>12615</v>
      </c>
      <c r="N60" s="1973">
        <f t="shared" ref="N60:N67" si="4">IF((SUM(G60:M60))=E60,SUM(G60:M60),"Column N does not agree with Column E")</f>
        <v>12615</v>
      </c>
    </row>
    <row r="61" spans="1:14" ht="24.75" customHeight="1" x14ac:dyDescent="0.2">
      <c r="A61" s="2461" t="s">
        <v>697</v>
      </c>
      <c r="B61" s="2462"/>
      <c r="C61" s="2462"/>
      <c r="D61" s="1965">
        <v>2365</v>
      </c>
      <c r="E61" s="1975">
        <f>'Expenditures 15-22'!K323</f>
        <v>0</v>
      </c>
      <c r="F61" s="1970"/>
      <c r="G61" s="2029"/>
      <c r="H61" s="2030"/>
      <c r="I61" s="2030"/>
      <c r="J61" s="2030"/>
      <c r="K61" s="2030"/>
      <c r="L61" s="2030"/>
      <c r="M61" s="2030"/>
      <c r="N61" s="1973">
        <f t="shared" si="4"/>
        <v>0</v>
      </c>
    </row>
    <row r="62" spans="1:14" ht="24" customHeight="1" x14ac:dyDescent="0.2">
      <c r="A62" s="2461" t="s">
        <v>237</v>
      </c>
      <c r="B62" s="2462"/>
      <c r="C62" s="2462"/>
      <c r="D62" s="1965">
        <v>2366</v>
      </c>
      <c r="E62" s="1975">
        <f>'Expenditures 15-22'!K324</f>
        <v>0</v>
      </c>
      <c r="F62" s="1970"/>
      <c r="G62" s="2029"/>
      <c r="H62" s="2030"/>
      <c r="I62" s="2030"/>
      <c r="J62" s="2030"/>
      <c r="K62" s="2030"/>
      <c r="L62" s="2030"/>
      <c r="M62" s="2030"/>
      <c r="N62" s="1973">
        <f t="shared" si="4"/>
        <v>0</v>
      </c>
    </row>
    <row r="63" spans="1:14" ht="24" customHeight="1" x14ac:dyDescent="0.2">
      <c r="A63" s="2438" t="s">
        <v>1022</v>
      </c>
      <c r="B63" s="2439"/>
      <c r="C63" s="2439"/>
      <c r="D63" s="1965">
        <v>2367</v>
      </c>
      <c r="E63" s="1975">
        <f>'Expenditures 15-22'!K325</f>
        <v>0</v>
      </c>
      <c r="F63" s="1970"/>
      <c r="G63" s="2029"/>
      <c r="H63" s="2030"/>
      <c r="I63" s="2030"/>
      <c r="J63" s="2030"/>
      <c r="K63" s="2030"/>
      <c r="L63" s="2030"/>
      <c r="M63" s="2030"/>
      <c r="N63" s="1973">
        <f t="shared" si="4"/>
        <v>0</v>
      </c>
    </row>
    <row r="64" spans="1:14" ht="24" customHeight="1" x14ac:dyDescent="0.2">
      <c r="A64" s="2461" t="s">
        <v>1023</v>
      </c>
      <c r="B64" s="2462"/>
      <c r="C64" s="2462"/>
      <c r="D64" s="1965">
        <v>2368</v>
      </c>
      <c r="E64" s="1975">
        <f>'Expenditures 15-22'!K326</f>
        <v>0</v>
      </c>
      <c r="F64" s="1970"/>
      <c r="G64" s="2029"/>
      <c r="H64" s="2030"/>
      <c r="I64" s="2030"/>
      <c r="J64" s="2030"/>
      <c r="K64" s="2030"/>
      <c r="L64" s="2030"/>
      <c r="M64" s="2030"/>
      <c r="N64" s="1973">
        <f t="shared" si="4"/>
        <v>0</v>
      </c>
    </row>
    <row r="65" spans="1:14" ht="24" customHeight="1" x14ac:dyDescent="0.2">
      <c r="A65" s="2461" t="s">
        <v>965</v>
      </c>
      <c r="B65" s="2462"/>
      <c r="C65" s="2462"/>
      <c r="D65" s="1965">
        <v>2369</v>
      </c>
      <c r="E65" s="1975">
        <f>'Expenditures 15-22'!K327</f>
        <v>0</v>
      </c>
      <c r="F65" s="1970"/>
      <c r="G65" s="2029"/>
      <c r="H65" s="2030"/>
      <c r="I65" s="2030"/>
      <c r="J65" s="2030"/>
      <c r="K65" s="2030"/>
      <c r="L65" s="2030"/>
      <c r="M65" s="2030"/>
      <c r="N65" s="1973">
        <f t="shared" si="4"/>
        <v>0</v>
      </c>
    </row>
    <row r="66" spans="1:14" ht="24" customHeight="1" x14ac:dyDescent="0.2">
      <c r="A66" s="2461" t="s">
        <v>469</v>
      </c>
      <c r="B66" s="2462"/>
      <c r="C66" s="2462"/>
      <c r="D66" s="1965">
        <v>2371</v>
      </c>
      <c r="E66" s="1975">
        <f>'Expenditures 15-22'!K328</f>
        <v>0</v>
      </c>
      <c r="F66" s="1970"/>
      <c r="G66" s="2029"/>
      <c r="H66" s="2030"/>
      <c r="I66" s="2030"/>
      <c r="J66" s="2030"/>
      <c r="K66" s="2030"/>
      <c r="L66" s="2030"/>
      <c r="M66" s="2030"/>
      <c r="N66" s="1973">
        <f t="shared" si="4"/>
        <v>0</v>
      </c>
    </row>
    <row r="67" spans="1:14" ht="24.75" customHeight="1" x14ac:dyDescent="0.2">
      <c r="A67" s="2463" t="s">
        <v>2042</v>
      </c>
      <c r="B67" s="2464"/>
      <c r="C67" s="2464"/>
      <c r="D67" s="1967">
        <v>2372</v>
      </c>
      <c r="E67" s="1976">
        <f>'Expenditures 15-22'!K329</f>
        <v>0</v>
      </c>
      <c r="F67" s="1970"/>
      <c r="G67" s="2031"/>
      <c r="H67" s="2032"/>
      <c r="I67" s="2032"/>
      <c r="J67" s="2032"/>
      <c r="K67" s="2032"/>
      <c r="L67" s="2032"/>
      <c r="M67" s="2032"/>
      <c r="N67" s="1973">
        <f t="shared" si="4"/>
        <v>0</v>
      </c>
    </row>
    <row r="68" spans="1:14" x14ac:dyDescent="0.2">
      <c r="A68" s="2465" t="s">
        <v>1151</v>
      </c>
      <c r="B68" s="2466"/>
      <c r="C68" s="2466"/>
      <c r="D68" s="1968"/>
      <c r="E68" s="1972">
        <f>SUM(E57:E67)</f>
        <v>38299</v>
      </c>
      <c r="F68" s="1971"/>
      <c r="G68" s="1972">
        <f t="shared" ref="G68:N68" si="5">SUM(G57:G67)</f>
        <v>0</v>
      </c>
      <c r="H68" s="1972">
        <f t="shared" si="5"/>
        <v>0</v>
      </c>
      <c r="I68" s="1972">
        <f t="shared" si="5"/>
        <v>0</v>
      </c>
      <c r="J68" s="1972">
        <f t="shared" si="5"/>
        <v>0</v>
      </c>
      <c r="K68" s="1972">
        <f t="shared" si="5"/>
        <v>0</v>
      </c>
      <c r="L68" s="1972">
        <f t="shared" si="5"/>
        <v>0</v>
      </c>
      <c r="M68" s="1972">
        <f t="shared" si="5"/>
        <v>38299</v>
      </c>
      <c r="N68" s="1986">
        <f t="shared" si="5"/>
        <v>38299</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2043</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64" right="0.27" top="0.9" bottom="0.32" header="0.48" footer="0.25"/>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F45" sqref="F4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2091</v>
      </c>
    </row>
    <row r="6" spans="1:2" x14ac:dyDescent="0.2">
      <c r="A6" s="847"/>
      <c r="B6" s="307" t="s">
        <v>2092</v>
      </c>
    </row>
    <row r="7" spans="1:2" x14ac:dyDescent="0.2">
      <c r="A7" s="847"/>
    </row>
    <row r="8" spans="1:2" x14ac:dyDescent="0.2">
      <c r="A8" s="847">
        <v>2</v>
      </c>
      <c r="B8" s="307" t="s">
        <v>2093</v>
      </c>
    </row>
    <row r="9" spans="1:2" x14ac:dyDescent="0.2">
      <c r="A9" s="847"/>
    </row>
    <row r="10" spans="1:2" x14ac:dyDescent="0.2">
      <c r="A10" s="847">
        <v>3</v>
      </c>
      <c r="B10" s="307" t="s">
        <v>2094</v>
      </c>
    </row>
    <row r="11" spans="1:2" x14ac:dyDescent="0.2">
      <c r="A11" s="847"/>
    </row>
    <row r="12" spans="1:2" x14ac:dyDescent="0.2">
      <c r="A12" s="847">
        <v>4</v>
      </c>
      <c r="B12" s="307" t="s">
        <v>2095</v>
      </c>
    </row>
    <row r="13" spans="1:2" x14ac:dyDescent="0.2">
      <c r="A13" s="847"/>
    </row>
    <row r="14" spans="1:2" x14ac:dyDescent="0.2">
      <c r="A14" s="847"/>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 xml:space="preserve"> Rome CCSD 2</v>
      </c>
    </row>
    <row r="65" spans="2:2" x14ac:dyDescent="0.2">
      <c r="B65" s="848">
        <f>COVER!A13</f>
        <v>13041002004</v>
      </c>
    </row>
  </sheetData>
  <phoneticPr fontId="15" type="noConversion"/>
  <pageMargins left="0.8" right="0.2" top="1.1499999999999999" bottom="0.75" header="0.74" footer="0.16"/>
  <pageSetup scale="80" firstPageNumber="34" orientation="portrait" useFirstPageNumber="1" r:id="rId1"/>
  <headerFooter alignWithMargins="0">
    <oddHeader>&amp;C &amp;R&amp;8Page &amp;P</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F45" sqref="F4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9" t="s">
        <v>1594</v>
      </c>
    </row>
    <row r="23" spans="1:5" x14ac:dyDescent="0.2">
      <c r="A23" s="163"/>
      <c r="B23" s="157" t="s">
        <v>1828</v>
      </c>
      <c r="D23" s="162" t="s">
        <v>632</v>
      </c>
      <c r="E23" s="1469" t="s">
        <v>953</v>
      </c>
    </row>
    <row r="24" spans="1:5" x14ac:dyDescent="0.2">
      <c r="A24" s="163" t="s">
        <v>1592</v>
      </c>
      <c r="C24" s="157" t="s">
        <v>1159</v>
      </c>
      <c r="D24" s="162" t="s">
        <v>1377</v>
      </c>
      <c r="E24" s="165" t="s">
        <v>954</v>
      </c>
    </row>
    <row r="25" spans="1:5" x14ac:dyDescent="0.2">
      <c r="A25" s="163" t="s">
        <v>1840</v>
      </c>
      <c r="C25" s="157" t="s">
        <v>1159</v>
      </c>
      <c r="D25" s="164" t="s">
        <v>21</v>
      </c>
      <c r="E25" s="1469" t="s">
        <v>2048</v>
      </c>
    </row>
    <row r="26" spans="1:5" x14ac:dyDescent="0.2">
      <c r="A26" s="163" t="s">
        <v>1841</v>
      </c>
      <c r="C26" s="157" t="s">
        <v>1159</v>
      </c>
      <c r="D26" s="164" t="s">
        <v>559</v>
      </c>
      <c r="E26" s="1469" t="s">
        <v>678</v>
      </c>
    </row>
    <row r="27" spans="1:5" x14ac:dyDescent="0.2">
      <c r="A27" s="163" t="s">
        <v>1842</v>
      </c>
      <c r="C27" s="157" t="s">
        <v>1159</v>
      </c>
      <c r="D27" s="164" t="s">
        <v>553</v>
      </c>
      <c r="E27" s="1469" t="s">
        <v>1350</v>
      </c>
    </row>
    <row r="28" spans="1:5" x14ac:dyDescent="0.2">
      <c r="A28" s="163" t="s">
        <v>1844</v>
      </c>
      <c r="D28" s="164" t="s">
        <v>679</v>
      </c>
      <c r="E28" s="1469" t="s">
        <v>1359</v>
      </c>
    </row>
    <row r="29" spans="1:5" x14ac:dyDescent="0.2">
      <c r="A29" s="163" t="s">
        <v>1845</v>
      </c>
      <c r="D29" s="164" t="s">
        <v>1378</v>
      </c>
      <c r="E29" s="146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5" t="s">
        <v>1753</v>
      </c>
    </row>
    <row r="60" spans="1:3" x14ac:dyDescent="0.2">
      <c r="A60" s="191"/>
      <c r="B60" s="1255"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7"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6"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Header>&amp;RPage1a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F45" sqref="F4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8"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0" sqref="C10"/>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2" shapeId="44033" r:id="rId4">
          <objectPr defaultSize="0" r:id="rId5">
            <anchor moveWithCells="1">
              <from>
                <xdr:col>1</xdr:col>
                <xdr:colOff>0</xdr:colOff>
                <xdr:row>6</xdr:row>
                <xdr:rowOff>0</xdr:rowOff>
              </from>
              <to>
                <xdr:col>1</xdr:col>
                <xdr:colOff>1200150</xdr:colOff>
                <xdr:row>9</xdr:row>
                <xdr:rowOff>28575</xdr:rowOff>
              </to>
            </anchor>
          </objectPr>
        </oleObject>
      </mc:Choice>
      <mc:Fallback>
        <oleObject progId="Package2" shapeId="44033" r:id="rId4"/>
      </mc:Fallback>
    </mc:AlternateContent>
    <mc:AlternateContent xmlns:mc="http://schemas.openxmlformats.org/markup-compatibility/2006">
      <mc:Choice Requires="x14">
        <oleObject progId="Package2" shapeId="44034" r:id="rId6">
          <objectPr defaultSize="0" r:id="rId7">
            <anchor moveWithCells="1">
              <from>
                <xdr:col>2</xdr:col>
                <xdr:colOff>0</xdr:colOff>
                <xdr:row>9</xdr:row>
                <xdr:rowOff>0</xdr:rowOff>
              </from>
              <to>
                <xdr:col>4</xdr:col>
                <xdr:colOff>409575</xdr:colOff>
                <xdr:row>12</xdr:row>
                <xdr:rowOff>28575</xdr:rowOff>
              </to>
            </anchor>
          </objectPr>
        </oleObject>
      </mc:Choice>
      <mc:Fallback>
        <oleObject progId="Package2" shapeId="4403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F45" sqref="F4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2"/>
      <c r="H2" s="852"/>
    </row>
    <row r="3" spans="1:8" ht="57" customHeight="1" x14ac:dyDescent="0.2">
      <c r="A3" s="2481" t="s">
        <v>1972</v>
      </c>
      <c r="B3" s="2482"/>
      <c r="C3" s="2482"/>
      <c r="D3" s="2482"/>
      <c r="E3" s="2482"/>
      <c r="F3" s="2483"/>
      <c r="G3" s="852"/>
      <c r="H3" s="852"/>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2"/>
      <c r="H4" s="852"/>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2"/>
      <c r="H5" s="852"/>
    </row>
    <row r="6" spans="1:8" s="853" customFormat="1" ht="41.25" customHeight="1" x14ac:dyDescent="0.2">
      <c r="A6" s="2484" t="s">
        <v>1670</v>
      </c>
      <c r="B6" s="2485"/>
      <c r="C6" s="2485"/>
      <c r="D6" s="2485"/>
      <c r="E6" s="2485"/>
      <c r="F6" s="2486"/>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2826866</v>
      </c>
      <c r="C8" s="1812">
        <f>'Acct Summary 7-8'!D8</f>
        <v>103794</v>
      </c>
      <c r="D8" s="1812">
        <f>'Acct Summary 7-8'!F8</f>
        <v>180316</v>
      </c>
      <c r="E8" s="1812">
        <f>'Acct Summary 7-8'!I8</f>
        <v>2847</v>
      </c>
      <c r="F8" s="1812">
        <f>SUM(B8:E8)</f>
        <v>3113823</v>
      </c>
    </row>
    <row r="9" spans="1:8" s="857" customFormat="1" ht="14.25" customHeight="1" thickBot="1" x14ac:dyDescent="0.25">
      <c r="A9" s="856" t="s">
        <v>1353</v>
      </c>
      <c r="B9" s="1813">
        <f>'Acct Summary 7-8'!C17</f>
        <v>2723318</v>
      </c>
      <c r="C9" s="1813">
        <f>'Acct Summary 7-8'!D17</f>
        <v>214247</v>
      </c>
      <c r="D9" s="1813">
        <f>'Acct Summary 7-8'!F17</f>
        <v>282148</v>
      </c>
      <c r="E9" s="1812"/>
      <c r="F9" s="1812">
        <f>SUM(B9:E9)</f>
        <v>3219713</v>
      </c>
    </row>
    <row r="10" spans="1:8" s="857" customFormat="1" ht="14.25" thickTop="1" thickBot="1" x14ac:dyDescent="0.25">
      <c r="A10" s="858" t="s">
        <v>1354</v>
      </c>
      <c r="B10" s="1814">
        <f>(B8-B9)</f>
        <v>103548</v>
      </c>
      <c r="C10" s="1814">
        <f>(C8-C9)</f>
        <v>-110453</v>
      </c>
      <c r="D10" s="1814">
        <f>(D8-D9)</f>
        <v>-101832</v>
      </c>
      <c r="E10" s="1813">
        <f>(E8-E9)</f>
        <v>2847</v>
      </c>
      <c r="F10" s="1815">
        <f>SUM(F8-F9)</f>
        <v>-105890</v>
      </c>
    </row>
    <row r="11" spans="1:8" s="857" customFormat="1" ht="14.25" thickTop="1" thickBot="1" x14ac:dyDescent="0.25">
      <c r="A11" s="859" t="s">
        <v>1903</v>
      </c>
      <c r="B11" s="1816">
        <f>'Acct Summary 7-8'!C81</f>
        <v>1555627</v>
      </c>
      <c r="C11" s="1816">
        <f>'Acct Summary 7-8'!D81</f>
        <v>150779</v>
      </c>
      <c r="D11" s="1816">
        <f>'Acct Summary 7-8'!F81</f>
        <v>295480</v>
      </c>
      <c r="E11" s="1816">
        <f>'Acct Summary 7-8'!I81</f>
        <v>216583</v>
      </c>
      <c r="F11" s="1817">
        <f>SUM(B11:E11)</f>
        <v>2218469</v>
      </c>
    </row>
    <row r="12" spans="1:8" ht="16.5" customHeight="1" thickTop="1" x14ac:dyDescent="0.2">
      <c r="A12" s="860"/>
      <c r="B12" s="861"/>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2"/>
      <c r="B13" s="863"/>
      <c r="C13" s="2472"/>
      <c r="D13" s="2473"/>
      <c r="E13" s="2473"/>
      <c r="F13" s="2474"/>
      <c r="H13" s="852"/>
    </row>
    <row r="14" spans="1:8" ht="19.5" customHeight="1" x14ac:dyDescent="0.2">
      <c r="A14" s="862"/>
      <c r="B14" s="863"/>
      <c r="C14" s="2472"/>
      <c r="D14" s="2473"/>
      <c r="E14" s="2473"/>
      <c r="F14" s="2474"/>
      <c r="H14" s="852"/>
    </row>
    <row r="15" spans="1:8" ht="17.25" customHeight="1" x14ac:dyDescent="0.2">
      <c r="A15" s="862"/>
      <c r="B15" s="863"/>
      <c r="C15" s="2475"/>
      <c r="D15" s="2476"/>
      <c r="E15" s="2476"/>
      <c r="F15" s="2477"/>
      <c r="H15" s="852"/>
    </row>
    <row r="16" spans="1:8" s="288" customFormat="1" ht="51.75" hidden="1" customHeight="1" x14ac:dyDescent="0.2">
      <c r="A16" s="2471" t="s">
        <v>1666</v>
      </c>
      <c r="B16" s="2471"/>
      <c r="C16" s="2471"/>
      <c r="D16" s="2471"/>
      <c r="E16" s="2471"/>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F45" sqref="F45"/>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3" t="s">
        <v>660</v>
      </c>
      <c r="B3" s="2494"/>
      <c r="C3" s="2494"/>
      <c r="D3" s="2495"/>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04" t="s">
        <v>1487</v>
      </c>
      <c r="D7" s="2505"/>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08" t="s">
        <v>311</v>
      </c>
      <c r="D21" s="2509"/>
    </row>
    <row r="22" spans="1:10" ht="12.75" x14ac:dyDescent="0.2">
      <c r="A22" s="917"/>
      <c r="B22" s="918">
        <v>2</v>
      </c>
      <c r="C22" s="2506" t="s">
        <v>1507</v>
      </c>
      <c r="D22" s="2507"/>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10" t="s">
        <v>533</v>
      </c>
      <c r="D43" s="2511"/>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2" t="s">
        <v>779</v>
      </c>
      <c r="D56" s="2503"/>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02" t="s">
        <v>1674</v>
      </c>
      <c r="D70" s="2503"/>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99" t="str">
        <f>IF('Contracts Paid in CY 29'!$D$36&gt;0,"OK","PLEASE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1967</v>
      </c>
      <c r="F1" s="1542" t="s">
        <v>1968</v>
      </c>
      <c r="G1" s="1898" t="s">
        <v>1978</v>
      </c>
    </row>
    <row r="2" spans="1:7" ht="15.75" x14ac:dyDescent="0.25">
      <c r="A2" t="s">
        <v>260</v>
      </c>
      <c r="B2" s="135">
        <f>COVER!A13</f>
        <v>13041002004</v>
      </c>
      <c r="E2" s="1541">
        <v>2020</v>
      </c>
      <c r="F2" s="1541">
        <v>1</v>
      </c>
      <c r="G2" s="1897">
        <v>101000300</v>
      </c>
    </row>
    <row r="3" spans="1:7" ht="15" x14ac:dyDescent="0.25">
      <c r="A3" t="s">
        <v>950</v>
      </c>
      <c r="B3" s="135" t="str">
        <f>COVER!A15</f>
        <v>JEFFERSON</v>
      </c>
      <c r="E3" s="1829" t="s">
        <v>1971</v>
      </c>
      <c r="F3" s="1829" t="s">
        <v>1970</v>
      </c>
      <c r="G3" s="1897">
        <v>101000400</v>
      </c>
    </row>
    <row r="4" spans="1:7" ht="15" x14ac:dyDescent="0.25">
      <c r="A4" t="s">
        <v>1000</v>
      </c>
      <c r="B4" s="135" t="str">
        <f>COVER!A17</f>
        <v xml:space="preserve"> Rome CCSD 2</v>
      </c>
      <c r="E4" s="1827">
        <v>44119</v>
      </c>
      <c r="F4" s="1828">
        <v>44151</v>
      </c>
      <c r="G4" s="1897">
        <v>101000600</v>
      </c>
    </row>
    <row r="5" spans="1:7" ht="15" x14ac:dyDescent="0.25">
      <c r="A5" t="s">
        <v>699</v>
      </c>
      <c r="B5" s="135" t="str">
        <f>COVER!A38</f>
        <v>Stephen Phillips</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t="str">
        <f>COVER!T38</f>
        <v>RON DANIELS</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1526</v>
      </c>
      <c r="B12" s="135" t="str">
        <f>IF(COVER!J29="x","Yes",IF(COVER!L29="X","No",0))</f>
        <v>No</v>
      </c>
      <c r="G12" s="1897">
        <v>202100600</v>
      </c>
    </row>
    <row r="13" spans="1:7" ht="15" x14ac:dyDescent="0.25">
      <c r="A13" s="1" t="s">
        <v>1527</v>
      </c>
      <c r="B13" s="135">
        <f>IF(COVER!J30="x","Yes",IF(COVER!L30="x","No",0))</f>
        <v>0</v>
      </c>
      <c r="G13" s="1897">
        <v>202100800</v>
      </c>
    </row>
    <row r="14" spans="1:7" ht="15" x14ac:dyDescent="0.25">
      <c r="A14" t="s">
        <v>473</v>
      </c>
      <c r="B14" s="135" t="str">
        <f>IF(COVER!J31="x","Yes",IF(COVER!L31="x","No",0))</f>
        <v>Yes</v>
      </c>
      <c r="G14" s="1897">
        <v>402100300</v>
      </c>
    </row>
    <row r="15" spans="1:7" ht="15" x14ac:dyDescent="0.25">
      <c r="A15" t="s">
        <v>573</v>
      </c>
      <c r="B15" s="135" t="str">
        <f>COVER!T23</f>
        <v>066-004957</v>
      </c>
      <c r="G15" s="1897">
        <v>402100400</v>
      </c>
    </row>
    <row r="16" spans="1:7" ht="15" x14ac:dyDescent="0.25">
      <c r="A16" t="s">
        <v>419</v>
      </c>
      <c r="B16" s="135" t="str">
        <f>COVER!T13</f>
        <v>SUSAN J. LYONS, CPA, P.C.</v>
      </c>
      <c r="G16" s="1897">
        <v>402100600</v>
      </c>
    </row>
    <row r="17" spans="1:7" ht="15" x14ac:dyDescent="0.25">
      <c r="A17" t="s">
        <v>878</v>
      </c>
      <c r="B17" s="135" t="str">
        <f>COVER!T15</f>
        <v>SUSAN J. LYONS</v>
      </c>
      <c r="G17" s="1897">
        <v>402100800</v>
      </c>
    </row>
    <row r="18" spans="1:7" ht="15" x14ac:dyDescent="0.25">
      <c r="A18" t="s">
        <v>1140</v>
      </c>
      <c r="B18" s="135" t="str">
        <f>COVER!T17</f>
        <v>5859 U.S. HIGHWAY 51</v>
      </c>
      <c r="G18" s="1897">
        <v>102200300</v>
      </c>
    </row>
    <row r="19" spans="1:7" ht="15" x14ac:dyDescent="0.25">
      <c r="A19" t="s">
        <v>880</v>
      </c>
      <c r="B19" s="135" t="str">
        <f>COVER!T25</f>
        <v>slyons1007@gmail.com</v>
      </c>
      <c r="G19" s="1897">
        <v>102200400</v>
      </c>
    </row>
    <row r="20" spans="1:7" ht="15" x14ac:dyDescent="0.25">
      <c r="A20" t="s">
        <v>881</v>
      </c>
      <c r="B20" s="135" t="str">
        <f>COVER!T19</f>
        <v>ODIN</v>
      </c>
      <c r="G20" s="1897">
        <v>102200600</v>
      </c>
    </row>
    <row r="21" spans="1:7" ht="15" x14ac:dyDescent="0.25">
      <c r="A21" t="s">
        <v>476</v>
      </c>
      <c r="B21" s="135" t="str">
        <f>COVER!X19</f>
        <v>IL</v>
      </c>
      <c r="G21" s="1897">
        <v>102200800</v>
      </c>
    </row>
    <row r="22" spans="1:7" ht="15" x14ac:dyDescent="0.25">
      <c r="A22" t="s">
        <v>882</v>
      </c>
      <c r="B22" s="135">
        <f>COVER!Z19</f>
        <v>62870</v>
      </c>
      <c r="G22" s="1897">
        <v>102300300</v>
      </c>
    </row>
    <row r="23" spans="1:7" ht="15" x14ac:dyDescent="0.25">
      <c r="A23" t="s">
        <v>1142</v>
      </c>
      <c r="B23" s="135" t="str">
        <f>COVER!T21</f>
        <v>618-267-3213</v>
      </c>
      <c r="G23" s="1897">
        <v>102300400</v>
      </c>
    </row>
    <row r="24" spans="1:7" ht="15" x14ac:dyDescent="0.25">
      <c r="A24" t="s">
        <v>1141</v>
      </c>
      <c r="B24" s="135">
        <f>COVER!Y21</f>
        <v>0</v>
      </c>
      <c r="G24" s="1897">
        <v>102300600</v>
      </c>
    </row>
    <row r="25" spans="1:7" ht="15" x14ac:dyDescent="0.25">
      <c r="A25" t="s">
        <v>756</v>
      </c>
      <c r="B25" s="135">
        <f>COVER!B34</f>
        <v>0</v>
      </c>
      <c r="G25" s="1897">
        <v>102300800</v>
      </c>
    </row>
    <row r="26" spans="1:7" ht="15" x14ac:dyDescent="0.25">
      <c r="A26" t="s">
        <v>1143</v>
      </c>
      <c r="B26" s="135">
        <f>COVER!L34</f>
        <v>0</v>
      </c>
      <c r="G26" s="1897">
        <v>802300300</v>
      </c>
    </row>
    <row r="27" spans="1:7" ht="15" x14ac:dyDescent="0.25">
      <c r="A27" t="s">
        <v>266</v>
      </c>
      <c r="B27" s="135" t="str">
        <f>COVER!U34</f>
        <v>X</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Yes</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Yes</v>
      </c>
      <c r="G49" s="1897">
        <v>102540800</v>
      </c>
    </row>
    <row r="50" spans="1:7" ht="15" x14ac:dyDescent="0.25">
      <c r="A50" s="1" t="s">
        <v>1463</v>
      </c>
      <c r="B50" s="146">
        <f>'Aud Quest 2'!H53</f>
        <v>36161</v>
      </c>
      <c r="G50" s="1897">
        <v>202540300</v>
      </c>
    </row>
    <row r="51" spans="1:7" ht="15" x14ac:dyDescent="0.25">
      <c r="A51" s="1" t="s">
        <v>1465</v>
      </c>
      <c r="B51" s="135" t="str">
        <f>IF('Aud Quest 2'!B54="x","Yes",IF('Aud Quest 2'!B54&lt;&gt;"x","0"))</f>
        <v>Yes</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0</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1555627</v>
      </c>
      <c r="C77" s="2" t="s">
        <v>569</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0</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0</v>
      </c>
      <c r="C91" s="2" t="s">
        <v>569</v>
      </c>
      <c r="D91" s="2" t="str">
        <f t="shared" si="0"/>
        <v>Error?</v>
      </c>
      <c r="G91" s="1897">
        <v>102640400</v>
      </c>
    </row>
    <row r="92" spans="1:7" ht="15" x14ac:dyDescent="0.25">
      <c r="A92" s="5">
        <v>31</v>
      </c>
      <c r="B92" s="1831">
        <f>'Assets-Liab 5-6'!C39</f>
        <v>1555627</v>
      </c>
      <c r="D92" s="2" t="str">
        <f t="shared" si="0"/>
        <v>Error?</v>
      </c>
      <c r="G92" s="1897">
        <v>102640600</v>
      </c>
    </row>
    <row r="93" spans="1:7" ht="15" x14ac:dyDescent="0.25">
      <c r="A93" s="5">
        <v>32</v>
      </c>
      <c r="B93" s="1831">
        <f>'Assets-Liab 5-6'!C41</f>
        <v>1555627</v>
      </c>
      <c r="C93" s="2" t="s">
        <v>569</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150779</v>
      </c>
      <c r="C109" s="2" t="s">
        <v>569</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569</v>
      </c>
      <c r="D122" s="2" t="str">
        <f t="shared" si="0"/>
        <v>Error?</v>
      </c>
      <c r="G122" s="1897">
        <v>203000300</v>
      </c>
    </row>
    <row r="123" spans="1:7" ht="15" x14ac:dyDescent="0.25">
      <c r="A123" s="5">
        <v>62</v>
      </c>
      <c r="B123" s="1831">
        <f>'Assets-Liab 5-6'!D39</f>
        <v>110472</v>
      </c>
      <c r="D123" s="2" t="str">
        <f t="shared" si="0"/>
        <v>Error?</v>
      </c>
      <c r="G123" s="1897">
        <v>203000400</v>
      </c>
    </row>
    <row r="124" spans="1:7" ht="15" x14ac:dyDescent="0.25">
      <c r="A124" s="5">
        <v>63</v>
      </c>
      <c r="B124" s="1831">
        <f>'Assets-Liab 5-6'!D41</f>
        <v>150779</v>
      </c>
      <c r="C124" s="2" t="s">
        <v>569</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26119</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26119</v>
      </c>
      <c r="D140" s="2" t="str">
        <f t="shared" si="1"/>
        <v>Error?</v>
      </c>
    </row>
    <row r="141" spans="1:7" x14ac:dyDescent="0.2">
      <c r="A141" s="5">
        <v>80</v>
      </c>
      <c r="B141" s="1831">
        <f>'Assets-Liab 5-6'!E41</f>
        <v>26119</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295480</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295480</v>
      </c>
      <c r="D170" s="2" t="str">
        <f t="shared" si="1"/>
        <v>Error?</v>
      </c>
    </row>
    <row r="171" spans="1:4" x14ac:dyDescent="0.2">
      <c r="A171" s="5">
        <v>110</v>
      </c>
      <c r="B171" s="1831">
        <f>'Assets-Liab 5-6'!F41</f>
        <v>295480</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24044</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22290</v>
      </c>
      <c r="D189" s="2" t="str">
        <f t="shared" si="1"/>
        <v>Error?</v>
      </c>
    </row>
    <row r="190" spans="1:4" x14ac:dyDescent="0.2">
      <c r="A190" s="5">
        <v>129</v>
      </c>
      <c r="B190" s="1831">
        <f>'Assets-Liab 5-6'!G41</f>
        <v>24044</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5000</v>
      </c>
      <c r="D273" s="2" t="str">
        <f t="shared" si="3"/>
        <v>Error?</v>
      </c>
    </row>
    <row r="274" spans="1:4" x14ac:dyDescent="0.2">
      <c r="A274" s="5">
        <v>213</v>
      </c>
      <c r="B274" s="1831">
        <f>'Assets-Liab 5-6'!M17</f>
        <v>4719402</v>
      </c>
      <c r="D274" s="2" t="str">
        <f t="shared" si="3"/>
        <v>Error?</v>
      </c>
    </row>
    <row r="275" spans="1:4" x14ac:dyDescent="0.2">
      <c r="A275" s="5">
        <v>214</v>
      </c>
      <c r="B275" s="1831">
        <f>'Assets-Liab 5-6'!M18</f>
        <v>147210</v>
      </c>
      <c r="D275" s="2" t="str">
        <f t="shared" si="3"/>
        <v>Error?</v>
      </c>
    </row>
    <row r="276" spans="1:4" x14ac:dyDescent="0.2">
      <c r="A276" s="5">
        <v>215</v>
      </c>
      <c r="B276" s="1831">
        <f>'Assets-Liab 5-6'!M19</f>
        <v>900845</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5772457</v>
      </c>
      <c r="C279" s="2" t="s">
        <v>569</v>
      </c>
      <c r="D279" s="2" t="str">
        <f t="shared" si="3"/>
        <v>Error?</v>
      </c>
    </row>
    <row r="280" spans="1:4" x14ac:dyDescent="0.2">
      <c r="A280" s="5">
        <v>219</v>
      </c>
      <c r="B280" s="1831">
        <f>'Assets-Liab 5-6'!M40</f>
        <v>5772457</v>
      </c>
      <c r="D280" s="2" t="str">
        <f t="shared" si="3"/>
        <v>Error?</v>
      </c>
    </row>
    <row r="281" spans="1:4" x14ac:dyDescent="0.2">
      <c r="A281" s="5">
        <v>220</v>
      </c>
      <c r="B281" s="1831">
        <f>'Assets-Liab 5-6'!M41</f>
        <v>5772457</v>
      </c>
      <c r="C281" s="2" t="s">
        <v>569</v>
      </c>
      <c r="D281" s="2" t="str">
        <f t="shared" si="3"/>
        <v>Error?</v>
      </c>
    </row>
    <row r="282" spans="1:4" x14ac:dyDescent="0.2">
      <c r="A282" s="5">
        <v>221</v>
      </c>
      <c r="B282" s="1831">
        <f>'Assets-Liab 5-6'!N21</f>
        <v>26119</v>
      </c>
      <c r="D282" s="2" t="str">
        <f t="shared" si="3"/>
        <v>Error?</v>
      </c>
    </row>
    <row r="283" spans="1:4" x14ac:dyDescent="0.2">
      <c r="A283" s="5">
        <v>222</v>
      </c>
      <c r="B283" s="1831">
        <f>'Assets-Liab 5-6'!N22</f>
        <v>250881</v>
      </c>
      <c r="D283" s="2" t="str">
        <f t="shared" si="3"/>
        <v>Error?</v>
      </c>
    </row>
    <row r="284" spans="1:4" x14ac:dyDescent="0.2">
      <c r="A284" s="5">
        <v>223</v>
      </c>
      <c r="B284" s="1831">
        <f>'Assets-Liab 5-6'!N23</f>
        <v>277000</v>
      </c>
      <c r="C284" s="2" t="s">
        <v>569</v>
      </c>
      <c r="D284" s="2" t="str">
        <f t="shared" si="3"/>
        <v>Error?</v>
      </c>
    </row>
    <row r="285" spans="1:4" x14ac:dyDescent="0.2">
      <c r="A285" s="5">
        <v>224</v>
      </c>
      <c r="B285" s="1831">
        <f>'Assets-Liab 5-6'!N36</f>
        <v>277000</v>
      </c>
      <c r="D285" s="2" t="str">
        <f t="shared" si="3"/>
        <v>Error?</v>
      </c>
    </row>
    <row r="286" spans="1:4" x14ac:dyDescent="0.2">
      <c r="A286" s="10">
        <v>225</v>
      </c>
      <c r="B286" s="1831"/>
      <c r="D286" s="2" t="str">
        <f t="shared" si="3"/>
        <v>OK</v>
      </c>
    </row>
    <row r="287" spans="1:4" x14ac:dyDescent="0.2">
      <c r="A287" s="5">
        <v>226</v>
      </c>
      <c r="B287" s="1831">
        <f>'Assets-Liab 5-6'!N37</f>
        <v>277000</v>
      </c>
      <c r="C287" s="2" t="s">
        <v>569</v>
      </c>
      <c r="D287" s="2" t="str">
        <f t="shared" si="3"/>
        <v>Error?</v>
      </c>
    </row>
    <row r="288" spans="1:4" x14ac:dyDescent="0.2">
      <c r="A288" s="5">
        <v>227</v>
      </c>
      <c r="B288" s="1831">
        <f>'Assets-Liab 5-6'!N41</f>
        <v>277000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1144760</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0</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1503721</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25962</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25962</v>
      </c>
      <c r="C727" s="2" t="s">
        <v>569</v>
      </c>
      <c r="D727" s="2" t="str">
        <f t="shared" si="10"/>
        <v>Error?</v>
      </c>
    </row>
    <row r="728" spans="1:4" x14ac:dyDescent="0.2">
      <c r="A728" s="5">
        <v>667</v>
      </c>
      <c r="B728" s="1831">
        <f>'Expenditures 15-22'!C44</f>
        <v>0</v>
      </c>
      <c r="D728" s="2" t="str">
        <f t="shared" si="10"/>
        <v>Error?</v>
      </c>
    </row>
    <row r="729" spans="1:4" x14ac:dyDescent="0.2">
      <c r="A729" s="5">
        <v>668</v>
      </c>
      <c r="B729" s="1831">
        <f>'Expenditures 15-22'!C45</f>
        <v>20432</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20432</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103760</v>
      </c>
      <c r="D733" s="2" t="str">
        <f t="shared" si="10"/>
        <v>Error?</v>
      </c>
    </row>
    <row r="734" spans="1:4" x14ac:dyDescent="0.2">
      <c r="A734" s="5">
        <v>673</v>
      </c>
      <c r="B734" s="1831">
        <f>'Expenditures 15-22'!C53</f>
        <v>103760</v>
      </c>
      <c r="C734" s="2" t="s">
        <v>569</v>
      </c>
      <c r="D734" s="2" t="str">
        <f t="shared" si="10"/>
        <v>Error?</v>
      </c>
    </row>
    <row r="735" spans="1:4" x14ac:dyDescent="0.2">
      <c r="A735" s="5">
        <v>674</v>
      </c>
      <c r="B735" s="1831">
        <f>'Expenditures 15-22'!C55</f>
        <v>102196</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102196</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51359</v>
      </c>
      <c r="D739" s="2" t="str">
        <f t="shared" si="10"/>
        <v>Error?</v>
      </c>
    </row>
    <row r="740" spans="1:4" x14ac:dyDescent="0.2">
      <c r="A740" s="5">
        <v>679</v>
      </c>
      <c r="B740" s="1831">
        <f>'Expenditures 15-22'!C61</f>
        <v>91415</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55811</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198585</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450935</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1954656</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141290</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0</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160688</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0</v>
      </c>
      <c r="C785" s="2" t="s">
        <v>569</v>
      </c>
      <c r="D785" s="2" t="str">
        <f t="shared" si="11"/>
        <v>Error?</v>
      </c>
    </row>
    <row r="786" spans="1:4" x14ac:dyDescent="0.2">
      <c r="A786" s="5">
        <v>725</v>
      </c>
      <c r="B786" s="1831">
        <f>'Expenditures 15-22'!D44</f>
        <v>0</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0</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11972</v>
      </c>
      <c r="D791" s="2" t="str">
        <f t="shared" si="11"/>
        <v>Error?</v>
      </c>
    </row>
    <row r="792" spans="1:4" x14ac:dyDescent="0.2">
      <c r="A792" s="5">
        <v>731</v>
      </c>
      <c r="B792" s="1831">
        <f>'Expenditures 15-22'!D53</f>
        <v>11972</v>
      </c>
      <c r="C792" s="2" t="s">
        <v>569</v>
      </c>
      <c r="D792" s="2" t="str">
        <f t="shared" si="11"/>
        <v>Error?</v>
      </c>
    </row>
    <row r="793" spans="1:4" x14ac:dyDescent="0.2">
      <c r="A793" s="5">
        <v>732</v>
      </c>
      <c r="B793" s="1831">
        <f>'Expenditures 15-22'!D55</f>
        <v>8412</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8412</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0</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0</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20384</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181072</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62917</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4980</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75513</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37679</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37679</v>
      </c>
      <c r="C843" s="2" t="s">
        <v>569</v>
      </c>
      <c r="D843" s="2" t="str">
        <f t="shared" si="12"/>
        <v>Error?</v>
      </c>
    </row>
    <row r="844" spans="1:4" x14ac:dyDescent="0.2">
      <c r="A844" s="5">
        <v>783</v>
      </c>
      <c r="B844" s="1831">
        <f>'Expenditures 15-22'!E44</f>
        <v>273</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5000</v>
      </c>
      <c r="D846" s="2" t="str">
        <f t="shared" si="12"/>
        <v>Error?</v>
      </c>
    </row>
    <row r="847" spans="1:4" x14ac:dyDescent="0.2">
      <c r="A847" s="5">
        <v>786</v>
      </c>
      <c r="B847" s="1831">
        <f>'Expenditures 15-22'!E47</f>
        <v>5273</v>
      </c>
      <c r="C847" s="2" t="s">
        <v>569</v>
      </c>
      <c r="D847" s="2" t="str">
        <f t="shared" si="12"/>
        <v>Error?</v>
      </c>
    </row>
    <row r="848" spans="1:4" x14ac:dyDescent="0.2">
      <c r="A848" s="5">
        <v>787</v>
      </c>
      <c r="B848" s="1831">
        <f>'Expenditures 15-22'!E49</f>
        <v>26534</v>
      </c>
      <c r="D848" s="2" t="str">
        <f t="shared" si="12"/>
        <v>Error?</v>
      </c>
    </row>
    <row r="849" spans="1:4" x14ac:dyDescent="0.2">
      <c r="A849" s="5">
        <v>788</v>
      </c>
      <c r="B849" s="1831">
        <f>'Expenditures 15-22'!E50</f>
        <v>1407</v>
      </c>
      <c r="D849" s="2" t="str">
        <f t="shared" si="12"/>
        <v>Error?</v>
      </c>
    </row>
    <row r="850" spans="1:4" x14ac:dyDescent="0.2">
      <c r="A850" s="5">
        <v>789</v>
      </c>
      <c r="B850" s="1831">
        <f>'Expenditures 15-22'!E53</f>
        <v>27941</v>
      </c>
      <c r="C850" s="2" t="s">
        <v>569</v>
      </c>
      <c r="D850" s="2" t="str">
        <f t="shared" si="12"/>
        <v>Error?</v>
      </c>
    </row>
    <row r="851" spans="1:4" x14ac:dyDescent="0.2">
      <c r="A851" s="5">
        <v>790</v>
      </c>
      <c r="B851" s="1831">
        <f>'Expenditures 15-22'!E55</f>
        <v>4981</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4981</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11</v>
      </c>
      <c r="D855" s="2" t="str">
        <f t="shared" si="12"/>
        <v>Error?</v>
      </c>
    </row>
    <row r="856" spans="1:4" x14ac:dyDescent="0.2">
      <c r="A856" s="5">
        <v>795</v>
      </c>
      <c r="B856" s="1831">
        <f>'Expenditures 15-22'!E61</f>
        <v>259</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0</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270</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4523</v>
      </c>
      <c r="D867" s="2" t="str">
        <f t="shared" si="12"/>
        <v>Error?</v>
      </c>
    </row>
    <row r="868" spans="1:4" x14ac:dyDescent="0.2">
      <c r="A868" s="10">
        <v>807</v>
      </c>
      <c r="B868" s="1831"/>
      <c r="D868" s="2" t="str">
        <f t="shared" si="12"/>
        <v>OK</v>
      </c>
    </row>
    <row r="869" spans="1:4" x14ac:dyDescent="0.2">
      <c r="A869" s="5">
        <v>808</v>
      </c>
      <c r="B869" s="1831">
        <f>'Expenditures 15-22'!E72</f>
        <v>4523</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80667</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204983</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22989</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7115</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50884</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796</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796</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0</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0</v>
      </c>
      <c r="C905" s="2" t="s">
        <v>569</v>
      </c>
      <c r="D905" s="2" t="str">
        <f t="shared" si="13"/>
        <v>Error?</v>
      </c>
    </row>
    <row r="906" spans="1:4" x14ac:dyDescent="0.2">
      <c r="A906" s="5">
        <v>845</v>
      </c>
      <c r="B906" s="1831">
        <f>'Expenditures 15-22'!F49</f>
        <v>2061</v>
      </c>
      <c r="D906" s="2" t="str">
        <f t="shared" si="13"/>
        <v>Error?</v>
      </c>
    </row>
    <row r="907" spans="1:4" x14ac:dyDescent="0.2">
      <c r="A907" s="5">
        <v>846</v>
      </c>
      <c r="B907" s="1831">
        <f>'Expenditures 15-22'!F50</f>
        <v>0</v>
      </c>
      <c r="D907" s="2" t="str">
        <f t="shared" si="13"/>
        <v>Error?</v>
      </c>
    </row>
    <row r="908" spans="1:4" x14ac:dyDescent="0.2">
      <c r="A908" s="5">
        <v>847</v>
      </c>
      <c r="B908" s="1831">
        <f>'Expenditures 15-22'!F53</f>
        <v>2061</v>
      </c>
      <c r="C908" s="2" t="s">
        <v>569</v>
      </c>
      <c r="D908" s="2" t="str">
        <f t="shared" si="13"/>
        <v>Error?</v>
      </c>
    </row>
    <row r="909" spans="1:4" x14ac:dyDescent="0.2">
      <c r="A909" s="5">
        <v>848</v>
      </c>
      <c r="B909" s="1831">
        <f>'Expenditures 15-22'!F55</f>
        <v>673</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673</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680</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126635</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127315</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130845</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181729</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54454</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58419</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58419</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375</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1143</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1518</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2983</v>
      </c>
      <c r="D1022" s="2" t="str">
        <f t="shared" si="14"/>
        <v>Error?</v>
      </c>
    </row>
    <row r="1023" spans="1:4" x14ac:dyDescent="0.2">
      <c r="A1023" s="5">
        <v>962</v>
      </c>
      <c r="B1023" s="1831">
        <f>'Expenditures 15-22'!H50</f>
        <v>1447</v>
      </c>
      <c r="D1023" s="2" t="str">
        <f t="shared" ref="D1023:D1086" si="15">IF(ISBLANK(B1023),"OK",IF(A1023-B1023=0,"OK","Error?"))</f>
        <v>Error?</v>
      </c>
    </row>
    <row r="1024" spans="1:4" x14ac:dyDescent="0.2">
      <c r="A1024" s="5">
        <v>963</v>
      </c>
      <c r="B1024" s="1831">
        <f>'Expenditures 15-22'!H53</f>
        <v>4430</v>
      </c>
      <c r="C1024" s="2" t="s">
        <v>569</v>
      </c>
      <c r="D1024" s="2" t="str">
        <f t="shared" si="15"/>
        <v>Error?</v>
      </c>
    </row>
    <row r="1025" spans="1:4" x14ac:dyDescent="0.2">
      <c r="A1025" s="5">
        <v>964</v>
      </c>
      <c r="B1025" s="1831">
        <f>'Expenditures 15-22'!H55</f>
        <v>290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290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876</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5164</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6040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10760</v>
      </c>
      <c r="C1045" s="2" t="s">
        <v>569</v>
      </c>
      <c r="D1045" s="2" t="str">
        <f t="shared" si="15"/>
        <v>Error?</v>
      </c>
    </row>
    <row r="1046" spans="1:5" x14ac:dyDescent="0.2">
      <c r="A1046" s="5">
        <v>985</v>
      </c>
      <c r="B1046" s="1831">
        <f>'Expenditures 15-22'!H75</f>
        <v>7151</v>
      </c>
      <c r="D1046" s="2" t="str">
        <f t="shared" si="15"/>
        <v>Error?</v>
      </c>
    </row>
    <row r="1047" spans="1:5" x14ac:dyDescent="0.2">
      <c r="A1047" s="5">
        <v>986</v>
      </c>
      <c r="B1047" s="1831">
        <f>'Expenditures 15-22'!H102</f>
        <v>123030</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142459</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1426410</v>
      </c>
      <c r="C1093" s="2" t="s">
        <v>569</v>
      </c>
      <c r="D1093" s="2" t="str">
        <f t="shared" si="16"/>
        <v>Error?</v>
      </c>
    </row>
    <row r="1094" spans="1:4" x14ac:dyDescent="0.2">
      <c r="A1094" s="5">
        <v>1033</v>
      </c>
      <c r="B1094" s="1831">
        <f>'Expenditures 15-22'!K16</f>
        <v>375</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13238</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1850743</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0</v>
      </c>
      <c r="C1110" s="2" t="s">
        <v>569</v>
      </c>
      <c r="D1110" s="2" t="str">
        <f t="shared" si="16"/>
        <v>Error?</v>
      </c>
    </row>
    <row r="1111" spans="1:4" x14ac:dyDescent="0.2">
      <c r="A1111" s="5">
        <v>1050</v>
      </c>
      <c r="B1111" s="1831">
        <f>'Expenditures 15-22'!K38</f>
        <v>26758</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37679</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64437</v>
      </c>
      <c r="C1115" s="2" t="s">
        <v>569</v>
      </c>
      <c r="D1115" s="2" t="str">
        <f t="shared" si="16"/>
        <v>Error?</v>
      </c>
    </row>
    <row r="1116" spans="1:4" x14ac:dyDescent="0.2">
      <c r="A1116" s="5">
        <v>1055</v>
      </c>
      <c r="B1116" s="1831">
        <f>'Expenditures 15-22'!K44</f>
        <v>273</v>
      </c>
      <c r="C1116" s="2" t="s">
        <v>569</v>
      </c>
      <c r="D1116" s="2" t="str">
        <f t="shared" si="16"/>
        <v>Error?</v>
      </c>
    </row>
    <row r="1117" spans="1:4" x14ac:dyDescent="0.2">
      <c r="A1117" s="5">
        <v>1056</v>
      </c>
      <c r="B1117" s="1831">
        <f>'Expenditures 15-22'!K45</f>
        <v>20432</v>
      </c>
      <c r="C1117" s="2" t="s">
        <v>569</v>
      </c>
      <c r="D1117" s="2" t="str">
        <f t="shared" si="16"/>
        <v>Error?</v>
      </c>
    </row>
    <row r="1118" spans="1:4" x14ac:dyDescent="0.2">
      <c r="A1118" s="5">
        <v>1057</v>
      </c>
      <c r="B1118" s="1831">
        <f>'Expenditures 15-22'!K46</f>
        <v>5000</v>
      </c>
      <c r="C1118" s="2" t="s">
        <v>569</v>
      </c>
      <c r="D1118" s="2" t="str">
        <f t="shared" si="16"/>
        <v>Error?</v>
      </c>
    </row>
    <row r="1119" spans="1:4" x14ac:dyDescent="0.2">
      <c r="A1119" s="5">
        <v>1058</v>
      </c>
      <c r="B1119" s="1831">
        <f>'Expenditures 15-22'!K47</f>
        <v>25705</v>
      </c>
      <c r="C1119" s="2" t="s">
        <v>569</v>
      </c>
      <c r="D1119" s="2" t="str">
        <f t="shared" si="16"/>
        <v>Error?</v>
      </c>
    </row>
    <row r="1120" spans="1:4" x14ac:dyDescent="0.2">
      <c r="A1120" s="5">
        <v>1059</v>
      </c>
      <c r="B1120" s="1831">
        <f>'Expenditures 15-22'!K49</f>
        <v>31578</v>
      </c>
      <c r="C1120" s="2" t="s">
        <v>569</v>
      </c>
      <c r="D1120" s="2" t="str">
        <f t="shared" si="16"/>
        <v>Error?</v>
      </c>
    </row>
    <row r="1121" spans="1:4" x14ac:dyDescent="0.2">
      <c r="A1121" s="5">
        <v>1060</v>
      </c>
      <c r="B1121" s="1831">
        <f>'Expenditures 15-22'!K50</f>
        <v>118586</v>
      </c>
      <c r="C1121" s="2" t="s">
        <v>569</v>
      </c>
      <c r="D1121" s="2" t="str">
        <f t="shared" si="16"/>
        <v>Error?</v>
      </c>
    </row>
    <row r="1122" spans="1:4" x14ac:dyDescent="0.2">
      <c r="A1122" s="5">
        <v>1061</v>
      </c>
      <c r="B1122" s="1831">
        <f>'Expenditures 15-22'!K53</f>
        <v>150164</v>
      </c>
      <c r="C1122" s="2" t="s">
        <v>569</v>
      </c>
      <c r="D1122" s="2" t="str">
        <f t="shared" si="16"/>
        <v>Error?</v>
      </c>
    </row>
    <row r="1123" spans="1:4" x14ac:dyDescent="0.2">
      <c r="A1123" s="5">
        <v>1062</v>
      </c>
      <c r="B1123" s="1831">
        <f>'Expenditures 15-22'!K55</f>
        <v>116552</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116552</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52926</v>
      </c>
      <c r="C1127" s="2" t="s">
        <v>569</v>
      </c>
      <c r="D1127" s="2" t="str">
        <f t="shared" si="16"/>
        <v>Error?</v>
      </c>
    </row>
    <row r="1128" spans="1:4" x14ac:dyDescent="0.2">
      <c r="A1128" s="5">
        <v>1067</v>
      </c>
      <c r="B1128" s="1831">
        <f>'Expenditures 15-22'!K61</f>
        <v>91674</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187610</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332210</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4523</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4523</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693591</v>
      </c>
      <c r="C1143" s="2" t="s">
        <v>569</v>
      </c>
      <c r="D1143" s="2" t="str">
        <f t="shared" si="16"/>
        <v>Error?</v>
      </c>
    </row>
    <row r="1144" spans="1:4" x14ac:dyDescent="0.2">
      <c r="A1144" s="5">
        <v>1083</v>
      </c>
      <c r="B1144" s="1831">
        <f>'Expenditures 15-22'!K75</f>
        <v>7151</v>
      </c>
      <c r="C1144" s="2" t="s">
        <v>569</v>
      </c>
      <c r="D1144" s="2" t="str">
        <f t="shared" si="16"/>
        <v>Error?</v>
      </c>
    </row>
    <row r="1145" spans="1:4" x14ac:dyDescent="0.2">
      <c r="A1145" s="5">
        <v>1084</v>
      </c>
      <c r="B1145" s="1831">
        <f>'Expenditures 15-22'!K102</f>
        <v>171833</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2723318</v>
      </c>
      <c r="C1152" s="2" t="s">
        <v>569</v>
      </c>
      <c r="D1152" s="2" t="str">
        <f t="shared" si="17"/>
        <v>Error?</v>
      </c>
    </row>
    <row r="1153" spans="1:4" x14ac:dyDescent="0.2">
      <c r="A1153" s="5">
        <v>1092</v>
      </c>
      <c r="B1153" s="1831">
        <f>'Expenditures 15-22'!K115</f>
        <v>103548</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0</v>
      </c>
      <c r="D1221" s="2" t="str">
        <f t="shared" si="18"/>
        <v>Error?</v>
      </c>
    </row>
    <row r="1222" spans="1:4" x14ac:dyDescent="0.2">
      <c r="A1222" s="10">
        <v>1161</v>
      </c>
      <c r="B1222" s="1831"/>
      <c r="D1222" s="2" t="str">
        <f t="shared" si="18"/>
        <v>OK</v>
      </c>
    </row>
    <row r="1223" spans="1:4" x14ac:dyDescent="0.2">
      <c r="A1223" s="5">
        <v>1162</v>
      </c>
      <c r="B1223" s="1831">
        <f>'Expenditures 15-22'!C127</f>
        <v>0</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0</v>
      </c>
      <c r="C1225" s="2" t="s">
        <v>569</v>
      </c>
      <c r="D1225" s="2" t="str">
        <f t="shared" si="18"/>
        <v>Error?</v>
      </c>
    </row>
    <row r="1226" spans="1:4" x14ac:dyDescent="0.2">
      <c r="A1226" s="5">
        <v>1165</v>
      </c>
      <c r="B1226" s="1831">
        <f>'Expenditures 15-22'!C151</f>
        <v>0</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569</v>
      </c>
      <c r="D1233" s="2" t="str">
        <f t="shared" si="18"/>
        <v>Error?</v>
      </c>
    </row>
    <row r="1234" spans="1:4" x14ac:dyDescent="0.2">
      <c r="A1234" s="5">
        <v>1173</v>
      </c>
      <c r="B1234" s="1831">
        <f>'Expenditures 15-22'!D151</f>
        <v>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74495</v>
      </c>
      <c r="D1237" s="2" t="str">
        <f t="shared" si="18"/>
        <v>Error?</v>
      </c>
    </row>
    <row r="1238" spans="1:4" x14ac:dyDescent="0.2">
      <c r="A1238" s="10">
        <v>1177</v>
      </c>
      <c r="B1238" s="1831"/>
      <c r="D1238" s="2" t="str">
        <f t="shared" si="18"/>
        <v>OK</v>
      </c>
    </row>
    <row r="1239" spans="1:4" x14ac:dyDescent="0.2">
      <c r="A1239" s="5">
        <v>1178</v>
      </c>
      <c r="B1239" s="1831">
        <f>'Expenditures 15-22'!E127</f>
        <v>74495</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74495</v>
      </c>
      <c r="C1241" s="2" t="s">
        <v>569</v>
      </c>
      <c r="D1241" s="2" t="str">
        <f t="shared" si="18"/>
        <v>Error?</v>
      </c>
    </row>
    <row r="1242" spans="1:4" x14ac:dyDescent="0.2">
      <c r="A1242" s="5">
        <v>1181</v>
      </c>
      <c r="B1242" s="1831">
        <f>'Expenditures 15-22'!E151</f>
        <v>74495</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72563</v>
      </c>
      <c r="D1245" s="2" t="str">
        <f t="shared" si="18"/>
        <v>Error?</v>
      </c>
    </row>
    <row r="1246" spans="1:4" x14ac:dyDescent="0.2">
      <c r="A1246" s="10">
        <v>1185</v>
      </c>
      <c r="B1246" s="1831"/>
      <c r="D1246" s="2" t="str">
        <f t="shared" si="18"/>
        <v>OK</v>
      </c>
    </row>
    <row r="1247" spans="1:4" x14ac:dyDescent="0.2">
      <c r="A1247" s="5">
        <v>1186</v>
      </c>
      <c r="B1247" s="1831">
        <f>'Expenditures 15-22'!F127</f>
        <v>72563</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72563</v>
      </c>
      <c r="C1249" s="2" t="s">
        <v>569</v>
      </c>
      <c r="D1249" s="2" t="str">
        <f t="shared" si="18"/>
        <v>Error?</v>
      </c>
    </row>
    <row r="1250" spans="1:4" x14ac:dyDescent="0.2">
      <c r="A1250" s="5">
        <v>1189</v>
      </c>
      <c r="B1250" s="1831">
        <f>'Expenditures 15-22'!F151</f>
        <v>72563</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67189</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67189</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67189</v>
      </c>
      <c r="C1258" s="2" t="s">
        <v>569</v>
      </c>
      <c r="D1258" s="2" t="str">
        <f t="shared" si="18"/>
        <v>Error?</v>
      </c>
    </row>
    <row r="1259" spans="1:4" x14ac:dyDescent="0.2">
      <c r="A1259" s="5">
        <v>1198</v>
      </c>
      <c r="B1259" s="1831">
        <f>'Expenditures 15-22'!G151</f>
        <v>67189</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214247</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214247</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214247</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214247</v>
      </c>
      <c r="C1288" s="2" t="s">
        <v>569</v>
      </c>
      <c r="D1288" s="2" t="str">
        <f t="shared" si="19"/>
        <v>Error?</v>
      </c>
    </row>
    <row r="1289" spans="1:4" x14ac:dyDescent="0.2">
      <c r="A1289" s="5">
        <v>1228</v>
      </c>
      <c r="B1289" s="1831">
        <f>'Expenditures 15-22'!K152</f>
        <v>-110453</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21984</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52000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73984</v>
      </c>
      <c r="C1317" s="2" t="s">
        <v>569</v>
      </c>
      <c r="D1317" s="2" t="str">
        <f t="shared" si="19"/>
        <v>Error?</v>
      </c>
    </row>
    <row r="1318" spans="1:4" x14ac:dyDescent="0.2">
      <c r="A1318" s="5">
        <v>1257</v>
      </c>
      <c r="B1318" s="1831">
        <f>'Expenditures 15-22'!H174</f>
        <v>73984</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21984</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52000</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73984</v>
      </c>
      <c r="C1331" s="2" t="s">
        <v>569</v>
      </c>
      <c r="D1331" s="2" t="str">
        <f t="shared" si="19"/>
        <v>Error?</v>
      </c>
    </row>
    <row r="1332" spans="1:4" x14ac:dyDescent="0.2">
      <c r="A1332" s="5">
        <v>1271</v>
      </c>
      <c r="B1332" s="1831">
        <f>'Expenditures 15-22'!K174</f>
        <v>73984</v>
      </c>
      <c r="C1332" s="2" t="s">
        <v>569</v>
      </c>
      <c r="D1332" s="2" t="str">
        <f t="shared" si="19"/>
        <v>Error?</v>
      </c>
    </row>
    <row r="1333" spans="1:4" x14ac:dyDescent="0.2">
      <c r="A1333" s="5">
        <v>1272</v>
      </c>
      <c r="B1333" s="1831">
        <f>'Expenditures 15-22'!K175</f>
        <v>1621</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11119</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11119</v>
      </c>
      <c r="C1339" s="2" t="s">
        <v>569</v>
      </c>
      <c r="D1339" s="2" t="str">
        <f t="shared" si="19"/>
        <v>Error?</v>
      </c>
    </row>
    <row r="1340" spans="1:4" x14ac:dyDescent="0.2">
      <c r="A1340" s="5">
        <v>1279</v>
      </c>
      <c r="B1340" s="1831">
        <f>'Expenditures 15-22'!C210</f>
        <v>11119</v>
      </c>
      <c r="C1340" s="2" t="s">
        <v>569</v>
      </c>
      <c r="D1340" s="2" t="str">
        <f t="shared" si="19"/>
        <v>Error?</v>
      </c>
    </row>
    <row r="1341" spans="1:4" x14ac:dyDescent="0.2">
      <c r="A1341" s="5">
        <v>1280</v>
      </c>
      <c r="B1341" s="1831">
        <f>'Expenditures 15-22'!D182</f>
        <v>687</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687</v>
      </c>
      <c r="C1345" s="2" t="s">
        <v>569</v>
      </c>
      <c r="D1345" s="2" t="str">
        <f t="shared" si="20"/>
        <v>Error?</v>
      </c>
    </row>
    <row r="1346" spans="1:4" x14ac:dyDescent="0.2">
      <c r="A1346" s="5">
        <v>1285</v>
      </c>
      <c r="B1346" s="1831">
        <f>'Expenditures 15-22'!D210</f>
        <v>687</v>
      </c>
      <c r="C1346" s="2" t="s">
        <v>569</v>
      </c>
      <c r="D1346" s="2" t="str">
        <f t="shared" si="20"/>
        <v>Error?</v>
      </c>
    </row>
    <row r="1347" spans="1:4" x14ac:dyDescent="0.2">
      <c r="A1347" s="5">
        <v>1286</v>
      </c>
      <c r="B1347" s="1831">
        <f>'Expenditures 15-22'!E182</f>
        <v>255066</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255066</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255066</v>
      </c>
      <c r="C1353" s="2" t="s">
        <v>569</v>
      </c>
      <c r="D1353" s="2" t="str">
        <f t="shared" si="20"/>
        <v>Error?</v>
      </c>
    </row>
    <row r="1354" spans="1:4" x14ac:dyDescent="0.2">
      <c r="A1354" s="5">
        <v>1293</v>
      </c>
      <c r="B1354" s="1831">
        <f>'Expenditures 15-22'!F182</f>
        <v>776</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776</v>
      </c>
      <c r="C1358" s="2" t="s">
        <v>569</v>
      </c>
      <c r="D1358" s="2" t="str">
        <f t="shared" si="20"/>
        <v>Error?</v>
      </c>
    </row>
    <row r="1359" spans="1:4" x14ac:dyDescent="0.2">
      <c r="A1359" s="5">
        <v>1298</v>
      </c>
      <c r="B1359" s="1831">
        <f>'Expenditures 15-22'!F210</f>
        <v>776</v>
      </c>
      <c r="C1359" s="2" t="s">
        <v>569</v>
      </c>
      <c r="D1359" s="2" t="str">
        <f t="shared" si="20"/>
        <v>Error?</v>
      </c>
    </row>
    <row r="1360" spans="1:4" x14ac:dyDescent="0.2">
      <c r="A1360" s="5">
        <v>1299</v>
      </c>
      <c r="B1360" s="1831">
        <f>'Expenditures 15-22'!G182</f>
        <v>14500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14500</v>
      </c>
      <c r="C1364" s="2" t="s">
        <v>569</v>
      </c>
      <c r="D1364" s="2" t="str">
        <f t="shared" si="20"/>
        <v>Error?</v>
      </c>
    </row>
    <row r="1365" spans="1:4" x14ac:dyDescent="0.2">
      <c r="A1365" s="5">
        <v>1304</v>
      </c>
      <c r="B1365" s="1831">
        <f>'Expenditures 15-22'!G210</f>
        <v>14500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282148</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282148</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282148</v>
      </c>
      <c r="C1388" s="2" t="s">
        <v>569</v>
      </c>
      <c r="D1388" s="2" t="str">
        <f t="shared" si="20"/>
        <v>Error?</v>
      </c>
    </row>
    <row r="1389" spans="1:4" x14ac:dyDescent="0.2">
      <c r="A1389" s="5">
        <v>1328</v>
      </c>
      <c r="B1389" s="1831">
        <f>'Expenditures 15-22'!K211</f>
        <v>-101832</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0</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42162</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3515</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3515</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2751</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2751</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1505</v>
      </c>
      <c r="D1423" s="2" t="str">
        <f t="shared" si="21"/>
        <v>Error?</v>
      </c>
    </row>
    <row r="1424" spans="1:4" x14ac:dyDescent="0.2">
      <c r="A1424" s="5">
        <v>1363</v>
      </c>
      <c r="B1424" s="1831">
        <f>'Expenditures 15-22'!D257</f>
        <v>1505</v>
      </c>
      <c r="C1424" s="2" t="s">
        <v>569</v>
      </c>
      <c r="D1424" s="2" t="str">
        <f t="shared" si="21"/>
        <v>Error?</v>
      </c>
    </row>
    <row r="1425" spans="1:4" x14ac:dyDescent="0.2">
      <c r="A1425" s="5">
        <v>1364</v>
      </c>
      <c r="B1425" s="1831">
        <f>'Expenditures 15-22'!D259</f>
        <v>5002</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5002</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6898</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11522</v>
      </c>
      <c r="D1431" s="2" t="str">
        <f t="shared" si="21"/>
        <v>Error?</v>
      </c>
    </row>
    <row r="1432" spans="1:4" x14ac:dyDescent="0.2">
      <c r="A1432" s="5">
        <v>1371</v>
      </c>
      <c r="B1432" s="1831">
        <f>'Expenditures 15-22'!D267</f>
        <v>781</v>
      </c>
      <c r="D1432" s="2" t="str">
        <f t="shared" si="21"/>
        <v>Error?</v>
      </c>
    </row>
    <row r="1433" spans="1:4" x14ac:dyDescent="0.2">
      <c r="A1433" s="5">
        <v>1372</v>
      </c>
      <c r="B1433" s="1831">
        <f>'Expenditures 15-22'!D268</f>
        <v>6645</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25846</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38619</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80781</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0</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42162</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3515</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3515</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2751</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2751</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1505</v>
      </c>
      <c r="C1487" s="2" t="s">
        <v>569</v>
      </c>
      <c r="D1487" s="2" t="str">
        <f t="shared" si="22"/>
        <v>Error?</v>
      </c>
    </row>
    <row r="1488" spans="1:4" x14ac:dyDescent="0.2">
      <c r="A1488" s="5">
        <v>1427</v>
      </c>
      <c r="B1488" s="1831">
        <f>'Expenditures 15-22'!K257</f>
        <v>1505</v>
      </c>
      <c r="C1488" s="2" t="s">
        <v>569</v>
      </c>
      <c r="D1488" s="2" t="str">
        <f t="shared" si="22"/>
        <v>Error?</v>
      </c>
    </row>
    <row r="1489" spans="1:4" x14ac:dyDescent="0.2">
      <c r="A1489" s="5">
        <v>1428</v>
      </c>
      <c r="B1489" s="1831">
        <f>'Expenditures 15-22'!K259</f>
        <v>5002</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5002</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6898</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11522</v>
      </c>
      <c r="C1495" s="2" t="s">
        <v>569</v>
      </c>
      <c r="D1495" s="2" t="str">
        <f t="shared" si="22"/>
        <v>Error?</v>
      </c>
    </row>
    <row r="1496" spans="1:4" x14ac:dyDescent="0.2">
      <c r="A1496" s="5">
        <v>1435</v>
      </c>
      <c r="B1496" s="1831">
        <f>'Expenditures 15-22'!K267</f>
        <v>781</v>
      </c>
      <c r="C1496" s="2" t="s">
        <v>569</v>
      </c>
      <c r="D1496" s="2" t="str">
        <f t="shared" si="22"/>
        <v>Error?</v>
      </c>
    </row>
    <row r="1497" spans="1:4" x14ac:dyDescent="0.2">
      <c r="A1497" s="5">
        <v>1436</v>
      </c>
      <c r="B1497" s="1831">
        <f>'Expenditures 15-22'!K268</f>
        <v>6645</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25846</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38619</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80781</v>
      </c>
      <c r="C1517" s="2" t="s">
        <v>569</v>
      </c>
      <c r="D1517" s="2" t="str">
        <f t="shared" si="22"/>
        <v>Error?</v>
      </c>
    </row>
    <row r="1518" spans="1:4" x14ac:dyDescent="0.2">
      <c r="A1518" s="5">
        <v>1457</v>
      </c>
      <c r="B1518" s="1831">
        <f>'Expenditures 15-22'!K296</f>
        <v>-24079</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1412079</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1555627</v>
      </c>
      <c r="C1630" s="2" t="s">
        <v>569</v>
      </c>
      <c r="D1630" s="2" t="str">
        <f t="shared" si="24"/>
        <v>Error?</v>
      </c>
    </row>
    <row r="1631" spans="1:4" x14ac:dyDescent="0.2">
      <c r="A1631" s="5">
        <v>1570</v>
      </c>
      <c r="B1631" s="1831">
        <f>'Acct Summary 7-8'!D79</f>
        <v>206223</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150779</v>
      </c>
      <c r="C1644" s="2" t="s">
        <v>569</v>
      </c>
      <c r="D1644" s="2" t="str">
        <f t="shared" si="24"/>
        <v>Error?</v>
      </c>
    </row>
    <row r="1645" spans="1:4" x14ac:dyDescent="0.2">
      <c r="A1645" s="5">
        <v>1584</v>
      </c>
      <c r="B1645" s="1831">
        <f>'Acct Summary 7-8'!E79</f>
        <v>24498</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26119</v>
      </c>
      <c r="C1658" s="2" t="s">
        <v>569</v>
      </c>
      <c r="D1658" s="2" t="str">
        <f t="shared" si="24"/>
        <v>Error?</v>
      </c>
    </row>
    <row r="1659" spans="1:4" x14ac:dyDescent="0.2">
      <c r="A1659" s="5">
        <v>1598</v>
      </c>
      <c r="B1659" s="1831">
        <f>'Acct Summary 7-8'!F79</f>
        <v>382812</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295480</v>
      </c>
      <c r="C1672" s="2" t="s">
        <v>569</v>
      </c>
      <c r="D1672" s="2" t="str">
        <f t="shared" si="25"/>
        <v>Error?</v>
      </c>
    </row>
    <row r="1673" spans="1:4" x14ac:dyDescent="0.2">
      <c r="A1673" s="5">
        <v>1612</v>
      </c>
      <c r="B1673" s="1831">
        <f>'Acct Summary 7-8'!G79</f>
        <v>48123</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24044</v>
      </c>
      <c r="C1686" s="2" t="s">
        <v>569</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433593</v>
      </c>
      <c r="C1744" s="2" t="s">
        <v>569</v>
      </c>
      <c r="D1744" s="2" t="str">
        <f t="shared" si="26"/>
        <v>Error?</v>
      </c>
    </row>
    <row r="1745" spans="1:5" x14ac:dyDescent="0.2">
      <c r="A1745" s="5">
        <v>1684</v>
      </c>
      <c r="B1745" s="1831">
        <f>'Tax Sched 23'!B5</f>
        <v>33214</v>
      </c>
      <c r="C1745" s="2" t="s">
        <v>569</v>
      </c>
      <c r="D1745" s="2" t="str">
        <f t="shared" si="26"/>
        <v>Error?</v>
      </c>
    </row>
    <row r="1746" spans="1:5" x14ac:dyDescent="0.2">
      <c r="A1746" s="5">
        <v>1685</v>
      </c>
      <c r="B1746" s="1831">
        <f>'Tax Sched 23'!B6</f>
        <v>73592</v>
      </c>
      <c r="C1746" s="2" t="s">
        <v>569</v>
      </c>
      <c r="D1746" s="2" t="str">
        <f t="shared" si="26"/>
        <v>Error?</v>
      </c>
    </row>
    <row r="1747" spans="1:5" x14ac:dyDescent="0.2">
      <c r="A1747" s="5">
        <v>1686</v>
      </c>
      <c r="B1747" s="1831">
        <f>'Tax Sched 23'!B7</f>
        <v>32251</v>
      </c>
      <c r="C1747" s="2" t="s">
        <v>569</v>
      </c>
      <c r="D1747" s="2" t="str">
        <f t="shared" si="26"/>
        <v>Error?</v>
      </c>
    </row>
    <row r="1748" spans="1:5" x14ac:dyDescent="0.2">
      <c r="A1748" s="5">
        <v>1687</v>
      </c>
      <c r="B1748" s="1831">
        <f>'Tax Sched 23'!B8</f>
        <v>19659</v>
      </c>
      <c r="C1748" s="2" t="s">
        <v>569</v>
      </c>
      <c r="D1748" s="2" t="str">
        <f t="shared" si="26"/>
        <v>Error?</v>
      </c>
    </row>
    <row r="1749" spans="1:5" x14ac:dyDescent="0.2">
      <c r="A1749" s="5">
        <v>1688</v>
      </c>
      <c r="B1749" s="1831">
        <f>'Tax Sched 23'!B10</f>
        <v>0</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31455</v>
      </c>
      <c r="C1752" s="2" t="s">
        <v>569</v>
      </c>
      <c r="D1752" s="2" t="str">
        <f t="shared" si="26"/>
        <v>Error?</v>
      </c>
    </row>
    <row r="1753" spans="1:5" x14ac:dyDescent="0.2">
      <c r="A1753" s="5">
        <v>1692</v>
      </c>
      <c r="B1753" s="1831">
        <f>'Tax Sched 23'!B12</f>
        <v>0</v>
      </c>
      <c r="C1753" s="2" t="s">
        <v>569</v>
      </c>
      <c r="D1753" s="2" t="str">
        <f t="shared" si="26"/>
        <v>Error?</v>
      </c>
    </row>
    <row r="1754" spans="1:5" x14ac:dyDescent="0.2">
      <c r="A1754" s="5">
        <v>1693</v>
      </c>
      <c r="B1754" s="1831">
        <f>'Tax Sched 23'!B14</f>
        <v>3241</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657871</v>
      </c>
      <c r="C1759" s="2" t="s">
        <v>569</v>
      </c>
      <c r="D1759" s="2" t="str">
        <f t="shared" si="26"/>
        <v>Error?</v>
      </c>
    </row>
    <row r="1760" spans="1:5" x14ac:dyDescent="0.2">
      <c r="A1760" s="5">
        <v>1699</v>
      </c>
      <c r="B1760" s="1831">
        <f>'Tax Sched 23'!D4</f>
        <v>433593</v>
      </c>
      <c r="C1760" s="2" t="s">
        <v>569</v>
      </c>
      <c r="D1760" s="2" t="str">
        <f t="shared" si="26"/>
        <v>Error?</v>
      </c>
    </row>
    <row r="1761" spans="1:7" x14ac:dyDescent="0.2">
      <c r="A1761" s="5">
        <v>1700</v>
      </c>
      <c r="B1761" s="1831">
        <f>'Tax Sched 23'!D5</f>
        <v>33214</v>
      </c>
      <c r="C1761" s="2" t="s">
        <v>569</v>
      </c>
      <c r="D1761" s="2" t="str">
        <f t="shared" si="26"/>
        <v>Error?</v>
      </c>
    </row>
    <row r="1762" spans="1:7" s="8" customFormat="1" x14ac:dyDescent="0.2">
      <c r="A1762" s="5">
        <v>1701</v>
      </c>
      <c r="B1762" s="1831">
        <f>'Tax Sched 23'!D6</f>
        <v>73592</v>
      </c>
      <c r="C1762" s="2" t="s">
        <v>569</v>
      </c>
      <c r="D1762" s="2" t="str">
        <f t="shared" si="26"/>
        <v>Error?</v>
      </c>
      <c r="E1762" s="9"/>
      <c r="G1762"/>
    </row>
    <row r="1763" spans="1:7" x14ac:dyDescent="0.2">
      <c r="A1763" s="5">
        <v>1702</v>
      </c>
      <c r="B1763" s="1831">
        <f>'Tax Sched 23'!D7</f>
        <v>32251</v>
      </c>
      <c r="C1763" s="2" t="s">
        <v>569</v>
      </c>
      <c r="D1763" s="2" t="str">
        <f t="shared" si="26"/>
        <v>Error?</v>
      </c>
    </row>
    <row r="1764" spans="1:7" x14ac:dyDescent="0.2">
      <c r="A1764" s="5">
        <v>1703</v>
      </c>
      <c r="B1764" s="1831">
        <f>'Tax Sched 23'!D8</f>
        <v>19659</v>
      </c>
      <c r="C1764" s="2" t="s">
        <v>569</v>
      </c>
      <c r="D1764" s="2" t="str">
        <f t="shared" si="26"/>
        <v>Error?</v>
      </c>
    </row>
    <row r="1765" spans="1:7" x14ac:dyDescent="0.2">
      <c r="A1765" s="5">
        <v>1704</v>
      </c>
      <c r="B1765" s="1831">
        <f>'Tax Sched 23'!D10</f>
        <v>0</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31455</v>
      </c>
      <c r="C1768" s="2" t="s">
        <v>569</v>
      </c>
      <c r="D1768" s="2" t="str">
        <f t="shared" si="26"/>
        <v>Error?</v>
      </c>
    </row>
    <row r="1769" spans="1:7" x14ac:dyDescent="0.2">
      <c r="A1769" s="5">
        <v>1708</v>
      </c>
      <c r="B1769" s="1831">
        <f>'Tax Sched 23'!D12</f>
        <v>0</v>
      </c>
      <c r="C1769" s="2" t="s">
        <v>569</v>
      </c>
      <c r="D1769" s="2" t="str">
        <f t="shared" si="26"/>
        <v>Error?</v>
      </c>
    </row>
    <row r="1770" spans="1:7" x14ac:dyDescent="0.2">
      <c r="A1770" s="5">
        <v>1709</v>
      </c>
      <c r="B1770" s="1831">
        <f>'Tax Sched 23'!D14</f>
        <v>3241</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657871</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473781</v>
      </c>
      <c r="C1792" s="2" t="s">
        <v>569</v>
      </c>
      <c r="D1792" s="2" t="str">
        <f t="shared" si="27"/>
        <v>Error?</v>
      </c>
    </row>
    <row r="1793" spans="1:4" x14ac:dyDescent="0.2">
      <c r="A1793" s="5">
        <v>1732</v>
      </c>
      <c r="B1793" s="1831">
        <f>'Tax Sched 23'!F5</f>
        <v>34177</v>
      </c>
      <c r="C1793" s="2" t="s">
        <v>569</v>
      </c>
      <c r="D1793" s="2" t="str">
        <f t="shared" si="27"/>
        <v>Error?</v>
      </c>
    </row>
    <row r="1794" spans="1:4" x14ac:dyDescent="0.2">
      <c r="A1794" s="5">
        <v>1733</v>
      </c>
      <c r="B1794" s="1831">
        <f>'Tax Sched 23'!F6</f>
        <v>73687</v>
      </c>
      <c r="C1794" s="2" t="s">
        <v>569</v>
      </c>
      <c r="D1794" s="2" t="str">
        <f t="shared" si="27"/>
        <v>Error?</v>
      </c>
    </row>
    <row r="1795" spans="1:4" x14ac:dyDescent="0.2">
      <c r="A1795" s="5">
        <v>1734</v>
      </c>
      <c r="B1795" s="1831">
        <f>'Tax Sched 23'!F7</f>
        <v>33348</v>
      </c>
      <c r="C1795" s="2" t="s">
        <v>569</v>
      </c>
      <c r="D1795" s="2" t="str">
        <f t="shared" si="27"/>
        <v>Error?</v>
      </c>
    </row>
    <row r="1796" spans="1:4" x14ac:dyDescent="0.2">
      <c r="A1796" s="5">
        <v>1735</v>
      </c>
      <c r="B1796" s="1831">
        <f>'Tax Sched 23'!F8</f>
        <v>19873</v>
      </c>
      <c r="C1796" s="2" t="s">
        <v>569</v>
      </c>
      <c r="D1796" s="2" t="str">
        <f t="shared" si="27"/>
        <v>Error?</v>
      </c>
    </row>
    <row r="1797" spans="1:4" x14ac:dyDescent="0.2">
      <c r="A1797" s="5">
        <v>1736</v>
      </c>
      <c r="B1797" s="1831">
        <f>'Tax Sched 23'!F10</f>
        <v>0</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29808</v>
      </c>
      <c r="C1800" s="2" t="s">
        <v>569</v>
      </c>
      <c r="D1800" s="2" t="str">
        <f t="shared" si="27"/>
        <v>Error?</v>
      </c>
    </row>
    <row r="1801" spans="1:4" x14ac:dyDescent="0.2">
      <c r="A1801" s="5">
        <v>1740</v>
      </c>
      <c r="B1801" s="1831">
        <f>'Tax Sched 23'!F12</f>
        <v>0</v>
      </c>
      <c r="C1801" s="2" t="s">
        <v>569</v>
      </c>
      <c r="D1801" s="2" t="str">
        <f t="shared" si="27"/>
        <v>Error?</v>
      </c>
    </row>
    <row r="1802" spans="1:4" x14ac:dyDescent="0.2">
      <c r="A1802" s="5">
        <v>1741</v>
      </c>
      <c r="B1802" s="1831">
        <f>'Tax Sched 23'!F14</f>
        <v>3372</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687919</v>
      </c>
      <c r="C1807" s="2" t="s">
        <v>569</v>
      </c>
      <c r="D1807" s="2" t="str">
        <f t="shared" si="27"/>
        <v>Error?</v>
      </c>
    </row>
    <row r="1808" spans="1:4" x14ac:dyDescent="0.2">
      <c r="A1808" s="5">
        <v>1747</v>
      </c>
      <c r="B1808" s="1831">
        <f>'Tax Sched 23'!E4</f>
        <v>473781</v>
      </c>
      <c r="D1808" s="2" t="str">
        <f t="shared" si="27"/>
        <v>Error?</v>
      </c>
    </row>
    <row r="1809" spans="1:4" x14ac:dyDescent="0.2">
      <c r="A1809" s="5">
        <v>1748</v>
      </c>
      <c r="B1809" s="1831">
        <f>'Tax Sched 23'!E5</f>
        <v>34177</v>
      </c>
      <c r="D1809" s="2" t="str">
        <f t="shared" si="27"/>
        <v>Error?</v>
      </c>
    </row>
    <row r="1810" spans="1:4" x14ac:dyDescent="0.2">
      <c r="A1810" s="5">
        <v>1749</v>
      </c>
      <c r="B1810" s="1831">
        <f>'Tax Sched 23'!E6</f>
        <v>73687</v>
      </c>
      <c r="D1810" s="2" t="str">
        <f t="shared" si="27"/>
        <v>Error?</v>
      </c>
    </row>
    <row r="1811" spans="1:4" x14ac:dyDescent="0.2">
      <c r="A1811" s="5">
        <v>1750</v>
      </c>
      <c r="B1811" s="1831">
        <f>'Tax Sched 23'!E7</f>
        <v>33348</v>
      </c>
      <c r="D1811" s="2" t="str">
        <f t="shared" si="27"/>
        <v>Error?</v>
      </c>
    </row>
    <row r="1812" spans="1:4" x14ac:dyDescent="0.2">
      <c r="A1812" s="5">
        <v>1751</v>
      </c>
      <c r="B1812" s="1831">
        <f>'Tax Sched 23'!E8</f>
        <v>19873</v>
      </c>
      <c r="D1812" s="2" t="str">
        <f t="shared" si="27"/>
        <v>Error?</v>
      </c>
    </row>
    <row r="1813" spans="1:4" x14ac:dyDescent="0.2">
      <c r="A1813" s="5">
        <v>1752</v>
      </c>
      <c r="B1813" s="1831">
        <f>'Tax Sched 23'!E10</f>
        <v>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29808</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3372</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687919</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329000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3240</v>
      </c>
      <c r="D1972" s="2" t="str">
        <f t="shared" si="29"/>
        <v>Error?</v>
      </c>
    </row>
    <row r="1973" spans="1:5" x14ac:dyDescent="0.2">
      <c r="A1973" s="5">
        <v>1912</v>
      </c>
      <c r="B1973" s="1831">
        <f>'Rest Tax Levies-Tort Im 25'!H6</f>
        <v>8</v>
      </c>
      <c r="D1973" s="2" t="str">
        <f t="shared" si="29"/>
        <v>Error?</v>
      </c>
    </row>
    <row r="1974" spans="1:5" x14ac:dyDescent="0.2">
      <c r="A1974" s="5">
        <v>1913</v>
      </c>
      <c r="B1974" s="1831">
        <f>'Rest Tax Levies-Tort Im 25'!H10</f>
        <v>30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3278</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3278</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5000</v>
      </c>
      <c r="D2008" s="2" t="str">
        <f t="shared" si="30"/>
        <v>Error?</v>
      </c>
    </row>
    <row r="2009" spans="1:4" x14ac:dyDescent="0.2">
      <c r="A2009" s="5">
        <v>1948</v>
      </c>
      <c r="B2009" s="1831">
        <f>'Cap Outlay Deprec 26'!C8</f>
        <v>4666324</v>
      </c>
      <c r="D2009" s="2" t="str">
        <f t="shared" si="30"/>
        <v>Error?</v>
      </c>
    </row>
    <row r="2010" spans="1:4" x14ac:dyDescent="0.2">
      <c r="A2010" s="5">
        <v>1949</v>
      </c>
      <c r="B2010" s="1831">
        <f>'Cap Outlay Deprec 26'!C10</f>
        <v>147210</v>
      </c>
      <c r="D2010" s="2" t="str">
        <f t="shared" si="30"/>
        <v>Error?</v>
      </c>
    </row>
    <row r="2011" spans="1:4" x14ac:dyDescent="0.2">
      <c r="A2011" s="5">
        <v>1950</v>
      </c>
      <c r="B2011" s="1831">
        <f>'Cap Outlay Deprec 26'!C12</f>
        <v>814458</v>
      </c>
      <c r="D2011" s="2" t="str">
        <f t="shared" si="30"/>
        <v>Error?</v>
      </c>
    </row>
    <row r="2012" spans="1:4" x14ac:dyDescent="0.2">
      <c r="A2012" s="5">
        <v>1951</v>
      </c>
      <c r="B2012" s="1831">
        <f>'Cap Outlay Deprec 26'!C13</f>
        <v>0</v>
      </c>
      <c r="D2012" s="2" t="str">
        <f t="shared" si="30"/>
        <v>Error?</v>
      </c>
    </row>
    <row r="2013" spans="1:4" x14ac:dyDescent="0.2">
      <c r="A2013" s="5">
        <v>1952</v>
      </c>
      <c r="B2013" s="1831">
        <f>'Cap Outlay Deprec 26'!C16</f>
        <v>5632992</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53078</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72530</v>
      </c>
      <c r="D2017" s="2" t="str">
        <f t="shared" si="30"/>
        <v>Error?</v>
      </c>
    </row>
    <row r="2018" spans="1:4" x14ac:dyDescent="0.2">
      <c r="A2018" s="5">
        <v>1957</v>
      </c>
      <c r="B2018" s="1831">
        <f>'Cap Outlay Deprec 26'!D13</f>
        <v>14500</v>
      </c>
      <c r="D2018" s="2" t="str">
        <f t="shared" si="30"/>
        <v>Error?</v>
      </c>
    </row>
    <row r="2019" spans="1:4" x14ac:dyDescent="0.2">
      <c r="A2019" s="5">
        <v>1958</v>
      </c>
      <c r="B2019" s="1831">
        <f>'Cap Outlay Deprec 26'!D16</f>
        <v>140108</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643</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643</v>
      </c>
      <c r="C2025" s="2" t="s">
        <v>569</v>
      </c>
      <c r="D2025" s="2" t="str">
        <f t="shared" si="30"/>
        <v>Error?</v>
      </c>
    </row>
    <row r="2026" spans="1:4" x14ac:dyDescent="0.2">
      <c r="A2026" s="5">
        <v>1965</v>
      </c>
      <c r="B2026" s="1831">
        <f>'Cap Outlay Deprec 26'!F5</f>
        <v>5000</v>
      </c>
      <c r="C2026" s="2" t="s">
        <v>569</v>
      </c>
      <c r="D2026" s="2" t="str">
        <f t="shared" si="30"/>
        <v>Error?</v>
      </c>
    </row>
    <row r="2027" spans="1:4" x14ac:dyDescent="0.2">
      <c r="A2027" s="5">
        <v>1966</v>
      </c>
      <c r="B2027" s="1831">
        <f>'Cap Outlay Deprec 26'!F8</f>
        <v>4719402</v>
      </c>
      <c r="C2027" s="2" t="s">
        <v>569</v>
      </c>
      <c r="D2027" s="2" t="str">
        <f t="shared" si="30"/>
        <v>Error?</v>
      </c>
    </row>
    <row r="2028" spans="1:4" x14ac:dyDescent="0.2">
      <c r="A2028" s="5">
        <v>1967</v>
      </c>
      <c r="B2028" s="1831">
        <f>'Cap Outlay Deprec 26'!F10</f>
        <v>147210</v>
      </c>
      <c r="C2028" s="2" t="s">
        <v>569</v>
      </c>
      <c r="D2028" s="2" t="str">
        <f t="shared" si="30"/>
        <v>Error?</v>
      </c>
    </row>
    <row r="2029" spans="1:4" x14ac:dyDescent="0.2">
      <c r="A2029" s="5">
        <v>1968</v>
      </c>
      <c r="B2029" s="1831">
        <f>'Cap Outlay Deprec 26'!F12</f>
        <v>886345</v>
      </c>
      <c r="C2029" s="2" t="s">
        <v>569</v>
      </c>
      <c r="D2029" s="2" t="str">
        <f t="shared" si="30"/>
        <v>Error?</v>
      </c>
    </row>
    <row r="2030" spans="1:4" x14ac:dyDescent="0.2">
      <c r="A2030" s="5">
        <v>1969</v>
      </c>
      <c r="B2030" s="1831">
        <f>'Cap Outlay Deprec 26'!F13</f>
        <v>14500</v>
      </c>
      <c r="C2030" s="2" t="s">
        <v>569</v>
      </c>
      <c r="D2030" s="2" t="str">
        <f t="shared" si="30"/>
        <v>Error?</v>
      </c>
    </row>
    <row r="2031" spans="1:4" x14ac:dyDescent="0.2">
      <c r="A2031" s="5">
        <v>1970</v>
      </c>
      <c r="B2031" s="1831">
        <f>'Cap Outlay Deprec 26'!F16</f>
        <v>5772457</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2117418</v>
      </c>
      <c r="D2033" s="2" t="str">
        <f t="shared" si="30"/>
        <v>Error?</v>
      </c>
    </row>
    <row r="2034" spans="1:4" x14ac:dyDescent="0.2">
      <c r="A2034" s="5">
        <v>1973</v>
      </c>
      <c r="B2034" s="1831">
        <f>'Cap Outlay Deprec 26'!H10</f>
        <v>101306</v>
      </c>
      <c r="D2034" s="2" t="str">
        <f t="shared" si="30"/>
        <v>Error?</v>
      </c>
    </row>
    <row r="2035" spans="1:4" x14ac:dyDescent="0.2">
      <c r="A2035" s="5">
        <v>1974</v>
      </c>
      <c r="B2035" s="1831">
        <f>'Cap Outlay Deprec 26'!H12</f>
        <v>679468</v>
      </c>
      <c r="D2035" s="2" t="str">
        <f t="shared" si="30"/>
        <v>Error?</v>
      </c>
    </row>
    <row r="2036" spans="1:4" x14ac:dyDescent="0.2">
      <c r="A2036" s="5">
        <v>1975</v>
      </c>
      <c r="B2036" s="1831">
        <f>'Cap Outlay Deprec 26'!H13</f>
        <v>0</v>
      </c>
      <c r="D2036" s="2" t="str">
        <f t="shared" si="30"/>
        <v>Error?</v>
      </c>
    </row>
    <row r="2037" spans="1:4" x14ac:dyDescent="0.2">
      <c r="A2037" s="5">
        <v>1976</v>
      </c>
      <c r="B2037" s="1831">
        <f>'Cap Outlay Deprec 26'!H16</f>
        <v>2898192</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95888</v>
      </c>
      <c r="D2039" s="2" t="str">
        <f t="shared" si="30"/>
        <v>Error?</v>
      </c>
    </row>
    <row r="2040" spans="1:4" x14ac:dyDescent="0.2">
      <c r="A2040" s="5">
        <v>1979</v>
      </c>
      <c r="B2040" s="1831">
        <f>'Cap Outlay Deprec 26'!I10</f>
        <v>5229</v>
      </c>
      <c r="D2040" s="2" t="str">
        <f t="shared" si="30"/>
        <v>Error?</v>
      </c>
    </row>
    <row r="2041" spans="1:4" x14ac:dyDescent="0.2">
      <c r="A2041" s="5">
        <v>1980</v>
      </c>
      <c r="B2041" s="1831">
        <f>'Cap Outlay Deprec 26'!I12</f>
        <v>28732</v>
      </c>
      <c r="D2041" s="2" t="str">
        <f t="shared" si="30"/>
        <v>Error?</v>
      </c>
    </row>
    <row r="2042" spans="1:4" x14ac:dyDescent="0.2">
      <c r="A2042" s="5">
        <v>1981</v>
      </c>
      <c r="B2042" s="1831">
        <f>'Cap Outlay Deprec 26'!I13</f>
        <v>2658</v>
      </c>
      <c r="D2042" s="2" t="str">
        <f t="shared" si="30"/>
        <v>Error?</v>
      </c>
    </row>
    <row r="2043" spans="1:4" x14ac:dyDescent="0.2">
      <c r="A2043" s="5">
        <v>1982</v>
      </c>
      <c r="B2043" s="1831">
        <f>'Cap Outlay Deprec 26'!I16</f>
        <v>132507</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643</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643</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2213306</v>
      </c>
      <c r="C2051" s="2" t="s">
        <v>569</v>
      </c>
      <c r="D2051" s="2" t="str">
        <f t="shared" si="31"/>
        <v>Error?</v>
      </c>
    </row>
    <row r="2052" spans="1:4" x14ac:dyDescent="0.2">
      <c r="A2052" s="5">
        <v>1991</v>
      </c>
      <c r="B2052" s="1831">
        <f>'Cap Outlay Deprec 26'!K10</f>
        <v>106535</v>
      </c>
      <c r="C2052" s="2" t="s">
        <v>569</v>
      </c>
      <c r="D2052" s="2" t="str">
        <f t="shared" si="31"/>
        <v>Error?</v>
      </c>
    </row>
    <row r="2053" spans="1:4" x14ac:dyDescent="0.2">
      <c r="A2053" s="5">
        <v>1992</v>
      </c>
      <c r="B2053" s="1831">
        <f>'Cap Outlay Deprec 26'!K12</f>
        <v>707557</v>
      </c>
      <c r="C2053" s="2" t="s">
        <v>569</v>
      </c>
      <c r="D2053" s="2" t="str">
        <f t="shared" si="31"/>
        <v>Error?</v>
      </c>
    </row>
    <row r="2054" spans="1:4" x14ac:dyDescent="0.2">
      <c r="A2054" s="5">
        <v>1993</v>
      </c>
      <c r="B2054" s="1831">
        <f>'Cap Outlay Deprec 26'!K13</f>
        <v>2658</v>
      </c>
      <c r="C2054" s="2" t="s">
        <v>569</v>
      </c>
      <c r="D2054" s="2" t="str">
        <f t="shared" si="31"/>
        <v>Error?</v>
      </c>
    </row>
    <row r="2055" spans="1:4" x14ac:dyDescent="0.2">
      <c r="A2055" s="5">
        <v>1994</v>
      </c>
      <c r="B2055" s="1831">
        <f>'Cap Outlay Deprec 26'!K16</f>
        <v>3030056</v>
      </c>
      <c r="C2055" s="2" t="s">
        <v>569</v>
      </c>
      <c r="D2055" s="2" t="str">
        <f t="shared" si="31"/>
        <v>Error?</v>
      </c>
    </row>
    <row r="2056" spans="1:4" x14ac:dyDescent="0.2">
      <c r="A2056" s="5">
        <v>1995</v>
      </c>
      <c r="B2056" s="1831">
        <f>'Cap Outlay Deprec 26'!L5</f>
        <v>5000</v>
      </c>
      <c r="C2056" s="2" t="s">
        <v>569</v>
      </c>
      <c r="D2056" s="2" t="str">
        <f t="shared" si="31"/>
        <v>Error?</v>
      </c>
    </row>
    <row r="2057" spans="1:4" x14ac:dyDescent="0.2">
      <c r="A2057" s="5">
        <v>1996</v>
      </c>
      <c r="B2057" s="1831">
        <f>'Cap Outlay Deprec 26'!L8</f>
        <v>2506096</v>
      </c>
      <c r="C2057" s="2" t="s">
        <v>569</v>
      </c>
      <c r="D2057" s="2" t="str">
        <f t="shared" si="31"/>
        <v>Error?</v>
      </c>
    </row>
    <row r="2058" spans="1:4" x14ac:dyDescent="0.2">
      <c r="A2058" s="5">
        <v>1997</v>
      </c>
      <c r="B2058" s="1831">
        <f>'Cap Outlay Deprec 26'!L10</f>
        <v>40675</v>
      </c>
      <c r="C2058" s="2" t="s">
        <v>569</v>
      </c>
      <c r="D2058" s="2" t="str">
        <f t="shared" si="31"/>
        <v>Error?</v>
      </c>
    </row>
    <row r="2059" spans="1:4" x14ac:dyDescent="0.2">
      <c r="A2059" s="5">
        <v>1998</v>
      </c>
      <c r="B2059" s="1831">
        <f>'Cap Outlay Deprec 26'!L12</f>
        <v>178788</v>
      </c>
      <c r="C2059" s="2" t="s">
        <v>569</v>
      </c>
      <c r="D2059" s="2" t="str">
        <f t="shared" si="31"/>
        <v>Error?</v>
      </c>
    </row>
    <row r="2060" spans="1:4" x14ac:dyDescent="0.2">
      <c r="A2060" s="5">
        <v>1999</v>
      </c>
      <c r="B2060" s="1831">
        <f>'Cap Outlay Deprec 26'!L13</f>
        <v>11842</v>
      </c>
      <c r="C2060" s="2" t="s">
        <v>569</v>
      </c>
      <c r="D2060" s="2" t="str">
        <f t="shared" si="31"/>
        <v>Error?</v>
      </c>
    </row>
    <row r="2061" spans="1:4" x14ac:dyDescent="0.2">
      <c r="A2061" s="5">
        <v>2000</v>
      </c>
      <c r="B2061" s="1831">
        <f>'Cap Outlay Deprec 26'!L16</f>
        <v>2742401</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48803</v>
      </c>
      <c r="C2088" s="2" t="s">
        <v>569</v>
      </c>
      <c r="D2088" s="2" t="str">
        <f t="shared" si="31"/>
        <v>Error?</v>
      </c>
    </row>
    <row r="2089" spans="1:4" x14ac:dyDescent="0.2">
      <c r="A2089" s="5">
        <v>2028</v>
      </c>
      <c r="B2089" s="1831">
        <f>'Expenditures 15-22'!K92</f>
        <v>123030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109509</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40307</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1754</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582428</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1964598</v>
      </c>
      <c r="C2553" s="2" t="s">
        <v>569</v>
      </c>
      <c r="D2553" s="2" t="str">
        <f t="shared" si="38"/>
        <v>Error?</v>
      </c>
    </row>
    <row r="2554" spans="1:4" x14ac:dyDescent="0.2">
      <c r="A2554" s="5">
        <v>2493</v>
      </c>
      <c r="B2554" s="1831">
        <f>'Acct Summary 7-8'!C7</f>
        <v>279840</v>
      </c>
      <c r="C2554" s="2" t="s">
        <v>569</v>
      </c>
      <c r="D2554" s="2" t="str">
        <f t="shared" si="38"/>
        <v>Error?</v>
      </c>
    </row>
    <row r="2555" spans="1:4" x14ac:dyDescent="0.2">
      <c r="A2555" s="5">
        <v>2494</v>
      </c>
      <c r="B2555" s="1831">
        <f>'Acct Summary 7-8'!C8</f>
        <v>2826866</v>
      </c>
      <c r="C2555" s="2" t="s">
        <v>569</v>
      </c>
      <c r="D2555" s="2" t="str">
        <f t="shared" si="38"/>
        <v>Error?</v>
      </c>
    </row>
    <row r="2556" spans="1:4" x14ac:dyDescent="0.2">
      <c r="A2556" s="5">
        <v>2495</v>
      </c>
      <c r="B2556" s="1831">
        <f>'Acct Summary 7-8'!C12</f>
        <v>1850743</v>
      </c>
      <c r="C2556" s="2" t="s">
        <v>569</v>
      </c>
      <c r="D2556" s="2" t="str">
        <f t="shared" si="38"/>
        <v>Error?</v>
      </c>
    </row>
    <row r="2557" spans="1:4" x14ac:dyDescent="0.2">
      <c r="A2557" s="5">
        <v>2496</v>
      </c>
      <c r="B2557" s="1831">
        <f>'Acct Summary 7-8'!C13</f>
        <v>693591</v>
      </c>
      <c r="C2557" s="2" t="s">
        <v>569</v>
      </c>
      <c r="D2557" s="2" t="str">
        <f t="shared" si="38"/>
        <v>Error?</v>
      </c>
    </row>
    <row r="2558" spans="1:4" x14ac:dyDescent="0.2">
      <c r="A2558" s="5">
        <v>2497</v>
      </c>
      <c r="B2558" s="1831">
        <f>'Acct Summary 7-8'!C14</f>
        <v>7151</v>
      </c>
      <c r="C2558" s="2" t="s">
        <v>569</v>
      </c>
      <c r="D2558" s="2" t="str">
        <f t="shared" si="38"/>
        <v>Error?</v>
      </c>
    </row>
    <row r="2559" spans="1:4" x14ac:dyDescent="0.2">
      <c r="A2559" s="5">
        <v>2498</v>
      </c>
      <c r="B2559" s="1831">
        <f>'Acct Summary 7-8'!C15</f>
        <v>171833</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2723318</v>
      </c>
      <c r="C2561" s="2" t="s">
        <v>569</v>
      </c>
      <c r="D2561" s="2" t="str">
        <f t="shared" si="39"/>
        <v>Error?</v>
      </c>
    </row>
    <row r="2562" spans="1:4" x14ac:dyDescent="0.2">
      <c r="A2562" s="5">
        <v>2501</v>
      </c>
      <c r="B2562" s="1831">
        <f>'Acct Summary 7-8'!C20</f>
        <v>103548</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53794</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50000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103794</v>
      </c>
      <c r="C2568" s="2" t="s">
        <v>569</v>
      </c>
      <c r="D2568" s="2" t="str">
        <f t="shared" si="39"/>
        <v>Error?</v>
      </c>
    </row>
    <row r="2569" spans="1:4" x14ac:dyDescent="0.2">
      <c r="A2569" s="5">
        <v>2508</v>
      </c>
      <c r="B2569" s="1831">
        <f>'Acct Summary 7-8'!D13</f>
        <v>214247</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214247</v>
      </c>
      <c r="C2573" s="2" t="s">
        <v>569</v>
      </c>
      <c r="D2573" s="2" t="str">
        <f t="shared" si="39"/>
        <v>Error?</v>
      </c>
    </row>
    <row r="2574" spans="1:4" x14ac:dyDescent="0.2">
      <c r="A2574" s="5">
        <v>2513</v>
      </c>
      <c r="B2574" s="1831">
        <f>'Acct Summary 7-8'!D20</f>
        <v>-110453</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36993</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143323</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180316</v>
      </c>
      <c r="C2595" s="2" t="s">
        <v>569</v>
      </c>
      <c r="D2595" s="2" t="str">
        <f t="shared" si="39"/>
        <v>Error?</v>
      </c>
    </row>
    <row r="2596" spans="1:4" x14ac:dyDescent="0.2">
      <c r="A2596" s="5">
        <v>2535</v>
      </c>
      <c r="B2596" s="1831">
        <f>'Acct Summary 7-8'!F13</f>
        <v>282148</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282148</v>
      </c>
      <c r="C2600" s="2" t="s">
        <v>569</v>
      </c>
      <c r="D2600" s="2" t="str">
        <f t="shared" si="39"/>
        <v>Error?</v>
      </c>
    </row>
    <row r="2601" spans="1:4" x14ac:dyDescent="0.2">
      <c r="A2601" s="5">
        <v>2540</v>
      </c>
      <c r="B2601" s="1831">
        <f>'Acct Summary 7-8'!F20</f>
        <v>-101832</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56702</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56702</v>
      </c>
      <c r="C2606" s="2" t="s">
        <v>569</v>
      </c>
      <c r="D2606" s="2" t="str">
        <f t="shared" si="39"/>
        <v>Error?</v>
      </c>
    </row>
    <row r="2607" spans="1:4" x14ac:dyDescent="0.2">
      <c r="A2607" s="5">
        <v>2546</v>
      </c>
      <c r="B2607" s="1831">
        <f>'Acct Summary 7-8'!G12</f>
        <v>42162</v>
      </c>
      <c r="C2607" s="2" t="s">
        <v>569</v>
      </c>
      <c r="D2607" s="2" t="str">
        <f t="shared" si="39"/>
        <v>Error?</v>
      </c>
    </row>
    <row r="2608" spans="1:4" x14ac:dyDescent="0.2">
      <c r="A2608" s="5">
        <v>2547</v>
      </c>
      <c r="B2608" s="1831">
        <f>'Acct Summary 7-8'!G13</f>
        <v>38619</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80781</v>
      </c>
      <c r="C2612" s="2" t="s">
        <v>569</v>
      </c>
      <c r="D2612" s="2" t="str">
        <f t="shared" si="39"/>
        <v>Error?</v>
      </c>
    </row>
    <row r="2613" spans="1:4" x14ac:dyDescent="0.2">
      <c r="A2613" s="5">
        <v>2552</v>
      </c>
      <c r="B2613" s="1831">
        <f>'Acct Summary 7-8'!G20</f>
        <v>-24079</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74805</v>
      </c>
      <c r="C2630" s="2" t="s">
        <v>569</v>
      </c>
      <c r="D2630" s="2" t="str">
        <f t="shared" si="40"/>
        <v>Error?</v>
      </c>
    </row>
    <row r="2631" spans="1:4" x14ac:dyDescent="0.2">
      <c r="A2631" s="5">
        <v>2570</v>
      </c>
      <c r="B2631" s="1831">
        <f>'Acct Summary 7-8'!E6</f>
        <v>800</v>
      </c>
      <c r="C2631" s="2" t="s">
        <v>569</v>
      </c>
      <c r="D2631" s="2" t="str">
        <f t="shared" si="40"/>
        <v>Error?</v>
      </c>
    </row>
    <row r="2632" spans="1:4" x14ac:dyDescent="0.2">
      <c r="A2632" s="5">
        <v>2571</v>
      </c>
      <c r="B2632" s="1831">
        <f>'Acct Summary 7-8'!E8</f>
        <v>75605</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73984</v>
      </c>
      <c r="C2634" s="2" t="s">
        <v>569</v>
      </c>
      <c r="D2634" s="2" t="str">
        <f t="shared" si="40"/>
        <v>Error?</v>
      </c>
    </row>
    <row r="2635" spans="1:4" x14ac:dyDescent="0.2">
      <c r="A2635" s="5">
        <v>2574</v>
      </c>
      <c r="B2635" s="1831">
        <f>'Acct Summary 7-8'!E17</f>
        <v>73984</v>
      </c>
      <c r="C2635" s="2" t="s">
        <v>569</v>
      </c>
      <c r="D2635" s="2" t="str">
        <f t="shared" si="40"/>
        <v>Error?</v>
      </c>
    </row>
    <row r="2636" spans="1:4" x14ac:dyDescent="0.2">
      <c r="A2636" s="5">
        <v>2575</v>
      </c>
      <c r="B2636" s="1831">
        <f>'Acct Summary 7-8'!E20</f>
        <v>1621</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48803</v>
      </c>
      <c r="C2789" s="2" t="s">
        <v>569</v>
      </c>
      <c r="D2789" s="2" t="str">
        <f t="shared" si="42"/>
        <v>Error?</v>
      </c>
    </row>
    <row r="2790" spans="1:4" x14ac:dyDescent="0.2">
      <c r="A2790" s="5">
        <v>2729</v>
      </c>
      <c r="B2790" s="1831">
        <f>'Expenditures 15-22'!E102</f>
        <v>48803</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216583</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15458</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216583</v>
      </c>
      <c r="D2912" s="2" t="str">
        <f t="shared" si="44"/>
        <v>Error?</v>
      </c>
    </row>
    <row r="2913" spans="1:4" x14ac:dyDescent="0.2">
      <c r="A2913" s="5">
        <v>2852</v>
      </c>
      <c r="B2913" s="1831">
        <f>'Assets-Liab 5-6'!I41</f>
        <v>216583</v>
      </c>
      <c r="C2913" s="2" t="s">
        <v>569</v>
      </c>
      <c r="D2913" s="2" t="str">
        <f t="shared" si="44"/>
        <v>Error?</v>
      </c>
    </row>
    <row r="2914" spans="1:4" x14ac:dyDescent="0.2">
      <c r="A2914" s="5">
        <v>2853</v>
      </c>
      <c r="B2914" s="1831">
        <f>'Assets-Liab 5-6'!L33</f>
        <v>15458</v>
      </c>
      <c r="D2914" s="2" t="str">
        <f t="shared" si="44"/>
        <v>Error?</v>
      </c>
    </row>
    <row r="2915" spans="1:4" x14ac:dyDescent="0.2">
      <c r="A2915" s="10">
        <v>2854</v>
      </c>
      <c r="B2915" s="1831"/>
      <c r="D2915" s="2" t="str">
        <f t="shared" si="44"/>
        <v>OK</v>
      </c>
    </row>
    <row r="2916" spans="1:4" x14ac:dyDescent="0.2">
      <c r="A2916" s="5">
        <v>2855</v>
      </c>
      <c r="B2916" s="1831">
        <f>'Assets-Liab 5-6'!L34</f>
        <v>15458</v>
      </c>
      <c r="C2916" s="2" t="s">
        <v>569</v>
      </c>
      <c r="D2916" s="2" t="str">
        <f t="shared" si="44"/>
        <v>Error?</v>
      </c>
    </row>
    <row r="2917" spans="1:4" x14ac:dyDescent="0.2">
      <c r="A2917" s="5">
        <v>2856</v>
      </c>
      <c r="B2917" s="1831">
        <f>'Assets-Liab 5-6'!L41</f>
        <v>15458</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2385</v>
      </c>
      <c r="D2949" s="2" t="str">
        <f t="shared" si="45"/>
        <v>Error?</v>
      </c>
    </row>
    <row r="2950" spans="1:4" x14ac:dyDescent="0.2">
      <c r="A2950" s="5">
        <v>2889</v>
      </c>
      <c r="B2950" s="1831">
        <f>'Expenditures 15-22'!E79</f>
        <v>46418</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2385</v>
      </c>
      <c r="C2973" s="2" t="s">
        <v>569</v>
      </c>
      <c r="D2973" s="2" t="str">
        <f t="shared" si="45"/>
        <v>Error?</v>
      </c>
    </row>
    <row r="2974" spans="1:4" x14ac:dyDescent="0.2">
      <c r="A2974" s="5">
        <v>2913</v>
      </c>
      <c r="B2974" s="1831">
        <f>'Expenditures 15-22'!K79</f>
        <v>46418</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21863</v>
      </c>
      <c r="D3055" s="2" t="str">
        <f t="shared" si="46"/>
        <v>Error?</v>
      </c>
    </row>
    <row r="3056" spans="1:4" x14ac:dyDescent="0.2">
      <c r="A3056" s="5">
        <v>2995</v>
      </c>
      <c r="B3056" s="1831">
        <f>'Expenditures 15-22'!D10</f>
        <v>0</v>
      </c>
      <c r="D3056" s="2" t="str">
        <f t="shared" si="46"/>
        <v>Error?</v>
      </c>
    </row>
    <row r="3057" spans="1:4" x14ac:dyDescent="0.2">
      <c r="A3057" s="5">
        <v>2996</v>
      </c>
      <c r="B3057" s="1831">
        <f>'Expenditures 15-22'!E10</f>
        <v>7616</v>
      </c>
      <c r="D3057" s="2" t="str">
        <f t="shared" si="46"/>
        <v>Error?</v>
      </c>
    </row>
    <row r="3058" spans="1:4" x14ac:dyDescent="0.2">
      <c r="A3058" s="5">
        <v>2997</v>
      </c>
      <c r="B3058" s="1831">
        <f>'Expenditures 15-22'!F10</f>
        <v>20780</v>
      </c>
      <c r="D3058" s="2" t="str">
        <f t="shared" si="46"/>
        <v>Error?</v>
      </c>
    </row>
    <row r="3059" spans="1:4" x14ac:dyDescent="0.2">
      <c r="A3059" s="5">
        <v>2998</v>
      </c>
      <c r="B3059" s="1831">
        <f>'Expenditures 15-22'!G10</f>
        <v>3965</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54224</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305</v>
      </c>
      <c r="D3064" s="2" t="str">
        <f t="shared" si="46"/>
        <v>Error?</v>
      </c>
    </row>
    <row r="3065" spans="1:4" x14ac:dyDescent="0.2">
      <c r="A3065" s="5">
        <v>3004</v>
      </c>
      <c r="B3065" s="1831">
        <f>'Expenditures 15-22'!K219</f>
        <v>305</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2847</v>
      </c>
      <c r="C3225" s="2" t="s">
        <v>569</v>
      </c>
      <c r="D3225" s="2" t="str">
        <f t="shared" si="49"/>
        <v>Error?</v>
      </c>
    </row>
    <row r="3226" spans="1:4" x14ac:dyDescent="0.2">
      <c r="A3226" s="5">
        <v>3165</v>
      </c>
      <c r="B3226" s="1831">
        <f>'Acct Summary 7-8'!I8</f>
        <v>2847</v>
      </c>
      <c r="C3226" s="2" t="s">
        <v>569</v>
      </c>
      <c r="D3226" s="2" t="str">
        <f t="shared" si="49"/>
        <v>Error?</v>
      </c>
    </row>
    <row r="3227" spans="1:4" x14ac:dyDescent="0.2">
      <c r="A3227" s="5">
        <v>3166</v>
      </c>
      <c r="B3227" s="1831">
        <f>'Acct Summary 7-8'!I20</f>
        <v>2847</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40000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40000</v>
      </c>
      <c r="C3232" s="2" t="s">
        <v>569</v>
      </c>
      <c r="D3232" s="2" t="str">
        <f t="shared" si="49"/>
        <v>Error?</v>
      </c>
    </row>
    <row r="3233" spans="1:4" x14ac:dyDescent="0.2">
      <c r="A3233" s="5">
        <v>3172</v>
      </c>
      <c r="B3233" s="1831">
        <f>'Acct Summary 7-8'!C78</f>
        <v>143548</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55009</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55009</v>
      </c>
      <c r="C3238" s="2" t="s">
        <v>569</v>
      </c>
      <c r="D3238" s="2" t="str">
        <f t="shared" si="49"/>
        <v>Error?</v>
      </c>
    </row>
    <row r="3239" spans="1:4" x14ac:dyDescent="0.2">
      <c r="A3239" s="5">
        <v>3178</v>
      </c>
      <c r="B3239" s="1831">
        <f>'Acct Summary 7-8'!D78</f>
        <v>-55444</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14500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14500</v>
      </c>
      <c r="C3255" s="2" t="s">
        <v>569</v>
      </c>
      <c r="D3255" s="2" t="str">
        <f t="shared" si="49"/>
        <v>Error?</v>
      </c>
    </row>
    <row r="3256" spans="1:4" x14ac:dyDescent="0.2">
      <c r="A3256" s="5">
        <v>3195</v>
      </c>
      <c r="B3256" s="1831">
        <f>'Acct Summary 7-8'!F78</f>
        <v>-87332</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-24079</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1621</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109509</v>
      </c>
      <c r="C3318" s="2" t="s">
        <v>569</v>
      </c>
      <c r="D3318" s="2" t="str">
        <f t="shared" si="50"/>
        <v>Error?</v>
      </c>
    </row>
    <row r="3319" spans="1:4" x14ac:dyDescent="0.2">
      <c r="A3319" s="5">
        <v>3258</v>
      </c>
      <c r="B3319" s="1831">
        <f>'Acct Summary 7-8'!I77</f>
        <v>-109509</v>
      </c>
      <c r="C3319" s="2" t="s">
        <v>569</v>
      </c>
      <c r="D3319" s="2" t="str">
        <f t="shared" si="50"/>
        <v>Error?</v>
      </c>
    </row>
    <row r="3320" spans="1:4" x14ac:dyDescent="0.2">
      <c r="A3320" s="5">
        <v>3259</v>
      </c>
      <c r="B3320" s="1831">
        <f>'Acct Summary 7-8'!I78</f>
        <v>-106662</v>
      </c>
      <c r="C3320" s="2" t="s">
        <v>569</v>
      </c>
      <c r="D3320" s="2" t="str">
        <f t="shared" si="50"/>
        <v>Error?</v>
      </c>
    </row>
    <row r="3321" spans="1:4" x14ac:dyDescent="0.2">
      <c r="A3321" s="5">
        <v>3260</v>
      </c>
      <c r="B3321" s="1831">
        <f>'Acct Summary 7-8'!I79</f>
        <v>323245</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216583</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337098</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19398</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0</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356496</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17170</v>
      </c>
      <c r="D3387" s="2" t="str">
        <f t="shared" si="51"/>
        <v>Error?</v>
      </c>
    </row>
    <row r="3388" spans="1:4" x14ac:dyDescent="0.2">
      <c r="A3388" s="5">
        <v>3327</v>
      </c>
      <c r="B3388" s="1831">
        <f>'Expenditures 15-22'!D217</f>
        <v>24687</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17170</v>
      </c>
      <c r="C3390" s="2" t="s">
        <v>569</v>
      </c>
      <c r="D3390" s="2" t="str">
        <f t="shared" si="51"/>
        <v>Error?</v>
      </c>
    </row>
    <row r="3391" spans="1:4" x14ac:dyDescent="0.2">
      <c r="A3391" s="5">
        <v>3330</v>
      </c>
      <c r="B3391" s="1831">
        <f>'Expenditures 15-22'!K217</f>
        <v>24687</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1555627</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150779</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26119</v>
      </c>
      <c r="D3417" s="2" t="str">
        <f t="shared" si="52"/>
        <v>Error?</v>
      </c>
    </row>
    <row r="3418" spans="1:4" x14ac:dyDescent="0.2">
      <c r="A3418" s="10">
        <v>3357</v>
      </c>
      <c r="B3418" s="1831"/>
      <c r="D3418" s="2" t="str">
        <f t="shared" si="52"/>
        <v>OK</v>
      </c>
    </row>
    <row r="3419" spans="1:4" x14ac:dyDescent="0.2">
      <c r="A3419" s="5">
        <v>3358</v>
      </c>
      <c r="B3419" s="1831">
        <f>'Assets-Liab 5-6'!F4</f>
        <v>295480</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24044</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216583</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15458</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30866</v>
      </c>
      <c r="C3446" s="2" t="s">
        <v>569</v>
      </c>
      <c r="D3446" s="2" t="str">
        <f t="shared" si="52"/>
        <v>Error?</v>
      </c>
    </row>
    <row r="3447" spans="1:4" x14ac:dyDescent="0.2">
      <c r="A3447" s="5">
        <v>3386</v>
      </c>
      <c r="B3447" s="1831">
        <f>'Tax Sched 23'!D16</f>
        <v>30866</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19873</v>
      </c>
      <c r="C3449" s="2" t="s">
        <v>569</v>
      </c>
      <c r="D3449" s="2" t="str">
        <f t="shared" si="52"/>
        <v>Error?</v>
      </c>
    </row>
    <row r="3450" spans="1:4" x14ac:dyDescent="0.2">
      <c r="A3450" s="5">
        <v>3389</v>
      </c>
      <c r="B3450" s="1831">
        <f>'Tax Sched 23'!E16</f>
        <v>19873</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10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10</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10</v>
      </c>
      <c r="D3567" s="2" t="str">
        <f t="shared" si="54"/>
        <v>Error?</v>
      </c>
    </row>
    <row r="3568" spans="1:4" x14ac:dyDescent="0.2">
      <c r="A3568" s="5">
        <v>3507</v>
      </c>
      <c r="B3568" s="1831">
        <f>'Assets-Liab 5-6'!K41</f>
        <v>10</v>
      </c>
      <c r="C3568" s="2" t="s">
        <v>569</v>
      </c>
      <c r="D3568" s="2" t="str">
        <f t="shared" si="54"/>
        <v>Error?</v>
      </c>
    </row>
    <row r="3569" spans="1:4" x14ac:dyDescent="0.2">
      <c r="A3569" s="5">
        <v>3508</v>
      </c>
      <c r="B3569" s="1831">
        <f>'Acct Summary 7-8'!K4</f>
        <v>14</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14</v>
      </c>
      <c r="C3571" s="2" t="s">
        <v>569</v>
      </c>
      <c r="D3571" s="2" t="str">
        <f t="shared" si="54"/>
        <v>Error?</v>
      </c>
    </row>
    <row r="3572" spans="1:4" x14ac:dyDescent="0.2">
      <c r="A3572" s="5">
        <v>3511</v>
      </c>
      <c r="B3572" s="1831">
        <f>'Acct Summary 7-8'!K13</f>
        <v>2543</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2543</v>
      </c>
      <c r="C3575" s="2" t="s">
        <v>569</v>
      </c>
      <c r="D3575" s="2" t="str">
        <f t="shared" si="54"/>
        <v>Error?</v>
      </c>
    </row>
    <row r="3576" spans="1:4" x14ac:dyDescent="0.2">
      <c r="A3576" s="5">
        <v>3515</v>
      </c>
      <c r="B3576" s="1831">
        <f>'Acct Summary 7-8'!K20</f>
        <v>-2529</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-2529</v>
      </c>
      <c r="C3588" s="2" t="s">
        <v>569</v>
      </c>
      <c r="D3588" s="2" t="str">
        <f t="shared" si="55"/>
        <v>Error?</v>
      </c>
    </row>
    <row r="3589" spans="1:4" x14ac:dyDescent="0.2">
      <c r="A3589" s="5">
        <v>3528</v>
      </c>
      <c r="B3589" s="1831">
        <f>'Acct Summary 7-8'!K79</f>
        <v>2539</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10</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2543</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2543</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2543</v>
      </c>
      <c r="C3635" s="2" t="s">
        <v>569</v>
      </c>
      <c r="D3635" s="2" t="str">
        <f t="shared" si="55"/>
        <v>Error?</v>
      </c>
    </row>
    <row r="3636" spans="1:4" x14ac:dyDescent="0.2">
      <c r="A3636" s="5">
        <v>3575</v>
      </c>
      <c r="B3636" s="1831">
        <f>'Expenditures 15-22'!E367</f>
        <v>2543</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2543</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2543</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2543</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2543</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-2529</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126635</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1313707</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4140573</v>
      </c>
      <c r="C4122" s="2" t="s">
        <v>569</v>
      </c>
      <c r="D4122" s="2" t="str">
        <f t="shared" si="63"/>
        <v>Error?</v>
      </c>
    </row>
    <row r="4123" spans="1:4" x14ac:dyDescent="0.2">
      <c r="A4123" s="5">
        <v>4062</v>
      </c>
      <c r="B4123" s="1831">
        <f>'Acct Summary 7-8'!D10</f>
        <v>103794</v>
      </c>
      <c r="C4123" s="2" t="s">
        <v>569</v>
      </c>
      <c r="D4123" s="2" t="str">
        <f t="shared" si="63"/>
        <v>Error?</v>
      </c>
    </row>
    <row r="4124" spans="1:4" x14ac:dyDescent="0.2">
      <c r="A4124" s="5">
        <v>4063</v>
      </c>
      <c r="B4124" s="1831">
        <f>'Acct Summary 7-8'!E10</f>
        <v>75605</v>
      </c>
      <c r="C4124" s="2" t="s">
        <v>569</v>
      </c>
      <c r="D4124" s="2" t="str">
        <f t="shared" si="63"/>
        <v>Error?</v>
      </c>
    </row>
    <row r="4125" spans="1:4" x14ac:dyDescent="0.2">
      <c r="A4125" s="5">
        <v>4064</v>
      </c>
      <c r="B4125" s="1831">
        <f>'Acct Summary 7-8'!F10</f>
        <v>180316</v>
      </c>
      <c r="C4125" s="2" t="s">
        <v>569</v>
      </c>
      <c r="D4125" s="2" t="str">
        <f t="shared" si="63"/>
        <v>Error?</v>
      </c>
    </row>
    <row r="4126" spans="1:4" x14ac:dyDescent="0.2">
      <c r="A4126" s="5">
        <v>4065</v>
      </c>
      <c r="B4126" s="1831">
        <f>'Acct Summary 7-8'!G10</f>
        <v>56702</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2847</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14</v>
      </c>
      <c r="C4130" s="2" t="s">
        <v>569</v>
      </c>
      <c r="D4130" s="2" t="str">
        <f t="shared" si="63"/>
        <v>Error?</v>
      </c>
    </row>
    <row r="4131" spans="1:4" x14ac:dyDescent="0.2">
      <c r="A4131" s="5">
        <v>4070</v>
      </c>
      <c r="B4131" s="1831">
        <f>'Acct Summary 7-8'!C18</f>
        <v>1313707</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4037025</v>
      </c>
      <c r="C4136" s="2" t="s">
        <v>569</v>
      </c>
      <c r="D4136" s="2" t="str">
        <f t="shared" si="63"/>
        <v>Error?</v>
      </c>
    </row>
    <row r="4137" spans="1:4" x14ac:dyDescent="0.2">
      <c r="A4137" s="5">
        <v>4076</v>
      </c>
      <c r="B4137" s="1831">
        <f>'Acct Summary 7-8'!D19</f>
        <v>214247</v>
      </c>
      <c r="C4137" s="2" t="s">
        <v>569</v>
      </c>
      <c r="D4137" s="2" t="str">
        <f t="shared" si="63"/>
        <v>Error?</v>
      </c>
    </row>
    <row r="4138" spans="1:4" x14ac:dyDescent="0.2">
      <c r="A4138" s="5">
        <v>4077</v>
      </c>
      <c r="B4138" s="1831">
        <f>'Acct Summary 7-8'!E19</f>
        <v>73984</v>
      </c>
      <c r="C4138" s="2" t="s">
        <v>569</v>
      </c>
      <c r="D4138" s="2" t="str">
        <f t="shared" si="63"/>
        <v>Error?</v>
      </c>
    </row>
    <row r="4139" spans="1:4" x14ac:dyDescent="0.2">
      <c r="A4139" s="5">
        <v>4078</v>
      </c>
      <c r="B4139" s="1831">
        <f>'Acct Summary 7-8'!F19</f>
        <v>282148</v>
      </c>
      <c r="C4139" s="2" t="s">
        <v>569</v>
      </c>
      <c r="D4139" s="2" t="str">
        <f t="shared" si="63"/>
        <v>Error?</v>
      </c>
    </row>
    <row r="4140" spans="1:4" x14ac:dyDescent="0.2">
      <c r="A4140" s="5">
        <v>4079</v>
      </c>
      <c r="B4140" s="1831">
        <f>'Acct Summary 7-8'!G19</f>
        <v>80781</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2543</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277000</v>
      </c>
      <c r="C4171" s="2" t="s">
        <v>569</v>
      </c>
      <c r="D4171" s="2" t="str">
        <f t="shared" si="64"/>
        <v>Error?</v>
      </c>
    </row>
    <row r="4172" spans="1:4" x14ac:dyDescent="0.2">
      <c r="A4172" s="5">
        <v>4111</v>
      </c>
      <c r="B4172" s="1831">
        <f>'Short-Term Long-Term Debt 24'!J49</f>
        <v>250881</v>
      </c>
      <c r="C4172" s="2" t="s">
        <v>569</v>
      </c>
      <c r="D4172" s="2" t="str">
        <f t="shared" si="64"/>
        <v>Error?</v>
      </c>
    </row>
    <row r="4173" spans="1:4" x14ac:dyDescent="0.2">
      <c r="A4173" s="5">
        <v>4112</v>
      </c>
      <c r="B4173" s="1831">
        <f>'Short-Term Long-Term Debt 24'!H49</f>
        <v>52000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1358.6499999999999</v>
      </c>
      <c r="C4265" s="2" t="s">
        <v>569</v>
      </c>
      <c r="D4265" s="2" t="str">
        <f t="shared" si="65"/>
        <v>Error?</v>
      </c>
      <c r="E4265" s="125"/>
    </row>
    <row r="4266" spans="1:5" x14ac:dyDescent="0.2">
      <c r="A4266" s="12">
        <v>4205</v>
      </c>
      <c r="B4266" s="1831">
        <f>('FP Info 3'!F10)*100000</f>
        <v>980.1</v>
      </c>
      <c r="C4266" s="2" t="s">
        <v>569</v>
      </c>
      <c r="D4266" s="2" t="str">
        <f t="shared" si="65"/>
        <v>Error?</v>
      </c>
      <c r="E4266" s="125"/>
    </row>
    <row r="4267" spans="1:5" x14ac:dyDescent="0.2">
      <c r="A4267" s="12">
        <v>4206</v>
      </c>
      <c r="B4267" s="1831">
        <f>('FP Info 3'!H10)*100000</f>
        <v>956.30000000000007</v>
      </c>
      <c r="C4267" s="2" t="s">
        <v>569</v>
      </c>
      <c r="D4267" s="2" t="str">
        <f t="shared" si="65"/>
        <v>Error?</v>
      </c>
      <c r="E4267" s="125"/>
    </row>
    <row r="4268" spans="1:5" x14ac:dyDescent="0.2">
      <c r="A4268" s="12">
        <v>4207</v>
      </c>
      <c r="B4268" s="1831">
        <f>('FP Info 3'!J10)*100000</f>
        <v>3295</v>
      </c>
      <c r="C4268" s="2" t="s">
        <v>569</v>
      </c>
      <c r="D4268" s="2" t="str">
        <f t="shared" si="65"/>
        <v>Error?</v>
      </c>
    </row>
    <row r="4269" spans="1:5" x14ac:dyDescent="0.2">
      <c r="A4269" s="12">
        <v>4208</v>
      </c>
      <c r="B4269" s="1831">
        <f>'FP Info 3'!J16</f>
        <v>2218469</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2397</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8823</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10000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0</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21973</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17301</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34871418</v>
      </c>
      <c r="D4995" s="2" t="str">
        <f t="shared" si="77"/>
        <v>Error?</v>
      </c>
    </row>
    <row r="4996" spans="1:4" x14ac:dyDescent="0.2">
      <c r="A4996" s="12">
        <v>4935</v>
      </c>
      <c r="B4996" s="1831">
        <f>'FP Info 3'!H31</f>
        <v>2406127.8420000002</v>
      </c>
      <c r="D4996" s="2" t="str">
        <f t="shared" si="77"/>
        <v>Error?</v>
      </c>
    </row>
    <row r="4997" spans="1:4" x14ac:dyDescent="0.2">
      <c r="A4997" s="12">
        <v>4936</v>
      </c>
      <c r="B4997" s="1831">
        <f>'FP Info 3'!H37</f>
        <v>277000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433593</v>
      </c>
      <c r="D5061" s="2" t="str">
        <f t="shared" si="78"/>
        <v>Error?</v>
      </c>
    </row>
    <row r="5062" spans="1:4" x14ac:dyDescent="0.2">
      <c r="A5062" s="10">
        <v>5001</v>
      </c>
      <c r="B5062" s="1831"/>
      <c r="D5062" s="2" t="str">
        <f t="shared" si="78"/>
        <v>OK</v>
      </c>
    </row>
    <row r="5063" spans="1:4" x14ac:dyDescent="0.2">
      <c r="A5063" s="5">
        <v>5002</v>
      </c>
      <c r="B5063" s="1831">
        <f>'Revenues 9-14'!C7</f>
        <v>3241</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436834</v>
      </c>
      <c r="C5066" s="2" t="s">
        <v>569</v>
      </c>
      <c r="D5066" s="2" t="str">
        <f t="shared" si="78"/>
        <v>Error?</v>
      </c>
    </row>
    <row r="5067" spans="1:4" x14ac:dyDescent="0.2">
      <c r="A5067" s="5">
        <v>5006</v>
      </c>
      <c r="B5067" s="1831">
        <f>'Revenues 9-14'!C14</f>
        <v>4053</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43830</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47883</v>
      </c>
      <c r="C5071" s="2" t="s">
        <v>569</v>
      </c>
      <c r="D5071" s="2" t="str">
        <f t="shared" si="78"/>
        <v>Error?</v>
      </c>
    </row>
    <row r="5072" spans="1:4" x14ac:dyDescent="0.2">
      <c r="A5072" s="5">
        <v>5011</v>
      </c>
      <c r="B5072" s="1831">
        <f>'Revenues 9-14'!C20</f>
        <v>6000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2427</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8427</v>
      </c>
      <c r="C5087" s="2" t="s">
        <v>569</v>
      </c>
      <c r="D5087" s="2" t="str">
        <f t="shared" si="78"/>
        <v>Error?</v>
      </c>
    </row>
    <row r="5088" spans="1:4" x14ac:dyDescent="0.2">
      <c r="A5088" s="5">
        <v>5027</v>
      </c>
      <c r="B5088" s="1831">
        <f>'Revenues 9-14'!C65</f>
        <v>17561</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17561</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99</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1684</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45071</v>
      </c>
      <c r="C5096" s="2" t="s">
        <v>569</v>
      </c>
      <c r="D5096" s="2" t="str">
        <f t="shared" si="78"/>
        <v>Error?</v>
      </c>
    </row>
    <row r="5097" spans="1:4" x14ac:dyDescent="0.2">
      <c r="A5097" s="5">
        <v>5036</v>
      </c>
      <c r="B5097" s="1831">
        <f>'Revenues 9-14'!C77</f>
        <v>8319</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8319</v>
      </c>
      <c r="C5102" s="2" t="s">
        <v>569</v>
      </c>
      <c r="D5102" s="2" t="str">
        <f t="shared" si="78"/>
        <v>Error?</v>
      </c>
    </row>
    <row r="5103" spans="1:4" x14ac:dyDescent="0.2">
      <c r="A5103" s="5">
        <v>5042</v>
      </c>
      <c r="B5103" s="1831">
        <f>'Revenues 9-14'!C84</f>
        <v>2549</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2549</v>
      </c>
      <c r="C5112" s="2" t="s">
        <v>569</v>
      </c>
      <c r="D5112" s="2" t="str">
        <f t="shared" si="78"/>
        <v>Error?</v>
      </c>
    </row>
    <row r="5113" spans="1:4" x14ac:dyDescent="0.2">
      <c r="A5113" s="5">
        <v>5052</v>
      </c>
      <c r="B5113" s="1831">
        <f>'Revenues 9-14'!C95</f>
        <v>7948</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734</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7102</v>
      </c>
      <c r="D5119" s="2" t="str">
        <f t="shared" ref="D5119:D5182" si="79">IF(ISBLANK(B5119),"OK",IF(A5119-B5119=0,"OK","Error?"))</f>
        <v>Error?</v>
      </c>
    </row>
    <row r="5120" spans="1:4" x14ac:dyDescent="0.2">
      <c r="A5120" s="5">
        <v>5059</v>
      </c>
      <c r="B5120" s="1831">
        <f>'Revenues 9-14'!C108</f>
        <v>15784</v>
      </c>
      <c r="C5120" s="2" t="s">
        <v>569</v>
      </c>
      <c r="D5120" s="2" t="str">
        <f t="shared" si="79"/>
        <v>Error?</v>
      </c>
    </row>
    <row r="5121" spans="1:4" x14ac:dyDescent="0.2">
      <c r="A5121" s="5">
        <v>5060</v>
      </c>
      <c r="B5121" s="1831">
        <f>'Revenues 9-14'!C109</f>
        <v>582428</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1864986</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1864986</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76402</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76402</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1237</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99612</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1964598</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17301</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65693</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27243</v>
      </c>
      <c r="D5241" s="2" t="str">
        <f t="shared" si="80"/>
        <v>Error?</v>
      </c>
    </row>
    <row r="5242" spans="1:4" x14ac:dyDescent="0.2">
      <c r="A5242" s="5">
        <v>5181</v>
      </c>
      <c r="B5242" s="1831">
        <f>'Revenues 9-14'!C194</f>
        <v>72286</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165222</v>
      </c>
      <c r="C5246" s="2" t="s">
        <v>569</v>
      </c>
      <c r="D5246" s="2" t="str">
        <f t="shared" si="80"/>
        <v>Error?</v>
      </c>
    </row>
    <row r="5247" spans="1:4" x14ac:dyDescent="0.2">
      <c r="A5247" s="5">
        <v>5186</v>
      </c>
      <c r="B5247" s="1831">
        <f>'Revenues 9-14'!C200</f>
        <v>43399</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10000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43399</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25322</v>
      </c>
      <c r="D5278" s="2" t="str">
        <f t="shared" si="81"/>
        <v>Error?</v>
      </c>
    </row>
    <row r="5279" spans="1:4" x14ac:dyDescent="0.2">
      <c r="A5279" s="5">
        <v>5218</v>
      </c>
      <c r="B5279" s="1831">
        <f>'Revenues 9-14'!C214</f>
        <v>7376</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32698</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262539</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279840</v>
      </c>
      <c r="C5326" s="2" t="s">
        <v>569</v>
      </c>
      <c r="D5326" s="2" t="str">
        <f t="shared" si="82"/>
        <v>Error?</v>
      </c>
    </row>
    <row r="5327" spans="1:5" x14ac:dyDescent="0.2">
      <c r="A5327" s="5">
        <v>5266</v>
      </c>
      <c r="B5327" s="1831">
        <f>'Revenues 9-14'!C268</f>
        <v>2826866</v>
      </c>
      <c r="C5327" s="2" t="s">
        <v>569</v>
      </c>
      <c r="D5327" s="2" t="str">
        <f t="shared" si="82"/>
        <v>Error?</v>
      </c>
    </row>
    <row r="5328" spans="1:5" x14ac:dyDescent="0.2">
      <c r="A5328" s="5">
        <v>5267</v>
      </c>
      <c r="B5328" s="1831">
        <f>'Revenues 9-14'!D5</f>
        <v>33214</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33214</v>
      </c>
      <c r="C5334" s="2" t="s">
        <v>569</v>
      </c>
      <c r="D5334" s="2" t="str">
        <f t="shared" si="82"/>
        <v>Error?</v>
      </c>
    </row>
    <row r="5335" spans="1:4" x14ac:dyDescent="0.2">
      <c r="A5335" s="5">
        <v>5274</v>
      </c>
      <c r="B5335" s="1831">
        <f>'Revenues 9-14'!D14</f>
        <v>308</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308</v>
      </c>
      <c r="C5339" s="2" t="s">
        <v>569</v>
      </c>
      <c r="D5339" s="2" t="str">
        <f t="shared" si="82"/>
        <v>Error?</v>
      </c>
    </row>
    <row r="5340" spans="1:4" x14ac:dyDescent="0.2">
      <c r="A5340" s="5">
        <v>5279</v>
      </c>
      <c r="B5340" s="1831">
        <f>'Revenues 9-14'!D65</f>
        <v>2285</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2285</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17987</v>
      </c>
      <c r="D5354" s="2" t="str">
        <f t="shared" si="82"/>
        <v>Error?</v>
      </c>
    </row>
    <row r="5355" spans="1:4" x14ac:dyDescent="0.2">
      <c r="A5355" s="5">
        <v>5294</v>
      </c>
      <c r="B5355" s="1831">
        <f>'Revenues 9-14'!D108</f>
        <v>17987</v>
      </c>
      <c r="C5355" s="2" t="s">
        <v>569</v>
      </c>
      <c r="D5355" s="2" t="str">
        <f t="shared" si="82"/>
        <v>Error?</v>
      </c>
    </row>
    <row r="5356" spans="1:4" x14ac:dyDescent="0.2">
      <c r="A5356" s="5">
        <v>5295</v>
      </c>
      <c r="B5356" s="1831">
        <f>'Revenues 9-14'!D109</f>
        <v>53794</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103794</v>
      </c>
      <c r="C5508" s="2" t="s">
        <v>569</v>
      </c>
      <c r="D5508" s="2" t="str">
        <f t="shared" si="85"/>
        <v>Error?</v>
      </c>
    </row>
    <row r="5509" spans="1:4" x14ac:dyDescent="0.2">
      <c r="A5509" s="5">
        <v>5448</v>
      </c>
      <c r="B5509" s="1831">
        <f>'Revenues 9-14'!E5</f>
        <v>73592</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73592</v>
      </c>
      <c r="C5513" s="2" t="s">
        <v>569</v>
      </c>
      <c r="D5513" s="2" t="str">
        <f t="shared" si="85"/>
        <v>Error?</v>
      </c>
    </row>
    <row r="5514" spans="1:4" x14ac:dyDescent="0.2">
      <c r="A5514" s="5">
        <v>5453</v>
      </c>
      <c r="B5514" s="1831">
        <f>'Revenues 9-14'!E14</f>
        <v>683</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683</v>
      </c>
      <c r="C5518" s="2" t="s">
        <v>569</v>
      </c>
      <c r="D5518" s="2" t="str">
        <f t="shared" si="85"/>
        <v>Error?</v>
      </c>
    </row>
    <row r="5519" spans="1:4" x14ac:dyDescent="0.2">
      <c r="A5519" s="5">
        <v>5458</v>
      </c>
      <c r="B5519" s="1831">
        <f>'Revenues 9-14'!E65</f>
        <v>530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530</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74805</v>
      </c>
      <c r="C5527" s="2" t="s">
        <v>569</v>
      </c>
      <c r="D5527" s="2" t="str">
        <f t="shared" si="85"/>
        <v>Error?</v>
      </c>
    </row>
    <row r="5528" spans="1:4" x14ac:dyDescent="0.2">
      <c r="A5528" s="5">
        <v>5467</v>
      </c>
      <c r="B5528" s="1831">
        <f>'Revenues 9-14'!E117</f>
        <v>800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800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800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75605</v>
      </c>
      <c r="C5552" s="2" t="s">
        <v>569</v>
      </c>
      <c r="D5552" s="2" t="str">
        <f t="shared" si="85"/>
        <v>Error?</v>
      </c>
    </row>
    <row r="5553" spans="1:4" x14ac:dyDescent="0.2">
      <c r="A5553" s="5">
        <v>5492</v>
      </c>
      <c r="B5553" s="1831">
        <f>'Revenues 9-14'!F5</f>
        <v>32251</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32251</v>
      </c>
      <c r="C5557" s="2" t="s">
        <v>569</v>
      </c>
      <c r="D5557" s="2" t="str">
        <f t="shared" si="85"/>
        <v>Error?</v>
      </c>
    </row>
    <row r="5558" spans="1:4" x14ac:dyDescent="0.2">
      <c r="A5558" s="5">
        <v>5497</v>
      </c>
      <c r="B5558" s="1831">
        <f>'Revenues 9-14'!F14</f>
        <v>299</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299</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4443</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4443</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36993</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100919</v>
      </c>
      <c r="D5615" s="2" t="str">
        <f t="shared" si="86"/>
        <v>Error?</v>
      </c>
    </row>
    <row r="5616" spans="1:4" x14ac:dyDescent="0.2">
      <c r="A5616" s="10">
        <v>5555</v>
      </c>
      <c r="B5616" s="1831"/>
      <c r="D5616" s="2" t="str">
        <f t="shared" si="86"/>
        <v>OK</v>
      </c>
    </row>
    <row r="5617" spans="1:5" x14ac:dyDescent="0.2">
      <c r="A5617" s="5">
        <v>5556</v>
      </c>
      <c r="B5617" s="1831">
        <f>'Revenues 9-14'!F153</f>
        <v>42404</v>
      </c>
      <c r="D5617" s="2" t="str">
        <f t="shared" si="86"/>
        <v>Error?</v>
      </c>
    </row>
    <row r="5618" spans="1:5" x14ac:dyDescent="0.2">
      <c r="A5618" s="5">
        <v>5557</v>
      </c>
      <c r="B5618" s="1831">
        <f>'Revenues 9-14'!F155</f>
        <v>143323</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143323</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143323</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180316</v>
      </c>
      <c r="C5720" s="2" t="s">
        <v>569</v>
      </c>
      <c r="D5720" s="2" t="str">
        <f t="shared" si="88"/>
        <v>Error?</v>
      </c>
    </row>
    <row r="5721" spans="1:4" x14ac:dyDescent="0.2">
      <c r="A5721" s="5">
        <v>5660</v>
      </c>
      <c r="B5721" s="1831">
        <f>'Revenues 9-14'!G5</f>
        <v>19659</v>
      </c>
      <c r="D5721" s="2" t="str">
        <f t="shared" si="88"/>
        <v>Error?</v>
      </c>
    </row>
    <row r="5722" spans="1:4" x14ac:dyDescent="0.2">
      <c r="A5722" s="5">
        <v>5661</v>
      </c>
      <c r="B5722" s="1831">
        <f>'Revenues 9-14'!G7</f>
        <v>0</v>
      </c>
      <c r="D5722" s="2" t="str">
        <f t="shared" si="88"/>
        <v>Error?</v>
      </c>
    </row>
    <row r="5723" spans="1:4" x14ac:dyDescent="0.2">
      <c r="A5723" s="5">
        <v>5662</v>
      </c>
      <c r="B5723" s="1831">
        <f>'Revenues 9-14'!G8</f>
        <v>30866</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50525</v>
      </c>
      <c r="C5725" s="2" t="s">
        <v>569</v>
      </c>
      <c r="D5725" s="2" t="str">
        <f t="shared" si="88"/>
        <v>Error?</v>
      </c>
    </row>
    <row r="5726" spans="1:4" x14ac:dyDescent="0.2">
      <c r="A5726" s="5">
        <v>5665</v>
      </c>
      <c r="B5726" s="1831">
        <f>'Revenues 9-14'!G14</f>
        <v>469</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5000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5469</v>
      </c>
      <c r="C5730" s="2" t="s">
        <v>569</v>
      </c>
      <c r="D5730" s="2" t="str">
        <f t="shared" si="88"/>
        <v>Error?</v>
      </c>
    </row>
    <row r="5731" spans="1:4" x14ac:dyDescent="0.2">
      <c r="A5731" s="5">
        <v>5670</v>
      </c>
      <c r="B5731" s="1831">
        <f>'Revenues 9-14'!G65</f>
        <v>708</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708</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56702</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0</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0</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2847</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2847</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2847</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14</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14</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14</v>
      </c>
      <c r="C6023" s="2" t="s">
        <v>569</v>
      </c>
      <c r="D6023" s="2" t="str">
        <f t="shared" si="93"/>
        <v>Error?</v>
      </c>
    </row>
    <row r="6024" spans="1:5" x14ac:dyDescent="0.2">
      <c r="A6024" s="5">
        <v>5963</v>
      </c>
      <c r="B6024" s="1831">
        <f>'Revenues 9-14'!G109</f>
        <v>56702</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2847</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14</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43288</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18030</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381.8</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72871</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72871</v>
      </c>
      <c r="D6215" s="2" t="str">
        <f t="shared" si="96"/>
        <v>Error?</v>
      </c>
      <c r="E6215" s="2" t="s">
        <v>189</v>
      </c>
    </row>
    <row r="6216" spans="1:5" x14ac:dyDescent="0.2">
      <c r="A6216">
        <v>6155</v>
      </c>
      <c r="B6216" s="1831">
        <f>'Assets-Liab 5-6'!J41</f>
        <v>72871</v>
      </c>
      <c r="D6216" s="2" t="str">
        <f t="shared" si="96"/>
        <v>Error?</v>
      </c>
      <c r="E6216" s="2" t="s">
        <v>189</v>
      </c>
    </row>
    <row r="6217" spans="1:5" x14ac:dyDescent="0.2">
      <c r="A6217">
        <v>6156</v>
      </c>
      <c r="B6217" s="1831">
        <f>'Assets-Liab 5-6'!J4</f>
        <v>72871</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34807</v>
      </c>
      <c r="D6220" s="2" t="str">
        <f t="shared" si="96"/>
        <v>Error?</v>
      </c>
      <c r="E6220" s="2" t="s">
        <v>189</v>
      </c>
    </row>
    <row r="6221" spans="1:5" x14ac:dyDescent="0.2">
      <c r="A6221">
        <v>6160</v>
      </c>
      <c r="B6221" s="1831">
        <f>'Acct Summary 7-8'!J6</f>
        <v>20000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54807</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54807</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38299</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38299</v>
      </c>
      <c r="D6229" s="2" t="str">
        <f t="shared" si="96"/>
        <v>Error?</v>
      </c>
      <c r="E6229" s="2" t="s">
        <v>189</v>
      </c>
    </row>
    <row r="6230" spans="1:5" x14ac:dyDescent="0.2">
      <c r="A6230">
        <v>6169</v>
      </c>
      <c r="B6230" s="1831">
        <f>'Acct Summary 7-8'!J20</f>
        <v>16508</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16508</v>
      </c>
      <c r="D6263" s="2" t="str">
        <f t="shared" si="96"/>
        <v>Error?</v>
      </c>
      <c r="E6263" s="2" t="s">
        <v>189</v>
      </c>
    </row>
    <row r="6264" spans="1:5" x14ac:dyDescent="0.2">
      <c r="A6264">
        <v>6203</v>
      </c>
      <c r="B6264" s="1831">
        <f>'Acct Summary 7-8'!J79</f>
        <v>56363</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72871</v>
      </c>
      <c r="D6266" s="2" t="str">
        <f t="shared" si="96"/>
        <v>Error?</v>
      </c>
      <c r="E6266" s="2" t="s">
        <v>189</v>
      </c>
    </row>
    <row r="6267" spans="1:5" x14ac:dyDescent="0.2">
      <c r="A6267">
        <v>6206</v>
      </c>
      <c r="B6267" s="1831">
        <f>'Acct Summary 7-8'!C82</f>
        <v>143548</v>
      </c>
      <c r="D6267" s="2" t="str">
        <f t="shared" si="96"/>
        <v>Error?</v>
      </c>
      <c r="E6267" s="2" t="s">
        <v>189</v>
      </c>
    </row>
    <row r="6268" spans="1:5" x14ac:dyDescent="0.2">
      <c r="A6268">
        <v>6207</v>
      </c>
      <c r="B6268" s="1831">
        <f>'Acct Summary 7-8'!D82</f>
        <v>-55444</v>
      </c>
      <c r="D6268" s="2" t="str">
        <f t="shared" si="96"/>
        <v>Error?</v>
      </c>
      <c r="E6268" s="2" t="s">
        <v>189</v>
      </c>
    </row>
    <row r="6269" spans="1:5" x14ac:dyDescent="0.2">
      <c r="A6269">
        <v>6208</v>
      </c>
      <c r="B6269" s="1831">
        <f>'Acct Summary 7-8'!E82</f>
        <v>1621</v>
      </c>
      <c r="D6269" s="2" t="str">
        <f t="shared" si="96"/>
        <v>Error?</v>
      </c>
      <c r="E6269" s="2" t="s">
        <v>189</v>
      </c>
    </row>
    <row r="6270" spans="1:5" x14ac:dyDescent="0.2">
      <c r="A6270">
        <v>6209</v>
      </c>
      <c r="B6270" s="1831">
        <f>'Acct Summary 7-8'!F82</f>
        <v>-87332</v>
      </c>
      <c r="D6270" s="2" t="str">
        <f t="shared" si="96"/>
        <v>Error?</v>
      </c>
      <c r="E6270" s="2" t="s">
        <v>189</v>
      </c>
    </row>
    <row r="6271" spans="1:5" x14ac:dyDescent="0.2">
      <c r="A6271">
        <v>6210</v>
      </c>
      <c r="B6271" s="1831">
        <f>'Acct Summary 7-8'!G82</f>
        <v>-24079</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-106662</v>
      </c>
      <c r="D6273" s="2" t="str">
        <f t="shared" si="97"/>
        <v>Error?</v>
      </c>
      <c r="E6273" s="2" t="s">
        <v>189</v>
      </c>
    </row>
    <row r="6274" spans="1:5" x14ac:dyDescent="0.2">
      <c r="A6274">
        <v>6213</v>
      </c>
      <c r="B6274" s="1831">
        <f>'Acct Summary 7-8'!J82</f>
        <v>16508</v>
      </c>
      <c r="D6274" s="2" t="str">
        <f t="shared" si="97"/>
        <v>Error?</v>
      </c>
      <c r="E6274" s="2" t="s">
        <v>189</v>
      </c>
    </row>
    <row r="6275" spans="1:5" x14ac:dyDescent="0.2">
      <c r="A6275">
        <v>6214</v>
      </c>
      <c r="B6275" s="1831">
        <f>'Acct Summary 7-8'!K82</f>
        <v>-2529</v>
      </c>
      <c r="D6275" s="2" t="str">
        <f t="shared" si="97"/>
        <v>Error?</v>
      </c>
      <c r="E6275" s="2" t="s">
        <v>189</v>
      </c>
    </row>
    <row r="6276" spans="1:5" x14ac:dyDescent="0.2">
      <c r="A6276">
        <v>6215</v>
      </c>
      <c r="B6276" s="1831">
        <f>'Acct Summary 7-8'!C83</f>
        <v>9.227661900956978E-2</v>
      </c>
      <c r="D6276" s="2" t="str">
        <f t="shared" si="97"/>
        <v>Error?</v>
      </c>
      <c r="E6276" s="2" t="s">
        <v>189</v>
      </c>
    </row>
    <row r="6277" spans="1:5" x14ac:dyDescent="0.2">
      <c r="A6277">
        <v>6216</v>
      </c>
      <c r="B6277" s="1831">
        <f>'Acct Summary 7-8'!D83</f>
        <v>-0.36771698976647943</v>
      </c>
      <c r="D6277" s="2" t="str">
        <f t="shared" si="97"/>
        <v>Error?</v>
      </c>
      <c r="E6277" s="2" t="s">
        <v>189</v>
      </c>
    </row>
    <row r="6278" spans="1:5" x14ac:dyDescent="0.2">
      <c r="A6278">
        <v>6217</v>
      </c>
      <c r="B6278" s="1831">
        <f>'Acct Summary 7-8'!E83</f>
        <v>6.2062100386691681E-2</v>
      </c>
      <c r="D6278" s="2" t="str">
        <f t="shared" si="97"/>
        <v>Error?</v>
      </c>
      <c r="E6278" s="2" t="s">
        <v>189</v>
      </c>
    </row>
    <row r="6279" spans="1:5" x14ac:dyDescent="0.2">
      <c r="A6279">
        <v>6218</v>
      </c>
      <c r="B6279" s="1831">
        <f>'Acct Summary 7-8'!F83</f>
        <v>-0.29555976715852172</v>
      </c>
      <c r="D6279" s="2" t="str">
        <f t="shared" si="97"/>
        <v>Error?</v>
      </c>
      <c r="E6279" s="2" t="s">
        <v>189</v>
      </c>
    </row>
    <row r="6280" spans="1:5" x14ac:dyDescent="0.2">
      <c r="A6280">
        <v>6219</v>
      </c>
      <c r="B6280" s="1831">
        <f>'Acct Summary 7-8'!G83</f>
        <v>-1.0014556646148727</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f>'Acct Summary 7-8'!I83</f>
        <v>-0.49247632547337511</v>
      </c>
      <c r="D6282" s="2" t="str">
        <f t="shared" si="97"/>
        <v>Error?</v>
      </c>
      <c r="E6282" s="2" t="s">
        <v>189</v>
      </c>
    </row>
    <row r="6283" spans="1:5" x14ac:dyDescent="0.2">
      <c r="A6283">
        <v>6222</v>
      </c>
      <c r="B6283" s="1831">
        <f>'Acct Summary 7-8'!J83</f>
        <v>0.22653730564970975</v>
      </c>
      <c r="D6283" s="2" t="str">
        <f t="shared" si="97"/>
        <v>Error?</v>
      </c>
      <c r="E6283" s="2" t="s">
        <v>189</v>
      </c>
    </row>
    <row r="6284" spans="1:5" x14ac:dyDescent="0.2">
      <c r="A6284">
        <v>6223</v>
      </c>
      <c r="B6284" s="1831">
        <f>'Acct Summary 7-8'!K83</f>
        <v>-252.9</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31455</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31455</v>
      </c>
      <c r="D6301" s="2" t="str">
        <f t="shared" si="97"/>
        <v>Error?</v>
      </c>
      <c r="E6301" s="2" t="s">
        <v>189</v>
      </c>
    </row>
    <row r="6302" spans="1:5" x14ac:dyDescent="0.2">
      <c r="A6302">
        <v>6241</v>
      </c>
      <c r="B6302" s="1831">
        <f>'Revenues 9-14'!J14</f>
        <v>292</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292</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732</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732</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2328</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2328</v>
      </c>
      <c r="D6351" s="2" t="str">
        <f t="shared" si="98"/>
        <v>Error?</v>
      </c>
      <c r="E6351" s="2" t="s">
        <v>189</v>
      </c>
    </row>
    <row r="6352" spans="1:5" x14ac:dyDescent="0.2">
      <c r="A6352">
        <v>6291</v>
      </c>
      <c r="B6352" s="1831">
        <f>'Revenues 9-14'!J109</f>
        <v>34807</v>
      </c>
      <c r="D6352" s="2" t="str">
        <f t="shared" si="98"/>
        <v>Error?</v>
      </c>
      <c r="E6352" s="2" t="s">
        <v>189</v>
      </c>
    </row>
    <row r="6353" spans="1:5" x14ac:dyDescent="0.2">
      <c r="A6353">
        <v>6292</v>
      </c>
      <c r="B6353" s="1831">
        <f>'Revenues 9-14'!J117</f>
        <v>20000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20000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1898</v>
      </c>
    </row>
    <row r="6383" spans="1:6" x14ac:dyDescent="0.2">
      <c r="A6383" s="126">
        <v>6322</v>
      </c>
      <c r="B6383" s="1831"/>
      <c r="D6383" s="2" t="str">
        <f t="shared" si="98"/>
        <v>OK</v>
      </c>
      <c r="E6383" s="2" t="s">
        <v>189</v>
      </c>
      <c r="F6383" s="1" t="s">
        <v>1898</v>
      </c>
    </row>
    <row r="6384" spans="1:6" x14ac:dyDescent="0.2">
      <c r="A6384" s="126">
        <v>6323</v>
      </c>
      <c r="B6384" s="1831"/>
      <c r="D6384" s="2" t="str">
        <f t="shared" si="98"/>
        <v>OK</v>
      </c>
      <c r="E6384" s="2" t="s">
        <v>189</v>
      </c>
      <c r="F6384" s="1" t="s">
        <v>1898</v>
      </c>
    </row>
    <row r="6385" spans="1:6" x14ac:dyDescent="0.2">
      <c r="A6385" s="126">
        <v>6324</v>
      </c>
      <c r="B6385" s="1831"/>
      <c r="D6385" s="2" t="str">
        <f t="shared" si="98"/>
        <v>OK</v>
      </c>
      <c r="E6385" s="2" t="s">
        <v>189</v>
      </c>
      <c r="F6385" s="1" t="s">
        <v>1898</v>
      </c>
    </row>
    <row r="6386" spans="1:6" x14ac:dyDescent="0.2">
      <c r="A6386" s="126">
        <v>6325</v>
      </c>
      <c r="B6386" s="1831"/>
      <c r="D6386" s="2" t="str">
        <f t="shared" si="98"/>
        <v>OK</v>
      </c>
      <c r="E6386" s="2" t="s">
        <v>189</v>
      </c>
      <c r="F6386" s="1" t="s">
        <v>1898</v>
      </c>
    </row>
    <row r="6387" spans="1:6" x14ac:dyDescent="0.2">
      <c r="A6387" s="126">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20000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1898</v>
      </c>
    </row>
    <row r="6411" spans="1:6" x14ac:dyDescent="0.2">
      <c r="A6411" s="126">
        <v>6350</v>
      </c>
      <c r="B6411" s="1831"/>
      <c r="D6411" s="2" t="str">
        <f t="shared" si="99"/>
        <v>OK</v>
      </c>
      <c r="E6411" s="2" t="s">
        <v>189</v>
      </c>
      <c r="F6411" s="1" t="s">
        <v>1898</v>
      </c>
    </row>
    <row r="6412" spans="1:6" x14ac:dyDescent="0.2">
      <c r="A6412" s="126">
        <v>6351</v>
      </c>
      <c r="B6412" s="1831"/>
      <c r="D6412" s="2" t="str">
        <f t="shared" si="99"/>
        <v>OK</v>
      </c>
      <c r="E6412" s="2" t="s">
        <v>189</v>
      </c>
      <c r="F6412" s="1" t="s">
        <v>1898</v>
      </c>
    </row>
    <row r="6413" spans="1:6" x14ac:dyDescent="0.2">
      <c r="A6413" s="126">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1994</v>
      </c>
    </row>
    <row r="6417" spans="1:5" x14ac:dyDescent="0.2">
      <c r="A6417" s="126">
        <v>6356</v>
      </c>
      <c r="B6417" s="1831"/>
      <c r="D6417" s="2" t="str">
        <f t="shared" si="99"/>
        <v>OK</v>
      </c>
      <c r="E6417" s="4" t="s">
        <v>1994</v>
      </c>
    </row>
    <row r="6418" spans="1:5" x14ac:dyDescent="0.2">
      <c r="A6418" s="126">
        <v>6357</v>
      </c>
      <c r="B6418" s="1831"/>
      <c r="D6418" s="2" t="str">
        <f t="shared" si="99"/>
        <v>OK</v>
      </c>
      <c r="E6418" s="4" t="s">
        <v>1994</v>
      </c>
    </row>
    <row r="6419" spans="1:5" x14ac:dyDescent="0.2">
      <c r="A6419" s="126">
        <v>6358</v>
      </c>
      <c r="B6419" s="1831"/>
      <c r="D6419" s="2" t="str">
        <f t="shared" si="99"/>
        <v>OK</v>
      </c>
      <c r="E6419" s="4" t="s">
        <v>1994</v>
      </c>
    </row>
    <row r="6420" spans="1:5" x14ac:dyDescent="0.2">
      <c r="A6420" s="126">
        <v>6359</v>
      </c>
      <c r="B6420" s="1831"/>
      <c r="D6420" s="2" t="str">
        <f t="shared" si="99"/>
        <v>OK</v>
      </c>
      <c r="E6420" s="4" t="s">
        <v>1994</v>
      </c>
    </row>
    <row r="6421" spans="1:5" x14ac:dyDescent="0.2">
      <c r="A6421" s="126">
        <v>6360</v>
      </c>
      <c r="B6421" s="1831"/>
      <c r="D6421" s="2" t="str">
        <f t="shared" si="99"/>
        <v>OK</v>
      </c>
      <c r="E6421" s="4" t="s">
        <v>1994</v>
      </c>
    </row>
    <row r="6422" spans="1:5" x14ac:dyDescent="0.2">
      <c r="A6422" s="126">
        <v>6361</v>
      </c>
      <c r="B6422" s="1831"/>
      <c r="D6422" s="2" t="str">
        <f t="shared" si="99"/>
        <v>OK</v>
      </c>
      <c r="E6422" s="4" t="s">
        <v>1994</v>
      </c>
    </row>
    <row r="6423" spans="1:5" x14ac:dyDescent="0.2">
      <c r="A6423" s="126">
        <v>6362</v>
      </c>
      <c r="B6423" s="1831"/>
      <c r="D6423" s="2" t="str">
        <f t="shared" si="99"/>
        <v>OK</v>
      </c>
      <c r="E6423" s="4" t="s">
        <v>1994</v>
      </c>
    </row>
    <row r="6424" spans="1:5" x14ac:dyDescent="0.2">
      <c r="A6424" s="126">
        <v>6363</v>
      </c>
      <c r="B6424" s="1831"/>
      <c r="D6424" s="2" t="str">
        <f t="shared" si="99"/>
        <v>OK</v>
      </c>
      <c r="E6424" s="4" t="s">
        <v>1994</v>
      </c>
    </row>
    <row r="6425" spans="1:5" x14ac:dyDescent="0.2">
      <c r="A6425" s="126">
        <v>6364</v>
      </c>
      <c r="B6425" s="1831"/>
      <c r="D6425" s="2" t="str">
        <f t="shared" si="99"/>
        <v>OK</v>
      </c>
      <c r="E6425" s="4" t="s">
        <v>1994</v>
      </c>
    </row>
    <row r="6426" spans="1:5" x14ac:dyDescent="0.2">
      <c r="A6426" s="126">
        <v>6365</v>
      </c>
      <c r="B6426" s="1831"/>
      <c r="D6426" s="2" t="str">
        <f t="shared" si="99"/>
        <v>OK</v>
      </c>
      <c r="E6426" s="4" t="s">
        <v>1994</v>
      </c>
    </row>
    <row r="6427" spans="1:5" x14ac:dyDescent="0.2">
      <c r="A6427" s="126">
        <v>6366</v>
      </c>
      <c r="B6427" s="1831"/>
      <c r="D6427" s="2" t="str">
        <f t="shared" si="99"/>
        <v>OK</v>
      </c>
      <c r="E6427" s="4" t="s">
        <v>1994</v>
      </c>
    </row>
    <row r="6428" spans="1:5" x14ac:dyDescent="0.2">
      <c r="A6428" s="126">
        <v>6367</v>
      </c>
      <c r="B6428" s="1831"/>
      <c r="D6428" s="2" t="str">
        <f t="shared" si="99"/>
        <v>OK</v>
      </c>
      <c r="E6428" s="4" t="s">
        <v>1994</v>
      </c>
    </row>
    <row r="6429" spans="1:5" x14ac:dyDescent="0.2">
      <c r="A6429" s="126">
        <v>6368</v>
      </c>
      <c r="B6429" s="1831"/>
      <c r="D6429" s="2" t="str">
        <f t="shared" si="99"/>
        <v>OK</v>
      </c>
      <c r="E6429" s="4" t="s">
        <v>1994</v>
      </c>
    </row>
    <row r="6430" spans="1:5" x14ac:dyDescent="0.2">
      <c r="A6430" s="126">
        <v>6369</v>
      </c>
      <c r="B6430" s="1831"/>
      <c r="D6430" s="2" t="str">
        <f t="shared" si="99"/>
        <v>OK</v>
      </c>
      <c r="E6430" s="4" t="s">
        <v>1994</v>
      </c>
    </row>
    <row r="6431" spans="1:5" x14ac:dyDescent="0.2">
      <c r="A6431" s="126">
        <v>6370</v>
      </c>
      <c r="B6431" s="1831"/>
      <c r="D6431" s="2" t="str">
        <f t="shared" si="99"/>
        <v>OK</v>
      </c>
      <c r="E6431" s="4" t="s">
        <v>1994</v>
      </c>
    </row>
    <row r="6432" spans="1:5" x14ac:dyDescent="0.2">
      <c r="A6432" s="126">
        <v>6371</v>
      </c>
      <c r="B6432" s="1831"/>
      <c r="D6432" s="2" t="str">
        <f t="shared" si="99"/>
        <v>OK</v>
      </c>
      <c r="E6432" s="4" t="s">
        <v>1994</v>
      </c>
    </row>
    <row r="6433" spans="1:5" x14ac:dyDescent="0.2">
      <c r="A6433" s="126">
        <v>6372</v>
      </c>
      <c r="B6433" s="1831"/>
      <c r="D6433" s="2" t="str">
        <f t="shared" si="99"/>
        <v>OK</v>
      </c>
      <c r="E6433" s="4" t="s">
        <v>1994</v>
      </c>
    </row>
    <row r="6434" spans="1:5" x14ac:dyDescent="0.2">
      <c r="A6434" s="126">
        <v>6373</v>
      </c>
      <c r="B6434" s="1831"/>
      <c r="D6434" s="2" t="str">
        <f t="shared" si="99"/>
        <v>OK</v>
      </c>
      <c r="E6434" s="4" t="s">
        <v>1994</v>
      </c>
    </row>
    <row r="6435" spans="1:5" x14ac:dyDescent="0.2">
      <c r="A6435" s="126">
        <v>6374</v>
      </c>
      <c r="B6435" s="1831"/>
      <c r="D6435" s="2" t="str">
        <f t="shared" si="99"/>
        <v>OK</v>
      </c>
      <c r="E6435" s="4" t="s">
        <v>1994</v>
      </c>
    </row>
    <row r="6436" spans="1:5" x14ac:dyDescent="0.2">
      <c r="A6436" s="126">
        <v>6375</v>
      </c>
      <c r="B6436" s="1831"/>
      <c r="D6436" s="2" t="str">
        <f t="shared" si="99"/>
        <v>OK</v>
      </c>
      <c r="E6436" s="4" t="s">
        <v>1994</v>
      </c>
    </row>
    <row r="6437" spans="1:5" x14ac:dyDescent="0.2">
      <c r="A6437" s="126">
        <v>6376</v>
      </c>
      <c r="B6437" s="1831"/>
      <c r="D6437" s="2" t="str">
        <f t="shared" si="99"/>
        <v>OK</v>
      </c>
      <c r="E6437" s="4" t="s">
        <v>1994</v>
      </c>
    </row>
    <row r="6438" spans="1:5" x14ac:dyDescent="0.2">
      <c r="A6438" s="126">
        <v>6377</v>
      </c>
      <c r="B6438" s="1831"/>
      <c r="D6438" s="2" t="str">
        <f t="shared" si="99"/>
        <v>OK</v>
      </c>
      <c r="E6438" s="4" t="s">
        <v>1994</v>
      </c>
    </row>
    <row r="6439" spans="1:5" x14ac:dyDescent="0.2">
      <c r="A6439" s="126">
        <v>6378</v>
      </c>
      <c r="B6439" s="1831"/>
      <c r="D6439" s="2" t="str">
        <f t="shared" si="99"/>
        <v>OK</v>
      </c>
      <c r="E6439" s="4" t="s">
        <v>1994</v>
      </c>
    </row>
    <row r="6440" spans="1:5" x14ac:dyDescent="0.2">
      <c r="A6440" s="126">
        <v>6379</v>
      </c>
      <c r="B6440" s="1831"/>
      <c r="D6440" s="2" t="str">
        <f t="shared" si="99"/>
        <v>OK</v>
      </c>
      <c r="E6440" s="4" t="s">
        <v>1994</v>
      </c>
    </row>
    <row r="6441" spans="1:5" x14ac:dyDescent="0.2">
      <c r="A6441" s="126">
        <v>6380</v>
      </c>
      <c r="B6441" s="1831"/>
      <c r="D6441" s="2" t="str">
        <f t="shared" si="99"/>
        <v>OK</v>
      </c>
      <c r="E6441" s="4" t="s">
        <v>1994</v>
      </c>
    </row>
    <row r="6442" spans="1:5" x14ac:dyDescent="0.2">
      <c r="A6442" s="126">
        <v>6381</v>
      </c>
      <c r="B6442" s="1831"/>
      <c r="D6442" s="2" t="str">
        <f t="shared" si="99"/>
        <v>OK</v>
      </c>
      <c r="E6442" s="4" t="s">
        <v>1994</v>
      </c>
    </row>
    <row r="6443" spans="1:5" x14ac:dyDescent="0.2">
      <c r="A6443" s="126">
        <v>6382</v>
      </c>
      <c r="B6443" s="1831"/>
      <c r="D6443" s="2" t="str">
        <f t="shared" si="99"/>
        <v>OK</v>
      </c>
      <c r="E6443" s="4" t="s">
        <v>1994</v>
      </c>
    </row>
    <row r="6444" spans="1:5" x14ac:dyDescent="0.2">
      <c r="A6444" s="126">
        <v>6383</v>
      </c>
      <c r="B6444" s="1831"/>
      <c r="D6444" s="2" t="str">
        <f t="shared" si="99"/>
        <v>OK</v>
      </c>
      <c r="E6444" s="4" t="s">
        <v>1994</v>
      </c>
    </row>
    <row r="6445" spans="1:5" x14ac:dyDescent="0.2">
      <c r="A6445" s="126">
        <v>6384</v>
      </c>
      <c r="B6445" s="1831"/>
      <c r="D6445" s="2" t="str">
        <f t="shared" si="99"/>
        <v>OK</v>
      </c>
      <c r="E6445" s="4" t="s">
        <v>1994</v>
      </c>
    </row>
    <row r="6446" spans="1:5" x14ac:dyDescent="0.2">
      <c r="A6446" s="126">
        <v>6385</v>
      </c>
      <c r="B6446" s="1831"/>
      <c r="D6446" s="2" t="str">
        <f t="shared" si="99"/>
        <v>OK</v>
      </c>
      <c r="E6446" s="4" t="s">
        <v>1994</v>
      </c>
    </row>
    <row r="6447" spans="1:5" x14ac:dyDescent="0.2">
      <c r="A6447" s="126">
        <v>6386</v>
      </c>
      <c r="B6447" s="1831"/>
      <c r="D6447" s="2" t="str">
        <f t="shared" si="99"/>
        <v>OK</v>
      </c>
      <c r="E6447" s="4" t="s">
        <v>1994</v>
      </c>
    </row>
    <row r="6448" spans="1:5" x14ac:dyDescent="0.2">
      <c r="A6448" s="126">
        <v>6387</v>
      </c>
      <c r="B6448" s="1831"/>
      <c r="D6448" s="2" t="str">
        <f t="shared" si="99"/>
        <v>OK</v>
      </c>
      <c r="E6448" s="4" t="s">
        <v>1994</v>
      </c>
    </row>
    <row r="6449" spans="1:5" x14ac:dyDescent="0.2">
      <c r="A6449" s="126">
        <v>6388</v>
      </c>
      <c r="B6449" s="1831"/>
      <c r="D6449" s="2" t="str">
        <f t="shared" si="99"/>
        <v>OK</v>
      </c>
      <c r="E6449" s="4" t="s">
        <v>1994</v>
      </c>
    </row>
    <row r="6450" spans="1:5" x14ac:dyDescent="0.2">
      <c r="A6450" s="126">
        <v>6389</v>
      </c>
      <c r="B6450" s="1831"/>
      <c r="D6450" s="2" t="str">
        <f t="shared" si="99"/>
        <v>OK</v>
      </c>
      <c r="E6450" s="4" t="s">
        <v>1994</v>
      </c>
    </row>
    <row r="6451" spans="1:5" x14ac:dyDescent="0.2">
      <c r="A6451" s="126">
        <v>6390</v>
      </c>
      <c r="B6451" s="1831"/>
      <c r="D6451" s="2" t="str">
        <f t="shared" si="99"/>
        <v>OK</v>
      </c>
      <c r="E6451" s="4" t="s">
        <v>1994</v>
      </c>
    </row>
    <row r="6452" spans="1:5" x14ac:dyDescent="0.2">
      <c r="A6452" s="126">
        <v>6391</v>
      </c>
      <c r="B6452" s="1831"/>
      <c r="D6452" s="2" t="str">
        <f t="shared" si="99"/>
        <v>OK</v>
      </c>
      <c r="E6452" s="4" t="s">
        <v>1994</v>
      </c>
    </row>
    <row r="6453" spans="1:5" x14ac:dyDescent="0.2">
      <c r="A6453" s="126">
        <v>6392</v>
      </c>
      <c r="B6453" s="1831"/>
      <c r="D6453" s="2" t="str">
        <f t="shared" si="99"/>
        <v>OK</v>
      </c>
      <c r="E6453" s="4" t="s">
        <v>1994</v>
      </c>
    </row>
    <row r="6454" spans="1:5" x14ac:dyDescent="0.2">
      <c r="A6454" s="126">
        <v>6393</v>
      </c>
      <c r="B6454" s="1831"/>
      <c r="D6454" s="2" t="str">
        <f t="shared" si="99"/>
        <v>OK</v>
      </c>
      <c r="E6454" s="4" t="s">
        <v>1994</v>
      </c>
    </row>
    <row r="6455" spans="1:5" x14ac:dyDescent="0.2">
      <c r="A6455" s="126">
        <v>6394</v>
      </c>
      <c r="B6455" s="1831"/>
      <c r="D6455" s="2" t="str">
        <f t="shared" si="99"/>
        <v>OK</v>
      </c>
      <c r="E6455" s="4" t="s">
        <v>1994</v>
      </c>
    </row>
    <row r="6456" spans="1:5" x14ac:dyDescent="0.2">
      <c r="A6456" s="126">
        <v>6395</v>
      </c>
      <c r="B6456" s="1831"/>
      <c r="D6456" s="2" t="str">
        <f t="shared" si="99"/>
        <v>OK</v>
      </c>
      <c r="E6456" s="4" t="s">
        <v>1994</v>
      </c>
    </row>
    <row r="6457" spans="1:5" x14ac:dyDescent="0.2">
      <c r="A6457" s="126">
        <v>6396</v>
      </c>
      <c r="B6457" s="1831"/>
      <c r="D6457" s="2" t="str">
        <f t="shared" si="99"/>
        <v>OK</v>
      </c>
      <c r="E6457" s="4" t="s">
        <v>1994</v>
      </c>
    </row>
    <row r="6458" spans="1:5" x14ac:dyDescent="0.2">
      <c r="A6458" s="126">
        <v>6397</v>
      </c>
      <c r="B6458" s="1831"/>
      <c r="D6458" s="2" t="str">
        <f t="shared" si="99"/>
        <v>OK</v>
      </c>
      <c r="E6458" s="4" t="s">
        <v>1994</v>
      </c>
    </row>
    <row r="6459" spans="1:5" x14ac:dyDescent="0.2">
      <c r="A6459" s="126">
        <v>6398</v>
      </c>
      <c r="B6459" s="1831"/>
      <c r="D6459" s="2" t="str">
        <f t="shared" si="99"/>
        <v>OK</v>
      </c>
      <c r="E6459" s="4" t="s">
        <v>1994</v>
      </c>
    </row>
    <row r="6460" spans="1:5" x14ac:dyDescent="0.2">
      <c r="A6460" s="126">
        <v>6399</v>
      </c>
      <c r="B6460" s="1831"/>
      <c r="D6460" s="2" t="str">
        <f t="shared" si="99"/>
        <v>OK</v>
      </c>
      <c r="E6460" s="4" t="s">
        <v>1994</v>
      </c>
    </row>
    <row r="6461" spans="1:5" x14ac:dyDescent="0.2">
      <c r="A6461" s="126">
        <v>6400</v>
      </c>
      <c r="B6461" s="1831"/>
      <c r="D6461" s="2" t="str">
        <f t="shared" si="99"/>
        <v>OK</v>
      </c>
      <c r="E6461" s="4" t="s">
        <v>1994</v>
      </c>
    </row>
    <row r="6462" spans="1:5" x14ac:dyDescent="0.2">
      <c r="A6462" s="126">
        <v>6401</v>
      </c>
      <c r="B6462" s="1831"/>
      <c r="D6462" s="2" t="str">
        <f t="shared" si="99"/>
        <v>OK</v>
      </c>
      <c r="E6462" s="4" t="s">
        <v>1994</v>
      </c>
    </row>
    <row r="6463" spans="1:5" x14ac:dyDescent="0.2">
      <c r="A6463" s="126">
        <v>6402</v>
      </c>
      <c r="B6463" s="1831"/>
      <c r="D6463" s="2" t="str">
        <f t="shared" ref="D6463:D6526" si="100">IF(ISBLANK(B6463),"OK",IF(A6463-B6463=0,"OK","Error?"))</f>
        <v>OK</v>
      </c>
      <c r="E6463" s="4" t="s">
        <v>1994</v>
      </c>
    </row>
    <row r="6464" spans="1:5" x14ac:dyDescent="0.2">
      <c r="A6464" s="126">
        <v>6403</v>
      </c>
      <c r="B6464" s="1831"/>
      <c r="D6464" s="2" t="str">
        <f t="shared" si="100"/>
        <v>OK</v>
      </c>
      <c r="E6464" s="4" t="s">
        <v>1994</v>
      </c>
    </row>
    <row r="6465" spans="1:5" x14ac:dyDescent="0.2">
      <c r="A6465" s="126">
        <v>6404</v>
      </c>
      <c r="B6465" s="1831"/>
      <c r="D6465" s="2" t="str">
        <f t="shared" si="100"/>
        <v>OK</v>
      </c>
      <c r="E6465" s="4" t="s">
        <v>1994</v>
      </c>
    </row>
    <row r="6466" spans="1:5" x14ac:dyDescent="0.2">
      <c r="A6466" s="126">
        <v>6405</v>
      </c>
      <c r="B6466" s="1831"/>
      <c r="D6466" s="2" t="str">
        <f t="shared" si="100"/>
        <v>OK</v>
      </c>
      <c r="E6466" s="4" t="s">
        <v>1994</v>
      </c>
    </row>
    <row r="6467" spans="1:5" x14ac:dyDescent="0.2">
      <c r="A6467" s="126">
        <v>6406</v>
      </c>
      <c r="B6467" s="1831"/>
      <c r="D6467" s="2" t="str">
        <f t="shared" si="100"/>
        <v>OK</v>
      </c>
      <c r="E6467" s="4" t="s">
        <v>1994</v>
      </c>
    </row>
    <row r="6468" spans="1:5" x14ac:dyDescent="0.2">
      <c r="A6468" s="126">
        <v>6407</v>
      </c>
      <c r="B6468" s="1831"/>
      <c r="D6468" s="2" t="str">
        <f t="shared" si="100"/>
        <v>OK</v>
      </c>
      <c r="E6468" s="4" t="s">
        <v>1994</v>
      </c>
    </row>
    <row r="6469" spans="1:5" x14ac:dyDescent="0.2">
      <c r="A6469" s="126">
        <v>6408</v>
      </c>
      <c r="B6469" s="1831"/>
      <c r="D6469" s="2" t="str">
        <f t="shared" si="100"/>
        <v>OK</v>
      </c>
      <c r="E6469" s="4" t="s">
        <v>1994</v>
      </c>
    </row>
    <row r="6470" spans="1:5" x14ac:dyDescent="0.2">
      <c r="A6470" s="126">
        <v>6409</v>
      </c>
      <c r="B6470" s="1831"/>
      <c r="D6470" s="2" t="str">
        <f t="shared" si="100"/>
        <v>OK</v>
      </c>
      <c r="E6470" s="4" t="s">
        <v>1994</v>
      </c>
    </row>
    <row r="6471" spans="1:5" x14ac:dyDescent="0.2">
      <c r="A6471" s="126">
        <v>6410</v>
      </c>
      <c r="B6471" s="1831"/>
      <c r="D6471" s="2" t="str">
        <f t="shared" si="100"/>
        <v>OK</v>
      </c>
      <c r="E6471" s="4" t="s">
        <v>1994</v>
      </c>
    </row>
    <row r="6472" spans="1:5" x14ac:dyDescent="0.2">
      <c r="A6472" s="126">
        <v>6411</v>
      </c>
      <c r="B6472" s="1831"/>
      <c r="D6472" s="2" t="str">
        <f t="shared" si="100"/>
        <v>OK</v>
      </c>
      <c r="E6472" s="4" t="s">
        <v>1994</v>
      </c>
    </row>
    <row r="6473" spans="1:5" x14ac:dyDescent="0.2">
      <c r="A6473" s="126">
        <v>6412</v>
      </c>
      <c r="B6473" s="1831"/>
      <c r="D6473" s="2" t="str">
        <f t="shared" si="100"/>
        <v>OK</v>
      </c>
      <c r="E6473" s="4" t="s">
        <v>1994</v>
      </c>
    </row>
    <row r="6474" spans="1:5" x14ac:dyDescent="0.2">
      <c r="A6474" s="126">
        <v>6413</v>
      </c>
      <c r="B6474" s="1831"/>
      <c r="D6474" s="2" t="str">
        <f t="shared" si="100"/>
        <v>OK</v>
      </c>
      <c r="E6474" s="4" t="s">
        <v>1994</v>
      </c>
    </row>
    <row r="6475" spans="1:5" x14ac:dyDescent="0.2">
      <c r="A6475" s="126">
        <v>6414</v>
      </c>
      <c r="B6475" s="1831"/>
      <c r="D6475" s="2" t="str">
        <f t="shared" si="100"/>
        <v>OK</v>
      </c>
      <c r="E6475" s="4" t="s">
        <v>1994</v>
      </c>
    </row>
    <row r="6476" spans="1:5" x14ac:dyDescent="0.2">
      <c r="A6476" s="126">
        <v>6415</v>
      </c>
      <c r="B6476" s="1831"/>
      <c r="D6476" s="2" t="str">
        <f t="shared" si="100"/>
        <v>OK</v>
      </c>
      <c r="E6476" s="4" t="s">
        <v>1994</v>
      </c>
    </row>
    <row r="6477" spans="1:5" x14ac:dyDescent="0.2">
      <c r="A6477" s="126">
        <v>6416</v>
      </c>
      <c r="B6477" s="1831"/>
      <c r="D6477" s="2" t="str">
        <f t="shared" si="100"/>
        <v>OK</v>
      </c>
      <c r="E6477" s="4" t="s">
        <v>1994</v>
      </c>
    </row>
    <row r="6478" spans="1:5" x14ac:dyDescent="0.2">
      <c r="A6478" s="126">
        <v>6417</v>
      </c>
      <c r="B6478" s="1831"/>
      <c r="D6478" s="2" t="str">
        <f t="shared" si="100"/>
        <v>OK</v>
      </c>
      <c r="E6478" s="4" t="s">
        <v>1994</v>
      </c>
    </row>
    <row r="6479" spans="1:5" x14ac:dyDescent="0.2">
      <c r="A6479" s="126">
        <v>6418</v>
      </c>
      <c r="B6479" s="1831"/>
      <c r="D6479" s="2" t="str">
        <f t="shared" si="100"/>
        <v>OK</v>
      </c>
      <c r="E6479" s="4" t="s">
        <v>1994</v>
      </c>
    </row>
    <row r="6480" spans="1:5" x14ac:dyDescent="0.2">
      <c r="A6480" s="126">
        <v>6419</v>
      </c>
      <c r="B6480" s="1831"/>
      <c r="D6480" s="2" t="str">
        <f t="shared" si="100"/>
        <v>OK</v>
      </c>
      <c r="E6480" s="4" t="s">
        <v>1994</v>
      </c>
    </row>
    <row r="6481" spans="1:5" x14ac:dyDescent="0.2">
      <c r="A6481" s="126">
        <v>6420</v>
      </c>
      <c r="B6481" s="1831"/>
      <c r="D6481" s="2" t="str">
        <f t="shared" si="100"/>
        <v>OK</v>
      </c>
      <c r="E6481" s="4" t="s">
        <v>1994</v>
      </c>
    </row>
    <row r="6482" spans="1:5" x14ac:dyDescent="0.2">
      <c r="A6482" s="126">
        <v>6421</v>
      </c>
      <c r="B6482" s="1831"/>
      <c r="D6482" s="2" t="str">
        <f t="shared" si="100"/>
        <v>OK</v>
      </c>
      <c r="E6482" s="4" t="s">
        <v>1994</v>
      </c>
    </row>
    <row r="6483" spans="1:5" x14ac:dyDescent="0.2">
      <c r="A6483" s="126">
        <v>6422</v>
      </c>
      <c r="B6483" s="1831"/>
      <c r="D6483" s="2" t="str">
        <f t="shared" si="100"/>
        <v>OK</v>
      </c>
      <c r="E6483" s="4" t="s">
        <v>1994</v>
      </c>
    </row>
    <row r="6484" spans="1:5" x14ac:dyDescent="0.2">
      <c r="A6484" s="126">
        <v>6423</v>
      </c>
      <c r="B6484" s="1831"/>
      <c r="D6484" s="2" t="str">
        <f t="shared" si="100"/>
        <v>OK</v>
      </c>
      <c r="E6484" s="4" t="s">
        <v>1994</v>
      </c>
    </row>
    <row r="6485" spans="1:5" x14ac:dyDescent="0.2">
      <c r="A6485" s="126">
        <v>6424</v>
      </c>
      <c r="B6485" s="1831"/>
      <c r="D6485" s="2" t="str">
        <f t="shared" si="100"/>
        <v>OK</v>
      </c>
      <c r="E6485" s="4" t="s">
        <v>1994</v>
      </c>
    </row>
    <row r="6486" spans="1:5" x14ac:dyDescent="0.2">
      <c r="A6486" s="126">
        <v>6425</v>
      </c>
      <c r="B6486" s="1831"/>
      <c r="D6486" s="2" t="str">
        <f t="shared" si="100"/>
        <v>OK</v>
      </c>
      <c r="E6486" s="4" t="s">
        <v>1994</v>
      </c>
    </row>
    <row r="6487" spans="1:5" x14ac:dyDescent="0.2">
      <c r="A6487" s="126">
        <v>6426</v>
      </c>
      <c r="B6487" s="1831"/>
      <c r="D6487" s="2" t="str">
        <f t="shared" si="100"/>
        <v>OK</v>
      </c>
      <c r="E6487" s="4" t="s">
        <v>1994</v>
      </c>
    </row>
    <row r="6488" spans="1:5" x14ac:dyDescent="0.2">
      <c r="A6488" s="126">
        <v>6427</v>
      </c>
      <c r="B6488" s="1831"/>
      <c r="D6488" s="2" t="str">
        <f t="shared" si="100"/>
        <v>OK</v>
      </c>
      <c r="E6488" s="4" t="s">
        <v>1994</v>
      </c>
    </row>
    <row r="6489" spans="1:5" x14ac:dyDescent="0.2">
      <c r="A6489" s="126">
        <v>6428</v>
      </c>
      <c r="B6489" s="1831"/>
      <c r="D6489" s="2" t="str">
        <f t="shared" si="100"/>
        <v>OK</v>
      </c>
      <c r="E6489" s="4" t="s">
        <v>1994</v>
      </c>
    </row>
    <row r="6490" spans="1:5" x14ac:dyDescent="0.2">
      <c r="A6490" s="126">
        <v>6429</v>
      </c>
      <c r="B6490" s="1831"/>
      <c r="D6490" s="2" t="str">
        <f t="shared" si="100"/>
        <v>OK</v>
      </c>
      <c r="E6490" s="4" t="s">
        <v>1994</v>
      </c>
    </row>
    <row r="6491" spans="1:5" x14ac:dyDescent="0.2">
      <c r="A6491" s="126">
        <v>6430</v>
      </c>
      <c r="B6491" s="1831"/>
      <c r="D6491" s="2" t="str">
        <f t="shared" si="100"/>
        <v>OK</v>
      </c>
      <c r="E6491" s="4" t="s">
        <v>1994</v>
      </c>
    </row>
    <row r="6492" spans="1:5" x14ac:dyDescent="0.2">
      <c r="A6492" s="126">
        <v>6431</v>
      </c>
      <c r="B6492" s="1831"/>
      <c r="D6492" s="2" t="str">
        <f t="shared" si="100"/>
        <v>OK</v>
      </c>
      <c r="E6492" s="4" t="s">
        <v>1994</v>
      </c>
    </row>
    <row r="6493" spans="1:5" x14ac:dyDescent="0.2">
      <c r="A6493" s="126">
        <v>6432</v>
      </c>
      <c r="B6493" s="1831"/>
      <c r="D6493" s="2" t="str">
        <f t="shared" si="100"/>
        <v>OK</v>
      </c>
      <c r="E6493" s="4" t="s">
        <v>1994</v>
      </c>
    </row>
    <row r="6494" spans="1:5" x14ac:dyDescent="0.2">
      <c r="A6494" s="126">
        <v>6433</v>
      </c>
      <c r="B6494" s="1831"/>
      <c r="D6494" s="2" t="str">
        <f t="shared" si="100"/>
        <v>OK</v>
      </c>
      <c r="E6494" s="4" t="s">
        <v>1994</v>
      </c>
    </row>
    <row r="6495" spans="1:5" x14ac:dyDescent="0.2">
      <c r="A6495" s="126">
        <v>6434</v>
      </c>
      <c r="B6495" s="1831"/>
      <c r="D6495" s="2" t="str">
        <f t="shared" si="100"/>
        <v>OK</v>
      </c>
      <c r="E6495" s="4" t="s">
        <v>1994</v>
      </c>
    </row>
    <row r="6496" spans="1:5" x14ac:dyDescent="0.2">
      <c r="A6496" s="126">
        <v>6435</v>
      </c>
      <c r="B6496" s="1831"/>
      <c r="D6496" s="2" t="str">
        <f t="shared" si="100"/>
        <v>OK</v>
      </c>
      <c r="E6496" s="4" t="s">
        <v>1994</v>
      </c>
    </row>
    <row r="6497" spans="1:5" x14ac:dyDescent="0.2">
      <c r="A6497" s="126">
        <v>6436</v>
      </c>
      <c r="B6497" s="1831"/>
      <c r="D6497" s="2" t="str">
        <f t="shared" si="100"/>
        <v>OK</v>
      </c>
      <c r="E6497" s="4" t="s">
        <v>1994</v>
      </c>
    </row>
    <row r="6498" spans="1:5" x14ac:dyDescent="0.2">
      <c r="A6498" s="126">
        <v>6437</v>
      </c>
      <c r="B6498" s="1831"/>
      <c r="D6498" s="2" t="str">
        <f t="shared" si="100"/>
        <v>OK</v>
      </c>
      <c r="E6498" s="4" t="s">
        <v>1994</v>
      </c>
    </row>
    <row r="6499" spans="1:5" x14ac:dyDescent="0.2">
      <c r="A6499" s="126">
        <v>6438</v>
      </c>
      <c r="B6499" s="1831"/>
      <c r="D6499" s="2" t="str">
        <f t="shared" si="100"/>
        <v>OK</v>
      </c>
      <c r="E6499" s="4" t="s">
        <v>1994</v>
      </c>
    </row>
    <row r="6500" spans="1:5" x14ac:dyDescent="0.2">
      <c r="A6500" s="126">
        <v>6439</v>
      </c>
      <c r="B6500" s="1831"/>
      <c r="D6500" s="2" t="str">
        <f t="shared" si="100"/>
        <v>OK</v>
      </c>
      <c r="E6500" s="4" t="s">
        <v>1994</v>
      </c>
    </row>
    <row r="6501" spans="1:5" x14ac:dyDescent="0.2">
      <c r="A6501" s="126">
        <v>6440</v>
      </c>
      <c r="B6501" s="1831"/>
      <c r="D6501" s="2" t="str">
        <f t="shared" si="100"/>
        <v>OK</v>
      </c>
      <c r="E6501" s="4" t="s">
        <v>1994</v>
      </c>
    </row>
    <row r="6502" spans="1:5" x14ac:dyDescent="0.2">
      <c r="A6502" s="126">
        <v>6441</v>
      </c>
      <c r="B6502" s="1831"/>
      <c r="D6502" s="2" t="str">
        <f t="shared" si="100"/>
        <v>OK</v>
      </c>
      <c r="E6502" s="4" t="s">
        <v>1994</v>
      </c>
    </row>
    <row r="6503" spans="1:5" x14ac:dyDescent="0.2">
      <c r="A6503" s="126">
        <v>6442</v>
      </c>
      <c r="B6503" s="1831"/>
      <c r="D6503" s="2" t="str">
        <f t="shared" si="100"/>
        <v>OK</v>
      </c>
      <c r="E6503" s="4" t="s">
        <v>1994</v>
      </c>
    </row>
    <row r="6504" spans="1:5" x14ac:dyDescent="0.2">
      <c r="A6504" s="126">
        <v>6443</v>
      </c>
      <c r="B6504" s="1831"/>
      <c r="D6504" s="2" t="str">
        <f t="shared" si="100"/>
        <v>OK</v>
      </c>
      <c r="E6504" s="4" t="s">
        <v>1994</v>
      </c>
    </row>
    <row r="6505" spans="1:5" x14ac:dyDescent="0.2">
      <c r="A6505" s="126">
        <v>6444</v>
      </c>
      <c r="B6505" s="1831"/>
      <c r="D6505" s="2" t="str">
        <f t="shared" si="100"/>
        <v>OK</v>
      </c>
      <c r="E6505" s="4" t="s">
        <v>1994</v>
      </c>
    </row>
    <row r="6506" spans="1:5" x14ac:dyDescent="0.2">
      <c r="A6506" s="126">
        <v>6445</v>
      </c>
      <c r="B6506" s="1831"/>
      <c r="D6506" s="2" t="str">
        <f t="shared" si="100"/>
        <v>OK</v>
      </c>
      <c r="E6506" s="4" t="s">
        <v>1994</v>
      </c>
    </row>
    <row r="6507" spans="1:5" x14ac:dyDescent="0.2">
      <c r="A6507" s="126">
        <v>6446</v>
      </c>
      <c r="B6507" s="1831"/>
      <c r="D6507" s="2" t="str">
        <f t="shared" si="100"/>
        <v>OK</v>
      </c>
      <c r="E6507" s="4" t="s">
        <v>1994</v>
      </c>
    </row>
    <row r="6508" spans="1:5" x14ac:dyDescent="0.2">
      <c r="A6508" s="126">
        <v>6447</v>
      </c>
      <c r="B6508" s="1831"/>
      <c r="D6508" s="2" t="str">
        <f t="shared" si="100"/>
        <v>OK</v>
      </c>
      <c r="E6508" s="4" t="s">
        <v>1994</v>
      </c>
    </row>
    <row r="6509" spans="1:5" x14ac:dyDescent="0.2">
      <c r="A6509" s="126">
        <v>6448</v>
      </c>
      <c r="B6509" s="1831"/>
      <c r="D6509" s="2" t="str">
        <f t="shared" si="100"/>
        <v>OK</v>
      </c>
      <c r="E6509" s="4" t="s">
        <v>1994</v>
      </c>
    </row>
    <row r="6510" spans="1:5" x14ac:dyDescent="0.2">
      <c r="A6510" s="126">
        <v>6449</v>
      </c>
      <c r="B6510" s="1831"/>
      <c r="D6510" s="2" t="str">
        <f t="shared" si="100"/>
        <v>OK</v>
      </c>
      <c r="E6510" s="4" t="s">
        <v>1994</v>
      </c>
    </row>
    <row r="6511" spans="1:5" x14ac:dyDescent="0.2">
      <c r="A6511" s="126">
        <v>6450</v>
      </c>
      <c r="B6511" s="1831"/>
      <c r="D6511" s="2" t="str">
        <f t="shared" si="100"/>
        <v>OK</v>
      </c>
      <c r="E6511" s="4" t="s">
        <v>1994</v>
      </c>
    </row>
    <row r="6512" spans="1:5" x14ac:dyDescent="0.2">
      <c r="A6512" s="126">
        <v>6451</v>
      </c>
      <c r="B6512" s="1831"/>
      <c r="D6512" s="2" t="str">
        <f t="shared" si="100"/>
        <v>OK</v>
      </c>
      <c r="E6512" s="4" t="s">
        <v>1994</v>
      </c>
    </row>
    <row r="6513" spans="1:5" x14ac:dyDescent="0.2">
      <c r="A6513" s="126">
        <v>6452</v>
      </c>
      <c r="B6513" s="1831"/>
      <c r="D6513" s="2" t="str">
        <f t="shared" si="100"/>
        <v>OK</v>
      </c>
      <c r="E6513" s="4" t="s">
        <v>1994</v>
      </c>
    </row>
    <row r="6514" spans="1:5" x14ac:dyDescent="0.2">
      <c r="A6514" s="126">
        <v>6453</v>
      </c>
      <c r="B6514" s="1831"/>
      <c r="D6514" s="2" t="str">
        <f t="shared" si="100"/>
        <v>OK</v>
      </c>
      <c r="E6514" s="4" t="s">
        <v>1994</v>
      </c>
    </row>
    <row r="6515" spans="1:5" x14ac:dyDescent="0.2">
      <c r="A6515" s="126">
        <v>6454</v>
      </c>
      <c r="B6515" s="1831"/>
      <c r="D6515" s="2" t="str">
        <f t="shared" si="100"/>
        <v>OK</v>
      </c>
      <c r="E6515" s="4" t="s">
        <v>1994</v>
      </c>
    </row>
    <row r="6516" spans="1:5" x14ac:dyDescent="0.2">
      <c r="A6516" s="126">
        <v>6455</v>
      </c>
      <c r="B6516" s="1831"/>
      <c r="D6516" s="2" t="str">
        <f t="shared" si="100"/>
        <v>OK</v>
      </c>
      <c r="E6516" s="4" t="s">
        <v>1994</v>
      </c>
    </row>
    <row r="6517" spans="1:5" x14ac:dyDescent="0.2">
      <c r="A6517" s="126">
        <v>6456</v>
      </c>
      <c r="B6517" s="1831"/>
      <c r="D6517" s="2" t="str">
        <f t="shared" si="100"/>
        <v>OK</v>
      </c>
      <c r="E6517" s="4" t="s">
        <v>1994</v>
      </c>
    </row>
    <row r="6518" spans="1:5" x14ac:dyDescent="0.2">
      <c r="A6518" s="126">
        <v>6457</v>
      </c>
      <c r="B6518" s="1831"/>
      <c r="D6518" s="2" t="str">
        <f t="shared" si="100"/>
        <v>OK</v>
      </c>
      <c r="E6518" s="4" t="s">
        <v>1994</v>
      </c>
    </row>
    <row r="6519" spans="1:5" x14ac:dyDescent="0.2">
      <c r="A6519" s="126">
        <v>6458</v>
      </c>
      <c r="B6519" s="1831"/>
      <c r="D6519" s="2" t="str">
        <f t="shared" si="100"/>
        <v>OK</v>
      </c>
      <c r="E6519" s="4" t="s">
        <v>1994</v>
      </c>
    </row>
    <row r="6520" spans="1:5" x14ac:dyDescent="0.2">
      <c r="A6520" s="126">
        <v>6459</v>
      </c>
      <c r="B6520" s="1831"/>
      <c r="D6520" s="2" t="str">
        <f t="shared" si="100"/>
        <v>OK</v>
      </c>
      <c r="E6520" s="4" t="s">
        <v>1994</v>
      </c>
    </row>
    <row r="6521" spans="1:5" x14ac:dyDescent="0.2">
      <c r="A6521" s="126">
        <v>6460</v>
      </c>
      <c r="B6521" s="1831"/>
      <c r="D6521" s="2" t="str">
        <f t="shared" si="100"/>
        <v>OK</v>
      </c>
      <c r="E6521" s="4" t="s">
        <v>1994</v>
      </c>
    </row>
    <row r="6522" spans="1:5" x14ac:dyDescent="0.2">
      <c r="A6522" s="126">
        <v>6461</v>
      </c>
      <c r="B6522" s="1831"/>
      <c r="D6522" s="2" t="str">
        <f t="shared" si="100"/>
        <v>OK</v>
      </c>
      <c r="E6522" s="4" t="s">
        <v>1994</v>
      </c>
    </row>
    <row r="6523" spans="1:5" x14ac:dyDescent="0.2">
      <c r="A6523" s="126">
        <v>6462</v>
      </c>
      <c r="B6523" s="1831"/>
      <c r="D6523" s="2" t="str">
        <f t="shared" si="100"/>
        <v>OK</v>
      </c>
      <c r="E6523" s="4" t="s">
        <v>1994</v>
      </c>
    </row>
    <row r="6524" spans="1:5" x14ac:dyDescent="0.2">
      <c r="A6524" s="126">
        <v>6463</v>
      </c>
      <c r="B6524" s="1831"/>
      <c r="D6524" s="2" t="str">
        <f t="shared" si="100"/>
        <v>OK</v>
      </c>
      <c r="E6524" s="4" t="s">
        <v>1994</v>
      </c>
    </row>
    <row r="6525" spans="1:5" x14ac:dyDescent="0.2">
      <c r="A6525" s="126">
        <v>6464</v>
      </c>
      <c r="B6525" s="1831"/>
      <c r="D6525" s="2" t="str">
        <f t="shared" si="100"/>
        <v>OK</v>
      </c>
      <c r="E6525" s="4" t="s">
        <v>1994</v>
      </c>
    </row>
    <row r="6526" spans="1:5" x14ac:dyDescent="0.2">
      <c r="A6526" s="126">
        <v>6465</v>
      </c>
      <c r="B6526" s="1831"/>
      <c r="D6526" s="2" t="str">
        <f t="shared" si="100"/>
        <v>OK</v>
      </c>
      <c r="E6526" s="4" t="s">
        <v>1994</v>
      </c>
    </row>
    <row r="6527" spans="1:5" x14ac:dyDescent="0.2">
      <c r="A6527" s="126">
        <v>6466</v>
      </c>
      <c r="B6527" s="1831"/>
      <c r="D6527" s="2" t="str">
        <f t="shared" ref="D6527:D6590" si="101">IF(ISBLANK(B6527),"OK",IF(A6527-B6527=0,"OK","Error?"))</f>
        <v>OK</v>
      </c>
      <c r="E6527" s="4" t="s">
        <v>1994</v>
      </c>
    </row>
    <row r="6528" spans="1:5" x14ac:dyDescent="0.2">
      <c r="A6528" s="126">
        <v>6467</v>
      </c>
      <c r="B6528" s="1831"/>
      <c r="D6528" s="2" t="str">
        <f t="shared" si="101"/>
        <v>OK</v>
      </c>
      <c r="E6528" s="4" t="s">
        <v>1994</v>
      </c>
    </row>
    <row r="6529" spans="1:5" x14ac:dyDescent="0.2">
      <c r="A6529" s="126">
        <v>6468</v>
      </c>
      <c r="B6529" s="1831"/>
      <c r="D6529" s="2" t="str">
        <f t="shared" si="101"/>
        <v>OK</v>
      </c>
      <c r="E6529" s="4" t="s">
        <v>1994</v>
      </c>
    </row>
    <row r="6530" spans="1:5" x14ac:dyDescent="0.2">
      <c r="A6530" s="126">
        <v>6469</v>
      </c>
      <c r="B6530" s="1831"/>
      <c r="D6530" s="2" t="str">
        <f t="shared" si="101"/>
        <v>OK</v>
      </c>
      <c r="E6530" s="4" t="s">
        <v>1994</v>
      </c>
    </row>
    <row r="6531" spans="1:5" x14ac:dyDescent="0.2">
      <c r="A6531" s="126">
        <v>6470</v>
      </c>
      <c r="B6531" s="1831"/>
      <c r="D6531" s="2" t="str">
        <f t="shared" si="101"/>
        <v>OK</v>
      </c>
      <c r="E6531" s="4" t="s">
        <v>1994</v>
      </c>
    </row>
    <row r="6532" spans="1:5" x14ac:dyDescent="0.2">
      <c r="A6532" s="126">
        <v>6471</v>
      </c>
      <c r="B6532" s="1831"/>
      <c r="D6532" s="2" t="str">
        <f t="shared" si="101"/>
        <v>OK</v>
      </c>
      <c r="E6532" s="4" t="s">
        <v>1994</v>
      </c>
    </row>
    <row r="6533" spans="1:5" x14ac:dyDescent="0.2">
      <c r="A6533" s="126">
        <v>6472</v>
      </c>
      <c r="B6533" s="1831"/>
      <c r="D6533" s="2" t="str">
        <f t="shared" si="101"/>
        <v>OK</v>
      </c>
      <c r="E6533" s="4" t="s">
        <v>1994</v>
      </c>
    </row>
    <row r="6534" spans="1:5" x14ac:dyDescent="0.2">
      <c r="A6534" s="126">
        <v>6473</v>
      </c>
      <c r="B6534" s="1831"/>
      <c r="D6534" s="2" t="str">
        <f t="shared" si="101"/>
        <v>OK</v>
      </c>
      <c r="E6534" s="4" t="s">
        <v>1994</v>
      </c>
    </row>
    <row r="6535" spans="1:5" x14ac:dyDescent="0.2">
      <c r="A6535" s="126">
        <v>6474</v>
      </c>
      <c r="B6535" s="1831"/>
      <c r="D6535" s="2" t="str">
        <f t="shared" si="101"/>
        <v>OK</v>
      </c>
      <c r="E6535" s="4" t="s">
        <v>1994</v>
      </c>
    </row>
    <row r="6536" spans="1:5" x14ac:dyDescent="0.2">
      <c r="A6536" s="126">
        <v>6475</v>
      </c>
      <c r="B6536" s="1831"/>
      <c r="D6536" s="2" t="str">
        <f t="shared" si="101"/>
        <v>OK</v>
      </c>
      <c r="E6536" s="4" t="s">
        <v>1994</v>
      </c>
    </row>
    <row r="6537" spans="1:5" x14ac:dyDescent="0.2">
      <c r="A6537" s="126">
        <v>6476</v>
      </c>
      <c r="B6537" s="1831"/>
      <c r="D6537" s="2" t="str">
        <f t="shared" si="101"/>
        <v>OK</v>
      </c>
      <c r="E6537" s="4" t="s">
        <v>1994</v>
      </c>
    </row>
    <row r="6538" spans="1:5" x14ac:dyDescent="0.2">
      <c r="A6538" s="126">
        <v>6477</v>
      </c>
      <c r="B6538" s="1831"/>
      <c r="D6538" s="2" t="str">
        <f t="shared" si="101"/>
        <v>OK</v>
      </c>
      <c r="E6538" s="4" t="s">
        <v>1994</v>
      </c>
    </row>
    <row r="6539" spans="1:5" x14ac:dyDescent="0.2">
      <c r="A6539" s="126">
        <v>6478</v>
      </c>
      <c r="B6539" s="1831"/>
      <c r="D6539" s="2" t="str">
        <f t="shared" si="101"/>
        <v>OK</v>
      </c>
      <c r="E6539" s="4" t="s">
        <v>1994</v>
      </c>
    </row>
    <row r="6540" spans="1:5" x14ac:dyDescent="0.2">
      <c r="A6540" s="126">
        <v>6479</v>
      </c>
      <c r="B6540" s="1831"/>
      <c r="D6540" s="2" t="str">
        <f t="shared" si="101"/>
        <v>OK</v>
      </c>
      <c r="E6540" s="4" t="s">
        <v>1994</v>
      </c>
    </row>
    <row r="6541" spans="1:5" x14ac:dyDescent="0.2">
      <c r="A6541" s="126">
        <v>6480</v>
      </c>
      <c r="B6541" s="1831"/>
      <c r="D6541" s="2" t="str">
        <f t="shared" si="101"/>
        <v>OK</v>
      </c>
      <c r="E6541" s="4" t="s">
        <v>1994</v>
      </c>
    </row>
    <row r="6542" spans="1:5" x14ac:dyDescent="0.2">
      <c r="A6542" s="126">
        <v>6481</v>
      </c>
      <c r="B6542" s="1831"/>
      <c r="D6542" s="2" t="str">
        <f t="shared" si="101"/>
        <v>OK</v>
      </c>
      <c r="E6542" s="4" t="s">
        <v>1994</v>
      </c>
    </row>
    <row r="6543" spans="1:5" x14ac:dyDescent="0.2">
      <c r="A6543" s="126">
        <v>6482</v>
      </c>
      <c r="B6543" s="1831"/>
      <c r="D6543" s="2" t="str">
        <f t="shared" si="101"/>
        <v>OK</v>
      </c>
      <c r="E6543" s="4" t="s">
        <v>1994</v>
      </c>
    </row>
    <row r="6544" spans="1:5" x14ac:dyDescent="0.2">
      <c r="A6544" s="126">
        <v>6483</v>
      </c>
      <c r="B6544" s="1831"/>
      <c r="D6544" s="2" t="str">
        <f t="shared" si="101"/>
        <v>OK</v>
      </c>
      <c r="E6544" s="4" t="s">
        <v>1994</v>
      </c>
    </row>
    <row r="6545" spans="1:5" x14ac:dyDescent="0.2">
      <c r="A6545" s="126">
        <v>6484</v>
      </c>
      <c r="B6545" s="1831"/>
      <c r="D6545" s="2" t="str">
        <f t="shared" si="101"/>
        <v>OK</v>
      </c>
      <c r="E6545" s="4" t="s">
        <v>1994</v>
      </c>
    </row>
    <row r="6546" spans="1:5" x14ac:dyDescent="0.2">
      <c r="A6546" s="126">
        <v>6485</v>
      </c>
      <c r="B6546" s="1831"/>
      <c r="D6546" s="2" t="str">
        <f t="shared" si="101"/>
        <v>OK</v>
      </c>
      <c r="E6546" s="4" t="s">
        <v>1994</v>
      </c>
    </row>
    <row r="6547" spans="1:5" x14ac:dyDescent="0.2">
      <c r="A6547" s="126">
        <v>6486</v>
      </c>
      <c r="B6547" s="1831"/>
      <c r="D6547" s="2" t="str">
        <f t="shared" si="101"/>
        <v>OK</v>
      </c>
      <c r="E6547" s="4" t="s">
        <v>1994</v>
      </c>
    </row>
    <row r="6548" spans="1:5" x14ac:dyDescent="0.2">
      <c r="A6548" s="126">
        <v>6487</v>
      </c>
      <c r="B6548" s="1831"/>
      <c r="D6548" s="2" t="str">
        <f t="shared" si="101"/>
        <v>OK</v>
      </c>
      <c r="E6548" s="4" t="s">
        <v>1994</v>
      </c>
    </row>
    <row r="6549" spans="1:5" x14ac:dyDescent="0.2">
      <c r="A6549" s="126">
        <v>6488</v>
      </c>
      <c r="B6549" s="1831"/>
      <c r="D6549" s="2" t="str">
        <f t="shared" si="101"/>
        <v>OK</v>
      </c>
      <c r="E6549" s="4" t="s">
        <v>1994</v>
      </c>
    </row>
    <row r="6550" spans="1:5" x14ac:dyDescent="0.2">
      <c r="A6550" s="126">
        <v>6489</v>
      </c>
      <c r="B6550" s="1831"/>
      <c r="D6550" s="2" t="str">
        <f t="shared" si="101"/>
        <v>OK</v>
      </c>
      <c r="E6550" s="4" t="s">
        <v>1994</v>
      </c>
    </row>
    <row r="6551" spans="1:5" x14ac:dyDescent="0.2">
      <c r="A6551" s="126">
        <v>6490</v>
      </c>
      <c r="B6551" s="1831"/>
      <c r="D6551" s="2" t="str">
        <f t="shared" si="101"/>
        <v>OK</v>
      </c>
      <c r="E6551" s="4" t="s">
        <v>1994</v>
      </c>
    </row>
    <row r="6552" spans="1:5" x14ac:dyDescent="0.2">
      <c r="A6552" s="126">
        <v>6491</v>
      </c>
      <c r="B6552" s="1831"/>
      <c r="D6552" s="2" t="str">
        <f t="shared" si="101"/>
        <v>OK</v>
      </c>
      <c r="E6552" s="4" t="s">
        <v>1994</v>
      </c>
    </row>
    <row r="6553" spans="1:5" x14ac:dyDescent="0.2">
      <c r="A6553" s="126">
        <v>6492</v>
      </c>
      <c r="B6553" s="1831"/>
      <c r="D6553" s="2" t="str">
        <f t="shared" si="101"/>
        <v>OK</v>
      </c>
      <c r="E6553" s="4" t="s">
        <v>1994</v>
      </c>
    </row>
    <row r="6554" spans="1:5" x14ac:dyDescent="0.2">
      <c r="A6554" s="126">
        <v>6493</v>
      </c>
      <c r="B6554" s="1831"/>
      <c r="D6554" s="2" t="str">
        <f t="shared" si="101"/>
        <v>OK</v>
      </c>
      <c r="E6554" s="4" t="s">
        <v>1994</v>
      </c>
    </row>
    <row r="6555" spans="1:5" x14ac:dyDescent="0.2">
      <c r="A6555" s="126">
        <v>6494</v>
      </c>
      <c r="B6555" s="1831"/>
      <c r="D6555" s="2" t="str">
        <f t="shared" si="101"/>
        <v>OK</v>
      </c>
      <c r="E6555" s="4" t="s">
        <v>1994</v>
      </c>
    </row>
    <row r="6556" spans="1:5" x14ac:dyDescent="0.2">
      <c r="A6556" s="126">
        <v>6495</v>
      </c>
      <c r="B6556" s="1831"/>
      <c r="D6556" s="2" t="str">
        <f t="shared" si="101"/>
        <v>OK</v>
      </c>
      <c r="E6556" s="4" t="s">
        <v>1994</v>
      </c>
    </row>
    <row r="6557" spans="1:5" x14ac:dyDescent="0.2">
      <c r="A6557" s="126">
        <v>6496</v>
      </c>
      <c r="B6557" s="1831"/>
      <c r="D6557" s="2" t="str">
        <f t="shared" si="101"/>
        <v>OK</v>
      </c>
      <c r="E6557" s="4" t="s">
        <v>1994</v>
      </c>
    </row>
    <row r="6558" spans="1:5" x14ac:dyDescent="0.2">
      <c r="A6558" s="126">
        <v>6497</v>
      </c>
      <c r="B6558" s="1831"/>
      <c r="D6558" s="2" t="str">
        <f t="shared" si="101"/>
        <v>OK</v>
      </c>
      <c r="E6558" s="4" t="s">
        <v>1994</v>
      </c>
    </row>
    <row r="6559" spans="1:5" x14ac:dyDescent="0.2">
      <c r="A6559" s="126">
        <v>6498</v>
      </c>
      <c r="B6559" s="1831"/>
      <c r="D6559" s="2" t="str">
        <f t="shared" si="101"/>
        <v>OK</v>
      </c>
      <c r="E6559" s="4" t="s">
        <v>1994</v>
      </c>
    </row>
    <row r="6560" spans="1:5" x14ac:dyDescent="0.2">
      <c r="A6560" s="126">
        <v>6499</v>
      </c>
      <c r="B6560" s="1831"/>
      <c r="D6560" s="2" t="str">
        <f t="shared" si="101"/>
        <v>OK</v>
      </c>
      <c r="E6560" s="4" t="s">
        <v>1994</v>
      </c>
    </row>
    <row r="6561" spans="1:5" x14ac:dyDescent="0.2">
      <c r="A6561" s="126">
        <v>6500</v>
      </c>
      <c r="B6561" s="1831"/>
      <c r="D6561" s="2" t="str">
        <f t="shared" si="101"/>
        <v>OK</v>
      </c>
      <c r="E6561" s="4" t="s">
        <v>1994</v>
      </c>
    </row>
    <row r="6562" spans="1:5" x14ac:dyDescent="0.2">
      <c r="A6562" s="126">
        <v>6501</v>
      </c>
      <c r="B6562" s="1831"/>
      <c r="D6562" s="2" t="str">
        <f t="shared" si="101"/>
        <v>OK</v>
      </c>
      <c r="E6562" s="4" t="s">
        <v>1994</v>
      </c>
    </row>
    <row r="6563" spans="1:5" x14ac:dyDescent="0.2">
      <c r="A6563" s="126">
        <v>6502</v>
      </c>
      <c r="B6563" s="1831"/>
      <c r="D6563" s="2" t="str">
        <f t="shared" si="101"/>
        <v>OK</v>
      </c>
      <c r="E6563" s="4" t="s">
        <v>1994</v>
      </c>
    </row>
    <row r="6564" spans="1:5" x14ac:dyDescent="0.2">
      <c r="A6564" s="126">
        <v>6503</v>
      </c>
      <c r="B6564" s="1831"/>
      <c r="D6564" s="2" t="str">
        <f t="shared" si="101"/>
        <v>OK</v>
      </c>
      <c r="E6564" s="4" t="s">
        <v>1994</v>
      </c>
    </row>
    <row r="6565" spans="1:5" x14ac:dyDescent="0.2">
      <c r="A6565" s="126">
        <v>6504</v>
      </c>
      <c r="B6565" s="1831"/>
      <c r="D6565" s="2" t="str">
        <f t="shared" si="101"/>
        <v>OK</v>
      </c>
      <c r="E6565" s="4" t="s">
        <v>1994</v>
      </c>
    </row>
    <row r="6566" spans="1:5" x14ac:dyDescent="0.2">
      <c r="A6566" s="126">
        <v>6505</v>
      </c>
      <c r="B6566" s="1831"/>
      <c r="D6566" s="2" t="str">
        <f t="shared" si="101"/>
        <v>OK</v>
      </c>
      <c r="E6566" s="4" t="s">
        <v>1994</v>
      </c>
    </row>
    <row r="6567" spans="1:5" x14ac:dyDescent="0.2">
      <c r="A6567" s="126">
        <v>6506</v>
      </c>
      <c r="B6567" s="1831"/>
      <c r="D6567" s="2" t="str">
        <f t="shared" si="101"/>
        <v>OK</v>
      </c>
      <c r="E6567" s="4" t="s">
        <v>1994</v>
      </c>
    </row>
    <row r="6568" spans="1:5" x14ac:dyDescent="0.2">
      <c r="A6568" s="126">
        <v>6507</v>
      </c>
      <c r="B6568" s="1831"/>
      <c r="D6568" s="2" t="str">
        <f t="shared" si="101"/>
        <v>OK</v>
      </c>
      <c r="E6568" s="4" t="s">
        <v>1994</v>
      </c>
    </row>
    <row r="6569" spans="1:5" x14ac:dyDescent="0.2">
      <c r="A6569" s="126">
        <v>6508</v>
      </c>
      <c r="B6569" s="1831"/>
      <c r="D6569" s="2" t="str">
        <f t="shared" si="101"/>
        <v>OK</v>
      </c>
      <c r="E6569" s="4" t="s">
        <v>1994</v>
      </c>
    </row>
    <row r="6570" spans="1:5" x14ac:dyDescent="0.2">
      <c r="A6570" s="126">
        <v>6509</v>
      </c>
      <c r="B6570" s="1831"/>
      <c r="D6570" s="2" t="str">
        <f t="shared" si="101"/>
        <v>OK</v>
      </c>
      <c r="E6570" s="4" t="s">
        <v>1994</v>
      </c>
    </row>
    <row r="6571" spans="1:5" x14ac:dyDescent="0.2">
      <c r="A6571" s="126">
        <v>6510</v>
      </c>
      <c r="B6571" s="1831"/>
      <c r="D6571" s="2" t="str">
        <f t="shared" si="101"/>
        <v>OK</v>
      </c>
      <c r="E6571" s="4" t="s">
        <v>1994</v>
      </c>
    </row>
    <row r="6572" spans="1:5" x14ac:dyDescent="0.2">
      <c r="A6572" s="126">
        <v>6511</v>
      </c>
      <c r="B6572" s="1831"/>
      <c r="D6572" s="2" t="str">
        <f t="shared" si="101"/>
        <v>OK</v>
      </c>
      <c r="E6572" s="4" t="s">
        <v>1994</v>
      </c>
    </row>
    <row r="6573" spans="1:5" x14ac:dyDescent="0.2">
      <c r="A6573" s="126">
        <v>6512</v>
      </c>
      <c r="B6573" s="1831"/>
      <c r="D6573" s="2" t="str">
        <f t="shared" si="101"/>
        <v>OK</v>
      </c>
      <c r="E6573" s="4" t="s">
        <v>1994</v>
      </c>
    </row>
    <row r="6574" spans="1:5" x14ac:dyDescent="0.2">
      <c r="A6574" s="126">
        <v>6513</v>
      </c>
      <c r="B6574" s="1831"/>
      <c r="D6574" s="2" t="str">
        <f t="shared" si="101"/>
        <v>OK</v>
      </c>
      <c r="E6574" s="4" t="s">
        <v>1994</v>
      </c>
    </row>
    <row r="6575" spans="1:5" x14ac:dyDescent="0.2">
      <c r="A6575" s="126">
        <v>6514</v>
      </c>
      <c r="B6575" s="1831"/>
      <c r="D6575" s="2" t="str">
        <f t="shared" si="101"/>
        <v>OK</v>
      </c>
      <c r="E6575" s="4" t="s">
        <v>1994</v>
      </c>
    </row>
    <row r="6576" spans="1:5" x14ac:dyDescent="0.2">
      <c r="A6576" s="126">
        <v>6515</v>
      </c>
      <c r="B6576" s="1831"/>
      <c r="D6576" s="2" t="str">
        <f t="shared" si="101"/>
        <v>OK</v>
      </c>
      <c r="E6576" s="4" t="s">
        <v>1994</v>
      </c>
    </row>
    <row r="6577" spans="1:5" x14ac:dyDescent="0.2">
      <c r="A6577" s="126">
        <v>6516</v>
      </c>
      <c r="B6577" s="1831"/>
      <c r="D6577" s="2" t="str">
        <f t="shared" si="101"/>
        <v>OK</v>
      </c>
      <c r="E6577" s="4" t="s">
        <v>1994</v>
      </c>
    </row>
    <row r="6578" spans="1:5" x14ac:dyDescent="0.2">
      <c r="A6578" s="126">
        <v>6517</v>
      </c>
      <c r="B6578" s="1831"/>
      <c r="D6578" s="2" t="str">
        <f t="shared" si="101"/>
        <v>OK</v>
      </c>
      <c r="E6578" s="4" t="s">
        <v>1994</v>
      </c>
    </row>
    <row r="6579" spans="1:5" x14ac:dyDescent="0.2">
      <c r="A6579" s="126">
        <v>6518</v>
      </c>
      <c r="B6579" s="1831"/>
      <c r="D6579" s="2" t="str">
        <f t="shared" si="101"/>
        <v>OK</v>
      </c>
      <c r="E6579" s="4" t="s">
        <v>1994</v>
      </c>
    </row>
    <row r="6580" spans="1:5" x14ac:dyDescent="0.2">
      <c r="A6580" s="126">
        <v>6519</v>
      </c>
      <c r="B6580" s="1831"/>
      <c r="D6580" s="2" t="str">
        <f t="shared" si="101"/>
        <v>OK</v>
      </c>
      <c r="E6580" s="4" t="s">
        <v>1994</v>
      </c>
    </row>
    <row r="6581" spans="1:5" x14ac:dyDescent="0.2">
      <c r="A6581" s="126">
        <v>6520</v>
      </c>
      <c r="B6581" s="1831"/>
      <c r="D6581" s="2" t="str">
        <f t="shared" si="101"/>
        <v>OK</v>
      </c>
      <c r="E6581" s="4" t="s">
        <v>1994</v>
      </c>
    </row>
    <row r="6582" spans="1:5" x14ac:dyDescent="0.2">
      <c r="A6582" s="126">
        <v>6521</v>
      </c>
      <c r="B6582" s="1831"/>
      <c r="D6582" s="2" t="str">
        <f t="shared" si="101"/>
        <v>OK</v>
      </c>
      <c r="E6582" s="4" t="s">
        <v>1994</v>
      </c>
    </row>
    <row r="6583" spans="1:5" x14ac:dyDescent="0.2">
      <c r="A6583" s="126">
        <v>6522</v>
      </c>
      <c r="B6583" s="1831"/>
      <c r="D6583" s="2" t="str">
        <f t="shared" si="101"/>
        <v>OK</v>
      </c>
      <c r="E6583" s="4" t="s">
        <v>1994</v>
      </c>
    </row>
    <row r="6584" spans="1:5" x14ac:dyDescent="0.2">
      <c r="A6584" s="126">
        <v>6523</v>
      </c>
      <c r="B6584" s="1831"/>
      <c r="D6584" s="2" t="str">
        <f t="shared" si="101"/>
        <v>OK</v>
      </c>
      <c r="E6584" s="4" t="s">
        <v>1994</v>
      </c>
    </row>
    <row r="6585" spans="1:5" x14ac:dyDescent="0.2">
      <c r="A6585" s="126">
        <v>6524</v>
      </c>
      <c r="B6585" s="1831"/>
      <c r="D6585" s="2" t="str">
        <f t="shared" si="101"/>
        <v>OK</v>
      </c>
      <c r="E6585" s="4" t="s">
        <v>1994</v>
      </c>
    </row>
    <row r="6586" spans="1:5" x14ac:dyDescent="0.2">
      <c r="A6586" s="126">
        <v>6525</v>
      </c>
      <c r="B6586" s="1831"/>
      <c r="D6586" s="2" t="str">
        <f t="shared" si="101"/>
        <v>OK</v>
      </c>
      <c r="E6586" s="4" t="s">
        <v>1994</v>
      </c>
    </row>
    <row r="6587" spans="1:5" x14ac:dyDescent="0.2">
      <c r="A6587" s="126">
        <v>6526</v>
      </c>
      <c r="B6587" s="1831"/>
      <c r="D6587" s="2" t="str">
        <f t="shared" si="101"/>
        <v>OK</v>
      </c>
      <c r="E6587" s="4" t="s">
        <v>1994</v>
      </c>
    </row>
    <row r="6588" spans="1:5" x14ac:dyDescent="0.2">
      <c r="A6588" s="126">
        <v>6527</v>
      </c>
      <c r="B6588" s="1831"/>
      <c r="D6588" s="2" t="str">
        <f t="shared" si="101"/>
        <v>OK</v>
      </c>
      <c r="E6588" s="4" t="s">
        <v>1994</v>
      </c>
    </row>
    <row r="6589" spans="1:5" x14ac:dyDescent="0.2">
      <c r="A6589" s="126">
        <v>6528</v>
      </c>
      <c r="B6589" s="1831"/>
      <c r="D6589" s="2" t="str">
        <f t="shared" si="101"/>
        <v>OK</v>
      </c>
      <c r="E6589" s="4" t="s">
        <v>1994</v>
      </c>
    </row>
    <row r="6590" spans="1:5" x14ac:dyDescent="0.2">
      <c r="A6590" s="126">
        <v>6529</v>
      </c>
      <c r="B6590" s="1831"/>
      <c r="D6590" s="2" t="str">
        <f t="shared" si="101"/>
        <v>OK</v>
      </c>
      <c r="E6590" s="4" t="s">
        <v>1994</v>
      </c>
    </row>
    <row r="6591" spans="1:5" x14ac:dyDescent="0.2">
      <c r="A6591" s="126">
        <v>6530</v>
      </c>
      <c r="B6591" s="1831"/>
      <c r="D6591" s="2" t="str">
        <f t="shared" ref="D6591:D6654" si="102">IF(ISBLANK(B6591),"OK",IF(A6591-B6591=0,"OK","Error?"))</f>
        <v>OK</v>
      </c>
      <c r="E6591" s="4" t="s">
        <v>1994</v>
      </c>
    </row>
    <row r="6592" spans="1:5" x14ac:dyDescent="0.2">
      <c r="A6592" s="126">
        <v>6531</v>
      </c>
      <c r="B6592" s="1831"/>
      <c r="D6592" s="2" t="str">
        <f t="shared" si="102"/>
        <v>OK</v>
      </c>
      <c r="E6592" s="4" t="s">
        <v>1994</v>
      </c>
    </row>
    <row r="6593" spans="1:5" x14ac:dyDescent="0.2">
      <c r="A6593" s="126">
        <v>6532</v>
      </c>
      <c r="B6593" s="1831"/>
      <c r="D6593" s="2" t="str">
        <f t="shared" si="102"/>
        <v>OK</v>
      </c>
      <c r="E6593" s="4" t="s">
        <v>1994</v>
      </c>
    </row>
    <row r="6594" spans="1:5" x14ac:dyDescent="0.2">
      <c r="A6594" s="126">
        <v>6533</v>
      </c>
      <c r="B6594" s="1831"/>
      <c r="D6594" s="2" t="str">
        <f t="shared" si="102"/>
        <v>OK</v>
      </c>
      <c r="E6594" s="4" t="s">
        <v>1994</v>
      </c>
    </row>
    <row r="6595" spans="1:5" x14ac:dyDescent="0.2">
      <c r="A6595" s="126">
        <v>6534</v>
      </c>
      <c r="B6595" s="1831"/>
      <c r="D6595" s="2" t="str">
        <f t="shared" si="102"/>
        <v>OK</v>
      </c>
      <c r="E6595" s="4" t="s">
        <v>1994</v>
      </c>
    </row>
    <row r="6596" spans="1:5" x14ac:dyDescent="0.2">
      <c r="A6596" s="126">
        <v>6535</v>
      </c>
      <c r="B6596" s="1831"/>
      <c r="D6596" s="2" t="str">
        <f t="shared" si="102"/>
        <v>OK</v>
      </c>
      <c r="E6596" s="4" t="s">
        <v>1994</v>
      </c>
    </row>
    <row r="6597" spans="1:5" x14ac:dyDescent="0.2">
      <c r="A6597" s="126">
        <v>6536</v>
      </c>
      <c r="B6597" s="1831"/>
      <c r="D6597" s="2" t="str">
        <f t="shared" si="102"/>
        <v>OK</v>
      </c>
      <c r="E6597" s="4" t="s">
        <v>1994</v>
      </c>
    </row>
    <row r="6598" spans="1:5" x14ac:dyDescent="0.2">
      <c r="A6598" s="126">
        <v>6537</v>
      </c>
      <c r="B6598" s="1831"/>
      <c r="D6598" s="2" t="str">
        <f t="shared" si="102"/>
        <v>OK</v>
      </c>
      <c r="E6598" s="4" t="s">
        <v>1994</v>
      </c>
    </row>
    <row r="6599" spans="1:5" x14ac:dyDescent="0.2">
      <c r="A6599" s="126">
        <v>6538</v>
      </c>
      <c r="B6599" s="1831"/>
      <c r="D6599" s="2" t="str">
        <f t="shared" si="102"/>
        <v>OK</v>
      </c>
      <c r="E6599" s="4" t="s">
        <v>1994</v>
      </c>
    </row>
    <row r="6600" spans="1:5" x14ac:dyDescent="0.2">
      <c r="A6600" s="126">
        <v>6539</v>
      </c>
      <c r="B6600" s="1831"/>
      <c r="D6600" s="2" t="str">
        <f t="shared" si="102"/>
        <v>OK</v>
      </c>
      <c r="E6600" s="4" t="s">
        <v>1994</v>
      </c>
    </row>
    <row r="6601" spans="1:5" x14ac:dyDescent="0.2">
      <c r="A6601" s="126">
        <v>6540</v>
      </c>
      <c r="B6601" s="1831"/>
      <c r="D6601" s="2" t="str">
        <f t="shared" si="102"/>
        <v>OK</v>
      </c>
      <c r="E6601" s="4" t="s">
        <v>1994</v>
      </c>
    </row>
    <row r="6602" spans="1:5" x14ac:dyDescent="0.2">
      <c r="A6602" s="126">
        <v>6541</v>
      </c>
      <c r="B6602" s="1831"/>
      <c r="D6602" s="2" t="str">
        <f t="shared" si="102"/>
        <v>OK</v>
      </c>
      <c r="E6602" s="4" t="s">
        <v>1994</v>
      </c>
    </row>
    <row r="6603" spans="1:5" x14ac:dyDescent="0.2">
      <c r="A6603" s="126">
        <v>6542</v>
      </c>
      <c r="B6603" s="1831"/>
      <c r="D6603" s="2" t="str">
        <f t="shared" si="102"/>
        <v>OK</v>
      </c>
      <c r="E6603" s="4" t="s">
        <v>1994</v>
      </c>
    </row>
    <row r="6604" spans="1:5" x14ac:dyDescent="0.2">
      <c r="A6604" s="126">
        <v>6543</v>
      </c>
      <c r="B6604" s="1831"/>
      <c r="D6604" s="2" t="str">
        <f t="shared" si="102"/>
        <v>OK</v>
      </c>
      <c r="E6604" s="4" t="s">
        <v>1994</v>
      </c>
    </row>
    <row r="6605" spans="1:5" x14ac:dyDescent="0.2">
      <c r="A6605" s="126">
        <v>6544</v>
      </c>
      <c r="B6605" s="1831"/>
      <c r="D6605" s="2" t="str">
        <f t="shared" si="102"/>
        <v>OK</v>
      </c>
      <c r="E6605" s="4" t="s">
        <v>1994</v>
      </c>
    </row>
    <row r="6606" spans="1:5" x14ac:dyDescent="0.2">
      <c r="A6606" s="126">
        <v>6545</v>
      </c>
      <c r="B6606" s="1831"/>
      <c r="D6606" s="2" t="str">
        <f t="shared" si="102"/>
        <v>OK</v>
      </c>
      <c r="E6606" s="4" t="s">
        <v>1994</v>
      </c>
    </row>
    <row r="6607" spans="1:5" x14ac:dyDescent="0.2">
      <c r="A6607" s="126">
        <v>6546</v>
      </c>
      <c r="B6607" s="1831"/>
      <c r="D6607" s="2" t="str">
        <f t="shared" si="102"/>
        <v>OK</v>
      </c>
      <c r="E6607" s="4" t="s">
        <v>1994</v>
      </c>
    </row>
    <row r="6608" spans="1:5" x14ac:dyDescent="0.2">
      <c r="A6608" s="126">
        <v>6547</v>
      </c>
      <c r="B6608" s="1831"/>
      <c r="D6608" s="2" t="str">
        <f t="shared" si="102"/>
        <v>OK</v>
      </c>
      <c r="E6608" s="4" t="s">
        <v>1994</v>
      </c>
    </row>
    <row r="6609" spans="1:5" x14ac:dyDescent="0.2">
      <c r="A6609" s="126">
        <v>6548</v>
      </c>
      <c r="B6609" s="1831"/>
      <c r="D6609" s="2" t="str">
        <f t="shared" si="102"/>
        <v>OK</v>
      </c>
      <c r="E6609" s="4" t="s">
        <v>1994</v>
      </c>
    </row>
    <row r="6610" spans="1:5" x14ac:dyDescent="0.2">
      <c r="A6610" s="126">
        <v>6549</v>
      </c>
      <c r="B6610" s="1831"/>
      <c r="D6610" s="2" t="str">
        <f t="shared" si="102"/>
        <v>OK</v>
      </c>
      <c r="E6610" s="4" t="s">
        <v>1994</v>
      </c>
    </row>
    <row r="6611" spans="1:5" x14ac:dyDescent="0.2">
      <c r="A6611" s="126">
        <v>6550</v>
      </c>
      <c r="B6611" s="1831"/>
      <c r="D6611" s="2" t="str">
        <f t="shared" si="102"/>
        <v>OK</v>
      </c>
      <c r="E6611" s="4" t="s">
        <v>1994</v>
      </c>
    </row>
    <row r="6612" spans="1:5" x14ac:dyDescent="0.2">
      <c r="A6612" s="126">
        <v>6551</v>
      </c>
      <c r="B6612" s="1831"/>
      <c r="D6612" s="2" t="str">
        <f t="shared" si="102"/>
        <v>OK</v>
      </c>
      <c r="E6612" s="4" t="s">
        <v>1994</v>
      </c>
    </row>
    <row r="6613" spans="1:5" x14ac:dyDescent="0.2">
      <c r="A6613" s="126">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1898</v>
      </c>
    </row>
    <row r="6842" spans="1:5" x14ac:dyDescent="0.2">
      <c r="A6842" s="126">
        <v>6781</v>
      </c>
      <c r="B6842" s="1831"/>
      <c r="D6842" s="2" t="str">
        <f t="shared" si="105"/>
        <v>OK</v>
      </c>
      <c r="E6842" s="1" t="s">
        <v>1898</v>
      </c>
    </row>
    <row r="6843" spans="1:5" x14ac:dyDescent="0.2">
      <c r="A6843" s="126">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123030</v>
      </c>
      <c r="D6983" s="2" t="str">
        <f t="shared" si="108"/>
        <v>Error?</v>
      </c>
    </row>
    <row r="6984" spans="1:4" x14ac:dyDescent="0.2">
      <c r="A6984">
        <v>6923</v>
      </c>
      <c r="B6984" s="1831">
        <f>'Expenditures 15-22'!K86</f>
        <v>123030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123030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38299</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54807</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21458</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21458</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4226</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4226</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12615</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12615</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38299</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38299</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38299</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38299</v>
      </c>
      <c r="D7224" s="2" t="str">
        <f t="shared" si="111"/>
        <v>Error?</v>
      </c>
    </row>
    <row r="7225" spans="1:4" x14ac:dyDescent="0.2">
      <c r="A7225">
        <v>7164</v>
      </c>
      <c r="B7225" s="1831">
        <f>'Expenditures 15-22'!K343</f>
        <v>16508</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132507</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1995</v>
      </c>
    </row>
    <row r="7641" spans="1:6" x14ac:dyDescent="0.2">
      <c r="A7641" s="126">
        <f t="shared" si="125"/>
        <v>7580</v>
      </c>
      <c r="B7641" s="1832"/>
      <c r="D7641" s="2" t="str">
        <f t="shared" si="124"/>
        <v>OK</v>
      </c>
      <c r="E7641" s="4" t="s">
        <v>1995</v>
      </c>
    </row>
    <row r="7642" spans="1:6" x14ac:dyDescent="0.2">
      <c r="A7642" s="126">
        <f t="shared" si="125"/>
        <v>7581</v>
      </c>
      <c r="B7642" s="1832"/>
      <c r="D7642" s="2" t="str">
        <f t="shared" si="124"/>
        <v>OK</v>
      </c>
      <c r="E7642" s="4" t="s">
        <v>1995</v>
      </c>
    </row>
    <row r="7643" spans="1:6" x14ac:dyDescent="0.2">
      <c r="A7643" s="126">
        <f t="shared" si="125"/>
        <v>7582</v>
      </c>
      <c r="B7643" s="1832"/>
      <c r="D7643" s="2" t="str">
        <f t="shared" si="124"/>
        <v>OK</v>
      </c>
      <c r="E7643" s="4" t="s">
        <v>1995</v>
      </c>
    </row>
    <row r="7644" spans="1:6" x14ac:dyDescent="0.2">
      <c r="A7644" s="126">
        <f t="shared" si="125"/>
        <v>7583</v>
      </c>
      <c r="B7644" s="1832"/>
      <c r="D7644" s="2" t="str">
        <f t="shared" si="124"/>
        <v>OK</v>
      </c>
      <c r="E7644" s="4" t="s">
        <v>1995</v>
      </c>
    </row>
    <row r="7645" spans="1:6" x14ac:dyDescent="0.2">
      <c r="A7645" s="126">
        <f t="shared" si="125"/>
        <v>7584</v>
      </c>
      <c r="B7645" s="1832"/>
      <c r="D7645" s="2" t="str">
        <f t="shared" si="124"/>
        <v>OK</v>
      </c>
      <c r="E7645" s="4" t="s">
        <v>1995</v>
      </c>
    </row>
    <row r="7646" spans="1:6" x14ac:dyDescent="0.2">
      <c r="A7646" s="126">
        <f t="shared" si="125"/>
        <v>7585</v>
      </c>
      <c r="B7646" s="1832"/>
      <c r="D7646" s="2" t="str">
        <f t="shared" si="124"/>
        <v>OK</v>
      </c>
      <c r="E7646" s="4" t="s">
        <v>1995</v>
      </c>
    </row>
    <row r="7647" spans="1:6" x14ac:dyDescent="0.2">
      <c r="A7647" s="126">
        <f t="shared" si="125"/>
        <v>7586</v>
      </c>
      <c r="B7647" s="1832"/>
      <c r="D7647" s="2" t="str">
        <f t="shared" si="124"/>
        <v>OK</v>
      </c>
      <c r="E7647" s="4" t="s">
        <v>1995</v>
      </c>
    </row>
    <row r="7648" spans="1:6" x14ac:dyDescent="0.2">
      <c r="A7648" s="126">
        <f t="shared" si="125"/>
        <v>7587</v>
      </c>
      <c r="B7648" s="1832"/>
      <c r="D7648" s="2" t="str">
        <f t="shared" si="124"/>
        <v>OK</v>
      </c>
      <c r="E7648" s="4" t="s">
        <v>1995</v>
      </c>
    </row>
    <row r="7649" spans="1:5" x14ac:dyDescent="0.2">
      <c r="A7649" s="126">
        <f t="shared" si="125"/>
        <v>7588</v>
      </c>
      <c r="B7649" s="1832"/>
      <c r="D7649" s="2" t="str">
        <f t="shared" si="124"/>
        <v>OK</v>
      </c>
      <c r="E7649" s="4" t="s">
        <v>1995</v>
      </c>
    </row>
    <row r="7650" spans="1:5" x14ac:dyDescent="0.2">
      <c r="A7650" s="126">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3278</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40000</v>
      </c>
      <c r="D7748" s="2" t="str">
        <f t="shared" si="127"/>
        <v>Error?</v>
      </c>
      <c r="E7748" s="4" t="s">
        <v>1322</v>
      </c>
    </row>
    <row r="7749" spans="1:6" x14ac:dyDescent="0.2">
      <c r="A7749">
        <v>7688</v>
      </c>
      <c r="B7749" s="1831">
        <f>'Acct Summary 7-8'!D25</f>
        <v>55009</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14500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6">
        <v>7736</v>
      </c>
      <c r="B7797" s="1831"/>
      <c r="D7797" s="2" t="str">
        <f t="shared" si="127"/>
        <v>OK</v>
      </c>
      <c r="E7797" s="4" t="s">
        <v>1979</v>
      </c>
    </row>
    <row r="7798" spans="1:5" x14ac:dyDescent="0.2">
      <c r="A7798" s="126">
        <v>7737</v>
      </c>
      <c r="B7798" s="1831"/>
      <c r="D7798" s="2" t="str">
        <f t="shared" si="127"/>
        <v>OK</v>
      </c>
      <c r="E7798" s="4" t="s">
        <v>1979</v>
      </c>
    </row>
    <row r="7799" spans="1:5" x14ac:dyDescent="0.2">
      <c r="A7799" s="126">
        <v>7738</v>
      </c>
      <c r="B7799" s="1831"/>
      <c r="D7799" s="2" t="str">
        <f t="shared" si="127"/>
        <v>OK</v>
      </c>
      <c r="E7799" s="4" t="s">
        <v>1979</v>
      </c>
    </row>
    <row r="7800" spans="1:5" x14ac:dyDescent="0.2">
      <c r="A7800">
        <v>7739</v>
      </c>
      <c r="B7800" s="1831">
        <f>'Rest Tax Levies-Tort Im 25'!K23</f>
        <v>0</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329000</v>
      </c>
      <c r="D7817" s="2" t="str">
        <f t="shared" si="128"/>
        <v>Error?</v>
      </c>
      <c r="E7817" s="4" t="s">
        <v>1966</v>
      </c>
    </row>
    <row r="7818" spans="1:5" x14ac:dyDescent="0.2">
      <c r="A7818">
        <v>7757</v>
      </c>
      <c r="B7818" s="1831">
        <f>'PCTC-OEPP 27-28'!F172</f>
        <v>113241</v>
      </c>
      <c r="D7818" s="2" t="str">
        <f t="shared" si="128"/>
        <v>Error?</v>
      </c>
      <c r="E7818" s="4" t="s">
        <v>1980</v>
      </c>
    </row>
    <row r="7819" spans="1:5" x14ac:dyDescent="0.2">
      <c r="A7819">
        <v>7758</v>
      </c>
      <c r="B7819" s="1831">
        <f>'PCTC-OEPP 27-28'!F173</f>
        <v>0</v>
      </c>
      <c r="D7819" s="2" t="str">
        <f t="shared" si="128"/>
        <v>Error?</v>
      </c>
      <c r="E7819" s="4" t="s">
        <v>1980</v>
      </c>
    </row>
    <row r="7820" spans="1:5" x14ac:dyDescent="0.2">
      <c r="A7820">
        <v>7759</v>
      </c>
      <c r="B7820" s="1831">
        <f>'ICR Computation 30'!E40</f>
        <v>-245036</v>
      </c>
      <c r="D7820" s="2" t="str">
        <f t="shared" si="128"/>
        <v>Error?</v>
      </c>
    </row>
    <row r="7821" spans="1:5" x14ac:dyDescent="0.2">
      <c r="A7821">
        <v>7760</v>
      </c>
      <c r="B7821" s="1831">
        <f>'ICR Computation 30'!G40</f>
        <v>-245036</v>
      </c>
      <c r="D7821" s="2" t="str">
        <f t="shared" si="128"/>
        <v>Error?</v>
      </c>
    </row>
    <row r="7822" spans="1:5" x14ac:dyDescent="0.2">
      <c r="A7822" s="1">
        <v>7761</v>
      </c>
      <c r="B7822" s="1831">
        <f>'PCTC-OEPP 27-28'!F14</f>
        <v>3412777</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0</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7151</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371092</v>
      </c>
      <c r="D7834" s="2" t="str">
        <f t="shared" si="129"/>
        <v>Error?</v>
      </c>
      <c r="E7834" s="4" t="s">
        <v>1998</v>
      </c>
    </row>
    <row r="7835" spans="1:5" x14ac:dyDescent="0.2">
      <c r="A7835">
        <v>7774</v>
      </c>
      <c r="B7835" s="1831">
        <f>'PCTC-OEPP 27-28'!F78</f>
        <v>3041685</v>
      </c>
      <c r="D7835" s="2" t="str">
        <f t="shared" si="129"/>
        <v>Error?</v>
      </c>
      <c r="E7835" s="4" t="s">
        <v>1998</v>
      </c>
    </row>
    <row r="7836" spans="1:5" x14ac:dyDescent="0.2">
      <c r="A7836" s="126">
        <v>7775</v>
      </c>
      <c r="B7836" s="1831"/>
      <c r="D7836" s="2" t="str">
        <f t="shared" si="129"/>
        <v>OK</v>
      </c>
      <c r="E7836" s="4" t="s">
        <v>2000</v>
      </c>
    </row>
    <row r="7837" spans="1:5" x14ac:dyDescent="0.2">
      <c r="A7837">
        <v>7776</v>
      </c>
      <c r="B7837" s="1831">
        <f>'PCTC-OEPP 27-28'!F80</f>
        <v>7966.6972236773181</v>
      </c>
      <c r="D7837" s="2" t="str">
        <f t="shared" si="129"/>
        <v>Error?</v>
      </c>
      <c r="E7837" s="4" t="s">
        <v>1998</v>
      </c>
    </row>
    <row r="7838" spans="1:5" x14ac:dyDescent="0.2">
      <c r="A7838">
        <v>7777</v>
      </c>
      <c r="B7838" s="1831">
        <f>'PCTC-OEPP 27-28'!F96</f>
        <v>8319</v>
      </c>
      <c r="D7838" s="2" t="str">
        <f t="shared" si="129"/>
        <v>Error?</v>
      </c>
      <c r="E7838" s="4" t="s">
        <v>1998</v>
      </c>
    </row>
    <row r="7839" spans="1:5" x14ac:dyDescent="0.2">
      <c r="A7839">
        <v>7778</v>
      </c>
      <c r="B7839" s="1831">
        <f>'PCTC-OEPP 27-28'!F102</f>
        <v>7948</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0</v>
      </c>
      <c r="D7841" s="2" t="str">
        <f t="shared" si="129"/>
        <v>Error?</v>
      </c>
      <c r="E7841" s="4" t="s">
        <v>1998</v>
      </c>
    </row>
    <row r="7842" spans="1:5" x14ac:dyDescent="0.2">
      <c r="A7842">
        <v>7781</v>
      </c>
      <c r="B7842" s="1831">
        <f>'PCTC-OEPP 27-28'!F106</f>
        <v>76402</v>
      </c>
      <c r="D7842" s="2" t="str">
        <f t="shared" si="129"/>
        <v>Error?</v>
      </c>
      <c r="E7842" s="4" t="s">
        <v>1998</v>
      </c>
    </row>
    <row r="7843" spans="1:5" x14ac:dyDescent="0.2">
      <c r="A7843">
        <v>7782</v>
      </c>
      <c r="B7843" s="1831">
        <f>'PCTC-OEPP 27-28'!F107</f>
        <v>0</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0</v>
      </c>
      <c r="D7846" s="2" t="str">
        <f t="shared" si="129"/>
        <v>Error?</v>
      </c>
      <c r="E7846" s="4" t="s">
        <v>1998</v>
      </c>
    </row>
    <row r="7847" spans="1:5" x14ac:dyDescent="0.2">
      <c r="A7847">
        <v>7786</v>
      </c>
      <c r="B7847" s="1831">
        <f>'PCTC-OEPP 27-28'!F112</f>
        <v>143323</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21973</v>
      </c>
      <c r="D7855" s="2" t="str">
        <f t="shared" si="129"/>
        <v>Error?</v>
      </c>
      <c r="E7855" s="4" t="s">
        <v>1998</v>
      </c>
    </row>
    <row r="7856" spans="1:5" x14ac:dyDescent="0.2">
      <c r="A7856">
        <v>7795</v>
      </c>
      <c r="B7856" s="1831">
        <f>'PCTC-OEPP 27-28'!F124</f>
        <v>17301</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165222</v>
      </c>
      <c r="D7858" s="2" t="str">
        <f t="shared" si="129"/>
        <v>Error?</v>
      </c>
      <c r="E7858" s="4" t="s">
        <v>1998</v>
      </c>
    </row>
    <row r="7859" spans="1:5" x14ac:dyDescent="0.2">
      <c r="A7859">
        <v>7798</v>
      </c>
      <c r="B7859" s="1831">
        <f>'PCTC-OEPP 27-28'!F127</f>
        <v>43399</v>
      </c>
      <c r="D7859" s="2" t="str">
        <f t="shared" si="129"/>
        <v>Error?</v>
      </c>
      <c r="E7859" s="4" t="s">
        <v>1998</v>
      </c>
    </row>
    <row r="7860" spans="1:5" x14ac:dyDescent="0.2">
      <c r="A7860">
        <v>7799</v>
      </c>
      <c r="B7860" s="1831">
        <f>'PCTC-OEPP 27-28'!F128</f>
        <v>10000</v>
      </c>
      <c r="D7860" s="2" t="str">
        <f t="shared" si="129"/>
        <v>Error?</v>
      </c>
      <c r="E7860" s="4" t="s">
        <v>1998</v>
      </c>
    </row>
    <row r="7861" spans="1:5" x14ac:dyDescent="0.2">
      <c r="A7861">
        <v>7800</v>
      </c>
      <c r="B7861" s="1831">
        <f>'PCTC-OEPP 27-28'!F129</f>
        <v>25322</v>
      </c>
      <c r="D7861" s="2" t="str">
        <f t="shared" si="129"/>
        <v>Error?</v>
      </c>
      <c r="E7861" s="4" t="s">
        <v>1998</v>
      </c>
    </row>
    <row r="7862" spans="1:5" x14ac:dyDescent="0.2">
      <c r="A7862">
        <v>7801</v>
      </c>
      <c r="B7862" s="1831">
        <f>'PCTC-OEPP 27-28'!F130</f>
        <v>7376</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0</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2397</v>
      </c>
      <c r="D7874" s="2" t="str">
        <f t="shared" si="129"/>
        <v>Error?</v>
      </c>
      <c r="E7874" s="4" t="s">
        <v>1998</v>
      </c>
    </row>
    <row r="7875" spans="1:5" x14ac:dyDescent="0.2">
      <c r="A7875">
        <v>7814</v>
      </c>
      <c r="B7875" s="1831">
        <f>'PCTC-OEPP 27-28'!F170</f>
        <v>8823</v>
      </c>
      <c r="D7875" s="2" t="str">
        <f t="shared" si="129"/>
        <v>Error?</v>
      </c>
      <c r="E7875" s="4" t="s">
        <v>1998</v>
      </c>
    </row>
    <row r="7876" spans="1:5" x14ac:dyDescent="0.2">
      <c r="A7876">
        <v>7815</v>
      </c>
      <c r="B7876" s="1831">
        <f>'PCTC-OEPP 27-28'!F171</f>
        <v>0</v>
      </c>
      <c r="D7876" s="2" t="str">
        <f t="shared" si="129"/>
        <v>Error?</v>
      </c>
      <c r="E7876" s="4" t="s">
        <v>1998</v>
      </c>
    </row>
    <row r="7877" spans="1:5" x14ac:dyDescent="0.2">
      <c r="A7877">
        <v>7816</v>
      </c>
      <c r="B7877" s="1831">
        <f>'PCTC-OEPP 27-28'!F175</f>
        <v>749903</v>
      </c>
      <c r="D7877" s="2" t="str">
        <f t="shared" si="129"/>
        <v>Error?</v>
      </c>
      <c r="E7877" s="4" t="s">
        <v>1998</v>
      </c>
    </row>
    <row r="7878" spans="1:5" x14ac:dyDescent="0.2">
      <c r="A7878">
        <v>7817</v>
      </c>
      <c r="B7878" s="1831">
        <f>'PCTC-OEPP 27-28'!F176</f>
        <v>2291782</v>
      </c>
      <c r="D7878" s="2" t="str">
        <f t="shared" si="129"/>
        <v>Error?</v>
      </c>
      <c r="E7878" s="4" t="s">
        <v>1998</v>
      </c>
    </row>
    <row r="7879" spans="1:5" x14ac:dyDescent="0.2">
      <c r="A7879">
        <v>7818</v>
      </c>
      <c r="B7879" s="1831">
        <f>'PCTC-OEPP 27-28'!F178</f>
        <v>2424289</v>
      </c>
      <c r="D7879" s="2" t="str">
        <f t="shared" si="129"/>
        <v>Error?</v>
      </c>
      <c r="E7879" s="4" t="s">
        <v>1998</v>
      </c>
    </row>
    <row r="7880" spans="1:5" x14ac:dyDescent="0.2">
      <c r="A7880">
        <v>7819</v>
      </c>
      <c r="B7880" s="1831">
        <f>'PCTC-OEPP 27-28'!F180</f>
        <v>6349.6306966998427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T41" sqref="T41"/>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35" t="str">
        <f>COVER!A17</f>
        <v xml:space="preserve"> Rome CCSD 2</v>
      </c>
      <c r="B7" s="2536"/>
      <c r="C7" s="2536"/>
      <c r="D7" s="2537"/>
      <c r="E7" s="2538">
        <f>COVER!A13</f>
        <v>13041002004</v>
      </c>
      <c r="F7" s="2539"/>
      <c r="G7" s="2545" t="str">
        <f>COVER!T23</f>
        <v>066-004957</v>
      </c>
      <c r="H7" s="2546"/>
      <c r="I7" s="2546"/>
      <c r="J7" s="2546"/>
      <c r="K7" s="2546"/>
      <c r="L7" s="2547"/>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48"/>
      <c r="B9" s="2549"/>
      <c r="C9" s="2549"/>
      <c r="D9" s="2549"/>
      <c r="E9" s="2549"/>
      <c r="F9" s="2550"/>
      <c r="G9" s="2518" t="str">
        <f>COVER!T13</f>
        <v>SUSAN J. LYONS, CPA, P.C.</v>
      </c>
      <c r="H9" s="2551"/>
      <c r="I9" s="2551"/>
      <c r="J9" s="2551"/>
      <c r="K9" s="2551"/>
      <c r="L9" s="2552"/>
    </row>
    <row r="10" spans="1:29" ht="13.5" customHeight="1" x14ac:dyDescent="0.2">
      <c r="A10" s="2524" t="str">
        <f>COVER!A38</f>
        <v>Stephen Phillips</v>
      </c>
      <c r="B10" s="2525"/>
      <c r="C10" s="2525"/>
      <c r="D10" s="2525"/>
      <c r="E10" s="2525"/>
      <c r="F10" s="2526"/>
      <c r="G10" s="2518" t="str">
        <f>COVER!T17</f>
        <v>5859 U.S. HIGHWAY 51</v>
      </c>
      <c r="H10" s="2519"/>
      <c r="I10" s="2519"/>
      <c r="J10" s="2519"/>
      <c r="K10" s="2519"/>
      <c r="L10" s="2520"/>
    </row>
    <row r="11" spans="1:29" ht="13.5" customHeight="1" x14ac:dyDescent="0.2">
      <c r="A11" s="962" t="s">
        <v>1502</v>
      </c>
      <c r="B11" s="963"/>
      <c r="C11" s="964"/>
      <c r="D11" s="969"/>
      <c r="E11" s="964"/>
      <c r="F11" s="968"/>
      <c r="G11" s="2518" t="str">
        <f>COVER!T19</f>
        <v>ODIN</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slyons1007@gmail.com</v>
      </c>
      <c r="J13" s="2531"/>
      <c r="K13" s="2531"/>
      <c r="L13" s="2532"/>
    </row>
    <row r="14" spans="1:29" ht="13.5" customHeight="1" x14ac:dyDescent="0.2">
      <c r="A14" s="2518" t="str">
        <f>COVER!A19</f>
        <v>233 WEST SOUTH</v>
      </c>
      <c r="B14" s="2519"/>
      <c r="C14" s="2519"/>
      <c r="D14" s="2519"/>
      <c r="E14" s="2519"/>
      <c r="F14" s="2520"/>
      <c r="G14" s="973" t="s">
        <v>1175</v>
      </c>
      <c r="H14" s="971"/>
      <c r="I14" s="971"/>
      <c r="J14" s="971"/>
      <c r="K14" s="971"/>
      <c r="L14" s="972"/>
    </row>
    <row r="15" spans="1:29" ht="13.5" customHeight="1" x14ac:dyDescent="0.2">
      <c r="A15" s="2518" t="str">
        <f>COVER!A21</f>
        <v>DIX</v>
      </c>
      <c r="B15" s="2519"/>
      <c r="C15" s="2519"/>
      <c r="D15" s="2519"/>
      <c r="E15" s="2519"/>
      <c r="F15" s="2520"/>
      <c r="G15" s="2515" t="str">
        <f>COVER!T15</f>
        <v>SUSAN J. LYONS</v>
      </c>
      <c r="H15" s="2516"/>
      <c r="I15" s="2516"/>
      <c r="J15" s="2516"/>
      <c r="K15" s="2516"/>
      <c r="L15" s="2517"/>
    </row>
    <row r="16" spans="1:29" ht="12.2" customHeight="1" x14ac:dyDescent="0.2">
      <c r="A16" s="2541">
        <f>COVER!A25</f>
        <v>62830</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3" t="s">
        <v>1174</v>
      </c>
      <c r="H17" s="971"/>
      <c r="I17" s="971"/>
      <c r="J17" s="971"/>
      <c r="K17" s="975" t="s">
        <v>1173</v>
      </c>
      <c r="L17" s="968"/>
      <c r="M17" s="961"/>
    </row>
    <row r="18" spans="1:13" ht="12.2" customHeight="1" x14ac:dyDescent="0.2">
      <c r="A18" s="2524"/>
      <c r="B18" s="2525"/>
      <c r="C18" s="2525"/>
      <c r="D18" s="2525"/>
      <c r="E18" s="2525"/>
      <c r="F18" s="2526"/>
      <c r="G18" s="2535" t="str">
        <f>COVER!T21</f>
        <v>618-267-3213</v>
      </c>
      <c r="H18" s="2536"/>
      <c r="I18" s="2536"/>
      <c r="J18" s="2536"/>
      <c r="K18" s="2535">
        <f>COVER!X21</f>
        <v>0</v>
      </c>
      <c r="L18" s="2540"/>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7" t="str">
        <f>'Single Audit Cover'!A7</f>
        <v xml:space="preserve"> Rome CCSD 2</v>
      </c>
      <c r="B1" s="2558"/>
      <c r="C1" s="2558"/>
      <c r="D1" s="2558"/>
    </row>
    <row r="2" spans="1:11" s="990" customFormat="1" ht="12.75" x14ac:dyDescent="0.2">
      <c r="A2" s="2559">
        <f>'Single Audit Cover'!E7</f>
        <v>13041002004</v>
      </c>
      <c r="B2" s="2560"/>
      <c r="C2" s="2560"/>
      <c r="D2" s="2560"/>
    </row>
    <row r="3" spans="1:11" s="990" customFormat="1" ht="12.75" x14ac:dyDescent="0.2">
      <c r="A3" s="2557" t="s">
        <v>1496</v>
      </c>
      <c r="B3" s="2558"/>
      <c r="C3" s="2558"/>
      <c r="D3" s="2558"/>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2" t="str">
        <f>'Single Audit Cover'!A7</f>
        <v xml:space="preserve"> Rome CCSD 2</v>
      </c>
      <c r="B1" s="2562"/>
      <c r="C1" s="2562"/>
      <c r="D1" s="2562"/>
      <c r="E1" s="2562"/>
    </row>
    <row r="2" spans="1:5" x14ac:dyDescent="0.2">
      <c r="A2" s="2563">
        <f>'Single Audit Cover'!E7</f>
        <v>13041002004</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5" t="s">
        <v>1232</v>
      </c>
    </row>
    <row r="10" spans="1:5" x14ac:dyDescent="0.2">
      <c r="A10" s="1036" t="s">
        <v>1231</v>
      </c>
      <c r="B10" s="1037" t="s">
        <v>1230</v>
      </c>
      <c r="C10" s="1037"/>
      <c r="D10" s="1038">
        <f>SUM('Acct Summary 7-8'!C7:K7)</f>
        <v>279840</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18030</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-8823</v>
      </c>
    </row>
    <row r="19" spans="1:4" ht="13.5" thickBot="1" x14ac:dyDescent="0.25">
      <c r="A19" s="1040" t="s">
        <v>1224</v>
      </c>
      <c r="D19" s="1041">
        <f>SUM(D10:D17)</f>
        <v>289047</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4"/>
      <c r="B24" s="2564"/>
      <c r="D24" s="1043"/>
    </row>
    <row r="25" spans="1:4" x14ac:dyDescent="0.2">
      <c r="A25" s="2561"/>
      <c r="B25" s="2561"/>
      <c r="D25" s="1043"/>
    </row>
    <row r="26" spans="1:4" x14ac:dyDescent="0.2">
      <c r="A26" s="2561"/>
      <c r="B26" s="2561"/>
      <c r="D26" s="1043"/>
    </row>
    <row r="27" spans="1:4" x14ac:dyDescent="0.2">
      <c r="A27" s="2561"/>
      <c r="B27" s="2561"/>
      <c r="D27" s="1043"/>
    </row>
    <row r="28" spans="1:4" x14ac:dyDescent="0.2">
      <c r="A28" s="2561"/>
      <c r="B28" s="2561"/>
      <c r="D28" s="1043"/>
    </row>
    <row r="29" spans="1:4" x14ac:dyDescent="0.2">
      <c r="A29" s="2561"/>
      <c r="B29" s="2561"/>
      <c r="D29" s="1043"/>
    </row>
    <row r="30" spans="1:4" x14ac:dyDescent="0.2">
      <c r="A30" s="2561"/>
      <c r="B30" s="2561"/>
      <c r="D30" s="1043"/>
    </row>
    <row r="32" spans="1:4" x14ac:dyDescent="0.2">
      <c r="A32" s="1035" t="s">
        <v>1222</v>
      </c>
      <c r="D32" s="1038">
        <f>SUM(D19:D30)</f>
        <v>289047</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561"/>
      <c r="B40" s="2561"/>
      <c r="D40" s="1043"/>
    </row>
    <row r="41" spans="1:4" x14ac:dyDescent="0.2">
      <c r="A41" s="2561"/>
      <c r="B41" s="2561"/>
      <c r="D41" s="1046"/>
    </row>
    <row r="42" spans="1:4" x14ac:dyDescent="0.2">
      <c r="A42" s="2561"/>
      <c r="B42" s="2561"/>
      <c r="D42" s="1046"/>
    </row>
    <row r="43" spans="1:4" x14ac:dyDescent="0.2">
      <c r="A43" s="2561"/>
      <c r="B43" s="2561"/>
      <c r="D43" s="1046"/>
    </row>
    <row r="44" spans="1:4" x14ac:dyDescent="0.2">
      <c r="A44" s="2561"/>
      <c r="B44" s="2561"/>
      <c r="D44" s="1046"/>
    </row>
    <row r="45" spans="1:4" x14ac:dyDescent="0.2">
      <c r="A45" s="2561"/>
      <c r="B45" s="2561"/>
      <c r="D45" s="1046"/>
    </row>
    <row r="47" spans="1:4" x14ac:dyDescent="0.2">
      <c r="B47" s="1047" t="s">
        <v>1216</v>
      </c>
      <c r="C47" s="1047"/>
      <c r="D47" s="1048">
        <f>SUM(D35:D45)</f>
        <v>0</v>
      </c>
    </row>
    <row r="49" spans="2:4" x14ac:dyDescent="0.2">
      <c r="B49" s="1047" t="s">
        <v>1215</v>
      </c>
      <c r="C49" s="1047"/>
      <c r="D49" s="1048">
        <f>D32-D47</f>
        <v>289047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Rome CCSD 2</v>
      </c>
      <c r="C1" s="2566"/>
      <c r="D1" s="2566"/>
      <c r="E1" s="2566"/>
      <c r="F1" s="2566"/>
      <c r="G1" s="2566"/>
      <c r="H1" s="2566"/>
      <c r="I1" s="2566"/>
      <c r="J1" s="2566"/>
      <c r="K1" s="2566"/>
      <c r="L1" s="2566"/>
      <c r="M1" s="2566"/>
    </row>
    <row r="2" spans="2:14" ht="15" x14ac:dyDescent="0.2">
      <c r="B2" s="2567">
        <f>'Single Audit Cover'!E7</f>
        <v>13041002004</v>
      </c>
      <c r="C2" s="2567"/>
      <c r="D2" s="2567"/>
      <c r="E2" s="2567"/>
      <c r="F2" s="2567"/>
      <c r="G2" s="2567"/>
      <c r="H2" s="2567"/>
      <c r="I2" s="2567"/>
      <c r="J2" s="2567"/>
      <c r="K2" s="2567"/>
      <c r="L2" s="2567"/>
      <c r="M2" s="2567"/>
      <c r="N2" s="1077"/>
    </row>
    <row r="3" spans="2:14" ht="15" x14ac:dyDescent="0.2">
      <c r="B3" s="2568" t="s">
        <v>1208</v>
      </c>
      <c r="C3" s="2568"/>
      <c r="D3" s="2568"/>
      <c r="E3" s="2568"/>
      <c r="F3" s="2568"/>
      <c r="G3" s="2568"/>
      <c r="H3" s="2568"/>
      <c r="I3" s="2568"/>
      <c r="J3" s="2568"/>
      <c r="K3" s="2568"/>
      <c r="L3" s="2568"/>
      <c r="M3" s="2568"/>
      <c r="N3" s="1077"/>
    </row>
    <row r="4" spans="2:14" ht="15" x14ac:dyDescent="0.2">
      <c r="B4" s="2569" t="str">
        <f>'Single Audit Cover'!A4</f>
        <v>Year Ending June 30, 2020</v>
      </c>
      <c r="C4" s="2569"/>
      <c r="D4" s="2569"/>
      <c r="E4" s="2569"/>
      <c r="F4" s="2569"/>
      <c r="G4" s="2569"/>
      <c r="H4" s="2569"/>
      <c r="I4" s="2569"/>
      <c r="J4" s="2569"/>
      <c r="K4" s="2569"/>
      <c r="L4" s="2569"/>
      <c r="M4" s="2569"/>
      <c r="N4" s="1077"/>
    </row>
    <row r="5" spans="2:14" x14ac:dyDescent="0.2">
      <c r="H5" s="1913"/>
      <c r="J5" s="1913"/>
    </row>
    <row r="6" spans="2:14" x14ac:dyDescent="0.2">
      <c r="B6" s="1078"/>
      <c r="C6" s="1079"/>
      <c r="D6" s="1080" t="s">
        <v>1254</v>
      </c>
      <c r="E6" s="1081" t="s">
        <v>524</v>
      </c>
      <c r="F6" s="1082"/>
      <c r="G6" s="1083" t="s">
        <v>1711</v>
      </c>
      <c r="H6" s="1081"/>
      <c r="I6" s="1081"/>
      <c r="J6" s="1914"/>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2" t="str">
        <f>"7/1/"&amp;MID('AFR20'!$E$2,3,2)-2&amp;"-6/30/"&amp;MID('AFR20'!$E$2,3,2)-1</f>
        <v>7/1/18-6/30/19</v>
      </c>
      <c r="F9" s="1912" t="str">
        <f>"7/1/"&amp;MID('AFR20'!$E$2,3,2)-1&amp;"-6/30/"&amp;MID('AFR20'!$E$2,3,2)</f>
        <v>7/1/19-6/30/20</v>
      </c>
      <c r="G9" s="1912" t="str">
        <f>"7/1/"&amp;MID('AFR20'!$E$2,3,2)-2&amp;"-6/30/"&amp;MID('AFR20'!$E$2,3,2)-1</f>
        <v>7/1/18-6/30/19</v>
      </c>
      <c r="H9" s="1092" t="s">
        <v>1565</v>
      </c>
      <c r="I9" s="1912"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Rome CCSD 2</v>
      </c>
      <c r="B1" s="2579"/>
      <c r="C1" s="2579"/>
      <c r="D1" s="2579"/>
      <c r="E1" s="2579"/>
      <c r="F1" s="2579"/>
    </row>
    <row r="2" spans="1:7" ht="13.5" customHeight="1" x14ac:dyDescent="0.2">
      <c r="A2" s="2567">
        <f>'Single Audit Cover'!E7</f>
        <v>13041002004</v>
      </c>
      <c r="B2" s="2567"/>
      <c r="C2" s="2567"/>
      <c r="D2" s="2567"/>
      <c r="E2" s="2567"/>
      <c r="F2" s="2567"/>
      <c r="G2" s="1050"/>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1" t="s">
        <v>1705</v>
      </c>
      <c r="C6" s="295"/>
      <c r="D6" s="295"/>
    </row>
    <row r="7" spans="1:7" ht="60.95" customHeight="1" x14ac:dyDescent="0.2">
      <c r="A7" s="2578" t="s">
        <v>1706</v>
      </c>
      <c r="B7" s="2578"/>
      <c r="C7" s="2578"/>
      <c r="D7" s="2578"/>
      <c r="E7" s="2578"/>
      <c r="F7" s="2578"/>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78" t="s">
        <v>1708</v>
      </c>
      <c r="B13" s="2578"/>
      <c r="C13" s="2578"/>
      <c r="D13" s="2578"/>
      <c r="E13" s="2578"/>
      <c r="F13" s="2578"/>
    </row>
    <row r="14" spans="1:7" ht="9.75" customHeight="1" x14ac:dyDescent="0.2">
      <c r="C14" s="1035"/>
      <c r="D14" s="1035"/>
    </row>
    <row r="15" spans="1:7" ht="13.5" customHeight="1" x14ac:dyDescent="0.2">
      <c r="C15" s="1475" t="s">
        <v>1259</v>
      </c>
      <c r="D15" s="2576" t="s">
        <v>1258</v>
      </c>
      <c r="E15" s="2576"/>
      <c r="F15" s="2576"/>
    </row>
    <row r="16" spans="1:7" ht="13.5" customHeight="1" x14ac:dyDescent="0.2">
      <c r="A16" s="1057"/>
      <c r="B16" s="1051" t="s">
        <v>1257</v>
      </c>
      <c r="C16" s="1475" t="s">
        <v>1256</v>
      </c>
      <c r="D16" s="2577" t="s">
        <v>1571</v>
      </c>
      <c r="E16" s="2577"/>
      <c r="F16" s="2577"/>
    </row>
    <row r="17" spans="1:6" ht="20.45" customHeight="1" x14ac:dyDescent="0.2">
      <c r="A17" s="1058"/>
      <c r="B17" s="1059"/>
      <c r="C17" s="1060"/>
      <c r="D17" s="2571"/>
      <c r="E17" s="2571"/>
      <c r="F17" s="2571"/>
    </row>
    <row r="18" spans="1:6" ht="20.65" customHeight="1" x14ac:dyDescent="0.2">
      <c r="A18" s="1058"/>
      <c r="B18" s="1059"/>
      <c r="C18" s="1060"/>
      <c r="D18" s="2571"/>
      <c r="E18" s="2571"/>
      <c r="F18" s="2571"/>
    </row>
    <row r="19" spans="1:6" ht="20.65" customHeight="1" x14ac:dyDescent="0.2">
      <c r="A19" s="1058"/>
      <c r="B19" s="1059"/>
      <c r="C19" s="1060"/>
      <c r="D19" s="2571"/>
      <c r="E19" s="2571"/>
      <c r="F19" s="2571"/>
    </row>
    <row r="20" spans="1:6" ht="20.65" customHeight="1" x14ac:dyDescent="0.2">
      <c r="A20" s="1058"/>
      <c r="B20" s="1059"/>
      <c r="C20" s="1060"/>
      <c r="D20" s="2571"/>
      <c r="E20" s="2571"/>
      <c r="F20" s="2571"/>
    </row>
    <row r="21" spans="1:6" ht="20.65" customHeight="1" x14ac:dyDescent="0.2">
      <c r="A21" s="1058"/>
      <c r="B21" s="1059"/>
      <c r="C21" s="1060"/>
      <c r="D21" s="2571"/>
      <c r="E21" s="2571"/>
      <c r="F21" s="2571"/>
    </row>
    <row r="22" spans="1:6" ht="20.65" customHeight="1" x14ac:dyDescent="0.2">
      <c r="A22" s="1058"/>
      <c r="B22" s="1059"/>
      <c r="C22" s="1060"/>
      <c r="D22" s="2571"/>
      <c r="E22" s="2571"/>
      <c r="F22" s="2571"/>
    </row>
    <row r="23" spans="1:6" ht="20.65" customHeight="1" x14ac:dyDescent="0.2">
      <c r="A23" s="1058"/>
      <c r="B23" s="1059"/>
      <c r="C23" s="1060"/>
      <c r="D23" s="2571"/>
      <c r="E23" s="2571"/>
      <c r="F23" s="2571"/>
    </row>
    <row r="24" spans="1:6" ht="20.65" customHeight="1" x14ac:dyDescent="0.2">
      <c r="A24" s="1058"/>
      <c r="B24" s="1059"/>
      <c r="C24" s="1060"/>
      <c r="D24" s="2571"/>
      <c r="E24" s="2571"/>
      <c r="F24" s="2571"/>
    </row>
    <row r="25" spans="1:6" ht="20.65" customHeight="1" x14ac:dyDescent="0.2">
      <c r="A25" s="1058"/>
      <c r="B25" s="1059"/>
      <c r="C25" s="1060"/>
      <c r="D25" s="2571"/>
      <c r="E25" s="2571"/>
      <c r="F25" s="2571"/>
    </row>
    <row r="26" spans="1:6" ht="20.65" customHeight="1" x14ac:dyDescent="0.2">
      <c r="A26" s="1058"/>
      <c r="B26" s="1059"/>
      <c r="C26" s="1060"/>
      <c r="D26" s="2571"/>
      <c r="E26" s="2571"/>
      <c r="F26" s="2571"/>
    </row>
    <row r="27" spans="1:6" ht="20.65" customHeight="1" x14ac:dyDescent="0.2">
      <c r="A27" s="1058"/>
      <c r="B27" s="1059"/>
      <c r="C27" s="1060"/>
      <c r="D27" s="2571"/>
      <c r="E27" s="2571"/>
      <c r="F27" s="2571"/>
    </row>
    <row r="28" spans="1:6" ht="20.65" customHeight="1" x14ac:dyDescent="0.2">
      <c r="A28" s="1058"/>
      <c r="B28" s="1059"/>
      <c r="C28" s="1060"/>
      <c r="D28" s="2571"/>
      <c r="E28" s="2571"/>
      <c r="F28" s="2571"/>
    </row>
    <row r="29" spans="1:6" ht="20.65" customHeight="1" x14ac:dyDescent="0.2">
      <c r="A29" s="1058"/>
      <c r="B29" s="1059"/>
      <c r="C29" s="1060"/>
      <c r="D29" s="2571"/>
      <c r="E29" s="2571"/>
      <c r="F29" s="2571"/>
    </row>
    <row r="30" spans="1:6" ht="12" customHeight="1" x14ac:dyDescent="0.2">
      <c r="A30" s="306"/>
      <c r="B30" s="306"/>
      <c r="C30" s="1232"/>
      <c r="D30" s="1525"/>
      <c r="E30" s="1061"/>
    </row>
    <row r="31" spans="1:6" ht="12" customHeight="1" x14ac:dyDescent="0.2">
      <c r="A31" s="1062" t="s">
        <v>1532</v>
      </c>
      <c r="B31" s="306"/>
      <c r="C31" s="1232"/>
      <c r="D31" s="1525"/>
      <c r="E31" s="1061"/>
    </row>
    <row r="32" spans="1:6" ht="30" customHeight="1" x14ac:dyDescent="0.2">
      <c r="A32" s="2572" t="s">
        <v>1709</v>
      </c>
      <c r="B32" s="2572"/>
      <c r="C32" s="2572"/>
      <c r="D32" s="2572"/>
      <c r="E32" s="2572"/>
      <c r="F32" s="2572"/>
    </row>
    <row r="33" spans="1:6" ht="13.5" customHeight="1" x14ac:dyDescent="0.2">
      <c r="A33" s="306" t="s">
        <v>1417</v>
      </c>
      <c r="B33" s="306"/>
      <c r="C33" s="1063">
        <v>0</v>
      </c>
      <c r="D33" s="1525"/>
      <c r="E33" s="1061"/>
    </row>
    <row r="34" spans="1:6" ht="13.5" customHeight="1" x14ac:dyDescent="0.2">
      <c r="A34" s="306" t="s">
        <v>1811</v>
      </c>
      <c r="B34" s="306"/>
      <c r="C34" s="1064">
        <v>0</v>
      </c>
      <c r="D34" s="1525" t="s">
        <v>1572</v>
      </c>
      <c r="E34" s="2573">
        <f>+C33+C34</f>
        <v>0</v>
      </c>
      <c r="F34" s="2574"/>
    </row>
    <row r="35" spans="1:6" ht="12" customHeight="1" x14ac:dyDescent="0.2">
      <c r="A35" s="306"/>
      <c r="B35" s="306"/>
      <c r="C35" s="1526"/>
      <c r="D35" s="1525"/>
      <c r="E35" s="1065"/>
      <c r="F35" s="1066"/>
    </row>
    <row r="36" spans="1:6" ht="13.5" customHeight="1" x14ac:dyDescent="0.2">
      <c r="A36" s="1062" t="s">
        <v>1533</v>
      </c>
      <c r="B36" s="306"/>
      <c r="C36" s="1232"/>
      <c r="D36" s="1525"/>
      <c r="E36" s="1061"/>
    </row>
    <row r="37" spans="1:6" ht="14.25" customHeight="1" x14ac:dyDescent="0.2">
      <c r="A37" s="306" t="s">
        <v>1467</v>
      </c>
      <c r="B37" s="306"/>
      <c r="C37" s="1527"/>
      <c r="D37" s="1525"/>
      <c r="E37" s="1061"/>
    </row>
    <row r="38" spans="1:6" ht="14.25" customHeight="1" x14ac:dyDescent="0.2">
      <c r="A38" s="306"/>
      <c r="B38" s="306" t="s">
        <v>1418</v>
      </c>
      <c r="C38" s="1067"/>
      <c r="D38" s="1525"/>
      <c r="E38" s="1061"/>
    </row>
    <row r="39" spans="1:6" ht="14.25" customHeight="1" x14ac:dyDescent="0.2">
      <c r="A39" s="306"/>
      <c r="B39" s="306" t="s">
        <v>1419</v>
      </c>
      <c r="C39" s="1067"/>
      <c r="D39" s="1525"/>
      <c r="E39" s="1061"/>
    </row>
    <row r="40" spans="1:6" ht="14.25" customHeight="1" x14ac:dyDescent="0.2">
      <c r="A40" s="306"/>
      <c r="B40" s="306" t="s">
        <v>1420</v>
      </c>
      <c r="C40" s="1067"/>
      <c r="D40" s="1525"/>
      <c r="E40" s="1061"/>
    </row>
    <row r="41" spans="1:6" ht="14.25" customHeight="1" x14ac:dyDescent="0.2">
      <c r="A41" s="306"/>
      <c r="B41" s="306" t="s">
        <v>1421</v>
      </c>
      <c r="C41" s="1067"/>
      <c r="D41" s="1525"/>
      <c r="E41" s="1061"/>
    </row>
    <row r="42" spans="1:6" ht="14.25" customHeight="1" x14ac:dyDescent="0.2">
      <c r="A42" s="306" t="s">
        <v>1422</v>
      </c>
      <c r="B42" s="306"/>
      <c r="C42" s="1523"/>
      <c r="D42" s="1525"/>
      <c r="E42" s="1061"/>
    </row>
    <row r="43" spans="1:6" ht="14.25" customHeight="1" x14ac:dyDescent="0.2">
      <c r="A43" s="306" t="s">
        <v>1423</v>
      </c>
      <c r="B43" s="306"/>
      <c r="C43" s="1068"/>
      <c r="D43" s="1525"/>
      <c r="E43" s="1061"/>
    </row>
    <row r="44" spans="1:6" ht="14.25" customHeight="1" x14ac:dyDescent="0.2">
      <c r="A44" s="306"/>
      <c r="B44" s="306"/>
      <c r="C44" s="1527" t="s">
        <v>1424</v>
      </c>
      <c r="D44" s="1525"/>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75" t="s">
        <v>1573</v>
      </c>
      <c r="C49" s="2575"/>
      <c r="D49" s="2575"/>
      <c r="E49" s="1167"/>
    </row>
    <row r="50" spans="1:5" s="1075" customFormat="1" ht="3.75" customHeight="1" x14ac:dyDescent="0.2">
      <c r="A50" s="1074"/>
      <c r="B50" s="1474"/>
      <c r="C50" s="1474"/>
      <c r="D50" s="1474"/>
      <c r="E50" s="1167"/>
    </row>
    <row r="51" spans="1:5" s="1075" customFormat="1" ht="20.25" customHeight="1" x14ac:dyDescent="0.2">
      <c r="A51" s="1076">
        <v>6</v>
      </c>
      <c r="B51" s="2570" t="s">
        <v>1534</v>
      </c>
      <c r="C51" s="2570"/>
      <c r="D51" s="2570"/>
    </row>
    <row r="52" spans="1:5" ht="14.25" customHeight="1" x14ac:dyDescent="0.2">
      <c r="A52" s="1076"/>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Normal="100" workbookViewId="0">
      <selection activeCell="D119" sqref="D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2077</v>
      </c>
      <c r="C53" s="174">
        <v>22</v>
      </c>
      <c r="D53" s="242" t="s">
        <v>1445</v>
      </c>
      <c r="E53" s="243"/>
      <c r="F53" s="244"/>
      <c r="G53" s="244" t="s">
        <v>1444</v>
      </c>
      <c r="H53" s="245">
        <v>36161</v>
      </c>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t="s">
        <v>2062</v>
      </c>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1989</v>
      </c>
      <c r="B85" s="2183"/>
      <c r="C85" s="2183"/>
      <c r="D85" s="2184"/>
      <c r="E85" s="1543"/>
      <c r="F85" s="1543"/>
      <c r="G85" s="1543"/>
      <c r="H85" s="1543"/>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185" t="s">
        <v>1989</v>
      </c>
      <c r="B88" s="2186"/>
      <c r="C88" s="2186"/>
      <c r="D88" s="2187"/>
      <c r="E88" s="1543"/>
      <c r="F88" s="1543"/>
      <c r="G88" s="1543"/>
      <c r="H88" s="1543"/>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3"/>
      <c r="J90" s="172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2052</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t="s">
        <v>2103</v>
      </c>
      <c r="E118" s="300"/>
      <c r="F118" s="302"/>
      <c r="G118" s="1472"/>
      <c r="H118" s="300"/>
      <c r="I118" s="282"/>
    </row>
    <row r="119" spans="1:9" s="176" customFormat="1" ht="11.25" customHeight="1" x14ac:dyDescent="0.2">
      <c r="A119" s="303"/>
      <c r="B119" s="303"/>
      <c r="C119" s="304"/>
      <c r="D119" s="305" t="s">
        <v>358</v>
      </c>
      <c r="E119" s="288"/>
      <c r="F119" s="1471" t="s">
        <v>1873</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8" right="0.16" top="0.5" bottom="0.33" header="0.5" footer="0.17"/>
  <pageSetup scale="75" firstPageNumber="2" orientation="portrait" useFirstPageNumber="1" r:id="rId1"/>
  <headerFooter differentOddEven="1" alignWithMargins="0">
    <oddHeader>&amp;C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Rome CCSD 2</v>
      </c>
      <c r="C1" s="2594"/>
      <c r="D1" s="2594"/>
      <c r="E1" s="2594"/>
      <c r="F1" s="2594"/>
      <c r="G1" s="2594"/>
      <c r="H1" s="2594"/>
      <c r="I1" s="2594"/>
      <c r="J1" s="1177"/>
    </row>
    <row r="2" spans="2:10" s="295" customFormat="1" ht="12.75" customHeight="1" x14ac:dyDescent="0.2">
      <c r="B2" s="2595">
        <f>'Single Audit Cover'!E7</f>
        <v>13041002004</v>
      </c>
      <c r="C2" s="2596"/>
      <c r="D2" s="2596"/>
      <c r="E2" s="2596"/>
      <c r="F2" s="2596"/>
      <c r="G2" s="2596"/>
      <c r="H2" s="2596"/>
      <c r="I2" s="2596"/>
      <c r="J2" s="1177"/>
    </row>
    <row r="3" spans="2:10" s="295" customFormat="1" ht="12.75" customHeight="1" x14ac:dyDescent="0.2">
      <c r="B3" s="2597" t="s">
        <v>1274</v>
      </c>
      <c r="C3" s="2598"/>
      <c r="D3" s="2598"/>
      <c r="E3" s="2598"/>
      <c r="F3" s="2598"/>
      <c r="G3" s="2598"/>
      <c r="H3" s="2598"/>
      <c r="I3" s="2598"/>
      <c r="J3" s="1178"/>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97" t="s">
        <v>1273</v>
      </c>
      <c r="C7" s="2598"/>
      <c r="D7" s="2598"/>
      <c r="E7" s="2598"/>
      <c r="F7" s="2598"/>
      <c r="G7" s="2598"/>
      <c r="H7" s="2598"/>
      <c r="I7" s="2598"/>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599"/>
      <c r="D11" s="2599"/>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3"/>
    </row>
    <row r="29" spans="2:9" s="295" customFormat="1" ht="12.75" customHeight="1" x14ac:dyDescent="0.2">
      <c r="B29" s="1137" t="s">
        <v>1264</v>
      </c>
      <c r="C29" s="1057"/>
      <c r="D29" s="2600"/>
      <c r="E29" s="2600"/>
      <c r="F29" s="2600"/>
      <c r="G29" s="2600"/>
      <c r="H29" s="2600"/>
      <c r="I29" s="2600"/>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601" t="s">
        <v>1728</v>
      </c>
      <c r="D37" s="2602"/>
      <c r="E37" s="2602"/>
      <c r="F37" s="2603"/>
      <c r="G37" s="2601" t="s">
        <v>1575</v>
      </c>
      <c r="H37" s="2602"/>
      <c r="I37" s="2603"/>
    </row>
    <row r="38" spans="2:9" ht="16.5" customHeight="1" x14ac:dyDescent="0.2">
      <c r="B38" s="1199"/>
      <c r="C38" s="2589"/>
      <c r="D38" s="2590"/>
      <c r="E38" s="2590"/>
      <c r="F38" s="2591"/>
      <c r="G38" s="2604"/>
      <c r="H38" s="2605"/>
      <c r="I38" s="2606"/>
    </row>
    <row r="39" spans="2:9" ht="16.5" customHeight="1" x14ac:dyDescent="0.2">
      <c r="B39" s="1199"/>
      <c r="C39" s="2589"/>
      <c r="D39" s="2590"/>
      <c r="E39" s="2590"/>
      <c r="F39" s="2591"/>
      <c r="G39" s="2592"/>
      <c r="H39" s="2592"/>
      <c r="I39" s="2592"/>
    </row>
    <row r="40" spans="2:9" ht="16.5" customHeight="1" x14ac:dyDescent="0.2">
      <c r="B40" s="1199"/>
      <c r="C40" s="2589"/>
      <c r="D40" s="2590"/>
      <c r="E40" s="2590"/>
      <c r="F40" s="2591"/>
      <c r="G40" s="2592"/>
      <c r="H40" s="2592"/>
      <c r="I40" s="2592"/>
    </row>
    <row r="41" spans="2:9" ht="16.5" customHeight="1" x14ac:dyDescent="0.2">
      <c r="B41" s="1199"/>
      <c r="C41" s="2589"/>
      <c r="D41" s="2590"/>
      <c r="E41" s="2590"/>
      <c r="F41" s="2591"/>
      <c r="G41" s="2592"/>
      <c r="H41" s="2592"/>
      <c r="I41" s="2592"/>
    </row>
    <row r="42" spans="2:9" ht="16.5" customHeight="1" x14ac:dyDescent="0.2">
      <c r="B42" s="1199"/>
      <c r="C42" s="2589"/>
      <c r="D42" s="2590"/>
      <c r="E42" s="2590"/>
      <c r="F42" s="2591"/>
      <c r="G42" s="2592"/>
      <c r="H42" s="2592"/>
      <c r="I42" s="2592"/>
    </row>
    <row r="43" spans="2:9" ht="16.5" customHeight="1" x14ac:dyDescent="0.2">
      <c r="B43" s="1199"/>
      <c r="C43" s="2582" t="s">
        <v>1576</v>
      </c>
      <c r="D43" s="2583"/>
      <c r="E43" s="2583"/>
      <c r="F43" s="2584"/>
      <c r="G43" s="2585">
        <f>SUM(G38:I42)</f>
        <v>0</v>
      </c>
      <c r="H43" s="2585"/>
      <c r="I43" s="2585"/>
    </row>
    <row r="44" spans="2:9" ht="12.75" customHeight="1" x14ac:dyDescent="0.2"/>
    <row r="45" spans="2:9" ht="12.75" customHeight="1" x14ac:dyDescent="0.2">
      <c r="B45" s="1915" t="str">
        <f>"Total Federal Expenditures for 7/1/"&amp;MID('AFR20'!E2,3,2)-1&amp;"-6/30/"&amp;MID('AFR20'!E2,3,2)</f>
        <v>Total Federal Expenditures for 7/1/19-6/30/20</v>
      </c>
      <c r="C45" s="1916"/>
      <c r="D45" s="2586">
        <v>0</v>
      </c>
      <c r="E45" s="2587"/>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588"/>
      <c r="F49" s="2588"/>
      <c r="G49" s="2588"/>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4" zoomScale="110" zoomScaleNormal="110" workbookViewId="0">
      <selection activeCell="F45" sqref="F4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Rome CCSD 2</v>
      </c>
      <c r="C1" s="2593"/>
      <c r="D1" s="2593"/>
      <c r="E1" s="2593"/>
      <c r="F1" s="2593"/>
      <c r="G1" s="2593"/>
      <c r="H1" s="2593"/>
      <c r="I1" s="2593"/>
      <c r="J1" s="2593"/>
      <c r="K1" s="2593"/>
      <c r="L1" s="1143"/>
      <c r="M1" s="1143"/>
    </row>
    <row r="2" spans="1:13" ht="12" customHeight="1" x14ac:dyDescent="0.2">
      <c r="B2" s="2595">
        <f>'Single Audit Cover'!E7</f>
        <v>13041002004</v>
      </c>
      <c r="C2" s="2595"/>
      <c r="D2" s="2595"/>
      <c r="E2" s="2595"/>
      <c r="F2" s="2595"/>
      <c r="G2" s="2595"/>
      <c r="H2" s="2595"/>
      <c r="I2" s="2595"/>
      <c r="J2" s="2595"/>
      <c r="K2" s="2595"/>
      <c r="L2" s="1144"/>
      <c r="M2" s="1145"/>
    </row>
    <row r="3" spans="1:13" ht="10.35" customHeight="1" x14ac:dyDescent="0.2">
      <c r="B3" s="2609" t="s">
        <v>1274</v>
      </c>
      <c r="C3" s="2609"/>
      <c r="D3" s="2609"/>
      <c r="E3" s="2609"/>
      <c r="F3" s="2609"/>
      <c r="G3" s="2609"/>
      <c r="H3" s="2609"/>
      <c r="I3" s="2609"/>
      <c r="J3" s="2609"/>
      <c r="K3" s="2609"/>
      <c r="L3" s="1146"/>
      <c r="M3" s="1146"/>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0" t="s">
        <v>1285</v>
      </c>
      <c r="C7" s="2610"/>
      <c r="D7" s="2611"/>
      <c r="E7" s="2611"/>
      <c r="F7" s="2611"/>
      <c r="G7" s="2611"/>
      <c r="H7" s="2611"/>
      <c r="I7" s="2611"/>
      <c r="J7" s="2611"/>
      <c r="K7" s="2611"/>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v>1</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2007</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8" t="s">
        <v>2063</v>
      </c>
      <c r="C14" s="2608"/>
      <c r="D14" s="2608"/>
      <c r="E14" s="2608"/>
      <c r="F14" s="2608"/>
      <c r="G14" s="2608"/>
      <c r="H14" s="2608"/>
      <c r="I14" s="2608"/>
      <c r="J14" s="2608"/>
      <c r="K14" s="2608"/>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67.5" customHeight="1" x14ac:dyDescent="0.2">
      <c r="B17" s="2608" t="s">
        <v>2064</v>
      </c>
      <c r="C17" s="2608"/>
      <c r="D17" s="2608"/>
      <c r="E17" s="2608"/>
      <c r="F17" s="2608"/>
      <c r="G17" s="2608"/>
      <c r="H17" s="2608"/>
      <c r="I17" s="2608"/>
      <c r="J17" s="2608"/>
      <c r="K17" s="2608"/>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2" t="s">
        <v>2065</v>
      </c>
      <c r="C20" s="2612"/>
      <c r="D20" s="2608"/>
      <c r="E20" s="2608"/>
      <c r="F20" s="2608"/>
      <c r="G20" s="2608"/>
      <c r="H20" s="2608"/>
      <c r="I20" s="2608"/>
      <c r="J20" s="2608"/>
      <c r="K20" s="2608"/>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8" t="s">
        <v>2066</v>
      </c>
      <c r="C23" s="2608"/>
      <c r="D23" s="2608"/>
      <c r="E23" s="2608"/>
      <c r="F23" s="2608"/>
      <c r="G23" s="2608"/>
      <c r="H23" s="2608"/>
      <c r="I23" s="2608"/>
      <c r="J23" s="2608"/>
      <c r="K23" s="2608"/>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8" t="s">
        <v>2067</v>
      </c>
      <c r="C26" s="2608"/>
      <c r="D26" s="2608"/>
      <c r="E26" s="2608"/>
      <c r="F26" s="2608"/>
      <c r="G26" s="2608"/>
      <c r="H26" s="2608"/>
      <c r="I26" s="2608"/>
      <c r="J26" s="2608"/>
      <c r="K26" s="2608"/>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7" t="s">
        <v>2068</v>
      </c>
      <c r="C29" s="2607"/>
      <c r="D29" s="2608"/>
      <c r="E29" s="2608"/>
      <c r="F29" s="2608"/>
      <c r="G29" s="2608"/>
      <c r="H29" s="2608"/>
      <c r="I29" s="2608"/>
      <c r="J29" s="2608"/>
      <c r="K29" s="2608"/>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54" customHeight="1" x14ac:dyDescent="0.2">
      <c r="B32" s="2607" t="s">
        <v>2069</v>
      </c>
      <c r="C32" s="2607"/>
      <c r="D32" s="2608"/>
      <c r="E32" s="2608"/>
      <c r="F32" s="2608"/>
      <c r="G32" s="2608"/>
      <c r="H32" s="2608"/>
      <c r="I32" s="2608"/>
      <c r="J32" s="2608"/>
      <c r="K32" s="2608"/>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Roman,Regular"A-6</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22" zoomScale="110" zoomScaleNormal="110" workbookViewId="0">
      <selection activeCell="F45" sqref="F4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Rome CCSD 2</v>
      </c>
      <c r="C1" s="2593"/>
      <c r="D1" s="2593"/>
      <c r="E1" s="2593"/>
      <c r="F1" s="2593"/>
      <c r="G1" s="2593"/>
      <c r="H1" s="2593"/>
      <c r="I1" s="2593"/>
      <c r="J1" s="2593"/>
      <c r="K1" s="2593"/>
      <c r="L1" s="1143"/>
      <c r="M1" s="1143"/>
    </row>
    <row r="2" spans="1:13" ht="12" customHeight="1" x14ac:dyDescent="0.2">
      <c r="B2" s="2595">
        <f>'Single Audit Cover'!E7</f>
        <v>13041002004</v>
      </c>
      <c r="C2" s="2595"/>
      <c r="D2" s="2595"/>
      <c r="E2" s="2595"/>
      <c r="F2" s="2595"/>
      <c r="G2" s="2595"/>
      <c r="H2" s="2595"/>
      <c r="I2" s="2595"/>
      <c r="J2" s="2595"/>
      <c r="K2" s="2595"/>
      <c r="L2" s="1144"/>
      <c r="M2" s="1145"/>
    </row>
    <row r="3" spans="1:13" ht="10.35" customHeight="1" x14ac:dyDescent="0.2">
      <c r="B3" s="2609" t="s">
        <v>1274</v>
      </c>
      <c r="C3" s="2609"/>
      <c r="D3" s="2609"/>
      <c r="E3" s="2609"/>
      <c r="F3" s="2609"/>
      <c r="G3" s="2609"/>
      <c r="H3" s="2609"/>
      <c r="I3" s="2609"/>
      <c r="J3" s="2609"/>
      <c r="K3" s="2609"/>
      <c r="L3" s="2033"/>
      <c r="M3" s="2033"/>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0" t="s">
        <v>1285</v>
      </c>
      <c r="C7" s="2610"/>
      <c r="D7" s="2611"/>
      <c r="E7" s="2611"/>
      <c r="F7" s="2611"/>
      <c r="G7" s="2611"/>
      <c r="H7" s="2611"/>
      <c r="I7" s="2611"/>
      <c r="J7" s="2611"/>
      <c r="K7" s="2611"/>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v>2</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1999</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8" t="s">
        <v>2096</v>
      </c>
      <c r="C14" s="2608"/>
      <c r="D14" s="2608"/>
      <c r="E14" s="2608"/>
      <c r="F14" s="2608"/>
      <c r="G14" s="2608"/>
      <c r="H14" s="2608"/>
      <c r="I14" s="2608"/>
      <c r="J14" s="2608"/>
      <c r="K14" s="2608"/>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08" t="s">
        <v>2097</v>
      </c>
      <c r="C17" s="2608"/>
      <c r="D17" s="2608"/>
      <c r="E17" s="2608"/>
      <c r="F17" s="2608"/>
      <c r="G17" s="2608"/>
      <c r="H17" s="2608"/>
      <c r="I17" s="2608"/>
      <c r="J17" s="2608"/>
      <c r="K17" s="2608"/>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2" t="s">
        <v>2098</v>
      </c>
      <c r="C20" s="2612"/>
      <c r="D20" s="2608"/>
      <c r="E20" s="2608"/>
      <c r="F20" s="2608"/>
      <c r="G20" s="2608"/>
      <c r="H20" s="2608"/>
      <c r="I20" s="2608"/>
      <c r="J20" s="2608"/>
      <c r="K20" s="2608"/>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8" t="s">
        <v>2099</v>
      </c>
      <c r="C23" s="2608"/>
      <c r="D23" s="2608"/>
      <c r="E23" s="2608"/>
      <c r="F23" s="2608"/>
      <c r="G23" s="2608"/>
      <c r="H23" s="2608"/>
      <c r="I23" s="2608"/>
      <c r="J23" s="2608"/>
      <c r="K23" s="2608"/>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19.5" customHeight="1" x14ac:dyDescent="0.2">
      <c r="B26" s="2608" t="s">
        <v>2100</v>
      </c>
      <c r="C26" s="2608"/>
      <c r="D26" s="2608"/>
      <c r="E26" s="2608"/>
      <c r="F26" s="2608"/>
      <c r="G26" s="2608"/>
      <c r="H26" s="2608"/>
      <c r="I26" s="2608"/>
      <c r="J26" s="2608"/>
      <c r="K26" s="2608"/>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81" customHeight="1" x14ac:dyDescent="0.2">
      <c r="B29" s="2607" t="s">
        <v>2101</v>
      </c>
      <c r="C29" s="2607"/>
      <c r="D29" s="2608"/>
      <c r="E29" s="2608"/>
      <c r="F29" s="2608"/>
      <c r="G29" s="2608"/>
      <c r="H29" s="2608"/>
      <c r="I29" s="2608"/>
      <c r="J29" s="2608"/>
      <c r="K29" s="2608"/>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07" t="s">
        <v>2102</v>
      </c>
      <c r="C32" s="2607"/>
      <c r="D32" s="2608"/>
      <c r="E32" s="2608"/>
      <c r="F32" s="2608"/>
      <c r="G32" s="2608"/>
      <c r="H32" s="2608"/>
      <c r="I32" s="2608"/>
      <c r="J32" s="2608"/>
      <c r="K32" s="2608"/>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Roman,Regular"A-7</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Rome CCSD 2</v>
      </c>
      <c r="C1" s="2616"/>
      <c r="D1" s="2616"/>
      <c r="E1" s="2616"/>
      <c r="F1" s="2616"/>
      <c r="G1" s="2616"/>
      <c r="H1" s="2616"/>
      <c r="I1" s="2616"/>
      <c r="J1" s="2616"/>
      <c r="K1" s="2616"/>
      <c r="L1" s="1220"/>
    </row>
    <row r="2" spans="1:12" ht="12.75" customHeight="1" x14ac:dyDescent="0.2">
      <c r="B2" s="2617">
        <f>'Single Audit Cover'!E7</f>
        <v>13041002004</v>
      </c>
      <c r="C2" s="2617"/>
      <c r="D2" s="2617"/>
      <c r="E2" s="2617"/>
      <c r="F2" s="2617"/>
      <c r="G2" s="2617"/>
      <c r="H2" s="2617"/>
      <c r="I2" s="2617"/>
      <c r="J2" s="2617"/>
      <c r="K2" s="2617"/>
      <c r="L2" s="1221"/>
    </row>
    <row r="3" spans="1:12" ht="12.75" customHeight="1" x14ac:dyDescent="0.2">
      <c r="B3" s="2609" t="s">
        <v>1274</v>
      </c>
      <c r="C3" s="2609"/>
      <c r="D3" s="2609"/>
      <c r="E3" s="2609"/>
      <c r="F3" s="2609"/>
      <c r="G3" s="2609"/>
      <c r="H3" s="2609"/>
      <c r="I3" s="2609"/>
      <c r="J3" s="2609"/>
      <c r="K3" s="2609"/>
      <c r="L3" s="1146"/>
    </row>
    <row r="4" spans="1:12" ht="12.75" customHeight="1" x14ac:dyDescent="0.2">
      <c r="B4" s="2609" t="str">
        <f>'Single Audit Cover'!A4</f>
        <v>Year Ending June 30, 2020</v>
      </c>
      <c r="C4" s="2609"/>
      <c r="D4" s="2609"/>
      <c r="E4" s="2609"/>
      <c r="F4" s="2609"/>
      <c r="G4" s="2609"/>
      <c r="H4" s="2609"/>
      <c r="I4" s="2609"/>
      <c r="J4" s="2609"/>
      <c r="K4" s="2609"/>
      <c r="L4" s="1146"/>
    </row>
    <row r="5" spans="1:12" ht="5.25" customHeight="1" x14ac:dyDescent="0.2">
      <c r="B5" s="1035" t="s">
        <v>1159</v>
      </c>
      <c r="C5" s="1035"/>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17"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600"/>
      <c r="G12" s="2600"/>
      <c r="H12" s="2600"/>
      <c r="I12" s="2600"/>
      <c r="J12" s="2600"/>
      <c r="K12" s="2600"/>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13"/>
      <c r="E14" s="2613"/>
      <c r="F14" s="2613"/>
      <c r="H14" s="1229" t="s">
        <v>1292</v>
      </c>
      <c r="I14" s="2614"/>
      <c r="J14" s="2614"/>
      <c r="K14" s="2614"/>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14"/>
      <c r="E16" s="2614"/>
      <c r="F16" s="2614"/>
      <c r="G16" s="2614"/>
      <c r="H16" s="2614"/>
      <c r="I16" s="2614"/>
      <c r="J16" s="2614"/>
      <c r="K16" s="2614"/>
      <c r="L16" s="300"/>
    </row>
    <row r="17" spans="2:12" ht="13.5" customHeight="1" x14ac:dyDescent="0.2">
      <c r="B17" s="1155" t="s">
        <v>1290</v>
      </c>
      <c r="C17" s="1155"/>
      <c r="D17" s="2615"/>
      <c r="E17" s="2615"/>
      <c r="F17" s="2615"/>
      <c r="G17" s="2615"/>
      <c r="H17" s="2615"/>
      <c r="I17" s="2615"/>
      <c r="J17" s="2615"/>
      <c r="K17" s="2615"/>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08"/>
      <c r="C20" s="2608"/>
      <c r="D20" s="2608"/>
      <c r="E20" s="2608"/>
      <c r="F20" s="2608"/>
      <c r="G20" s="2608"/>
      <c r="H20" s="2608"/>
      <c r="I20" s="2608"/>
      <c r="J20" s="2608"/>
      <c r="K20" s="2608"/>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93" t="str">
        <f>'Single Audit Cover'!A7</f>
        <v xml:space="preserve"> Rome CCSD 2</v>
      </c>
      <c r="C1" s="2593"/>
      <c r="D1" s="2593"/>
      <c r="E1" s="1239"/>
    </row>
    <row r="2" spans="2:5" s="1057" customFormat="1" ht="12.75" customHeight="1" x14ac:dyDescent="0.2">
      <c r="B2" s="2595">
        <f>'Single Audit Cover'!E7</f>
        <v>13041002004</v>
      </c>
      <c r="C2" s="2595"/>
      <c r="D2" s="2595"/>
      <c r="E2" s="1240"/>
    </row>
    <row r="3" spans="2:5" ht="12.75" customHeight="1" x14ac:dyDescent="0.2">
      <c r="B3" s="2609" t="s">
        <v>1743</v>
      </c>
      <c r="C3" s="2609"/>
      <c r="D3" s="2609"/>
      <c r="E3" s="1049"/>
    </row>
    <row r="4" spans="2:5" s="1057" customFormat="1" ht="12.75" customHeight="1" x14ac:dyDescent="0.2">
      <c r="B4" s="2619" t="str">
        <f>'Single Audit Cover'!A4</f>
        <v>Year Ending June 30, 2020</v>
      </c>
      <c r="C4" s="2619"/>
      <c r="D4" s="2619"/>
      <c r="E4" s="1241"/>
    </row>
    <row r="5" spans="2:5" s="1057" customFormat="1" ht="40.15" customHeight="1" x14ac:dyDescent="0.2">
      <c r="B5" s="1242" t="s">
        <v>1744</v>
      </c>
      <c r="C5" s="306"/>
      <c r="D5" s="306"/>
      <c r="E5" s="306"/>
    </row>
    <row r="6" spans="2:5" s="1057" customFormat="1" ht="13.5" customHeight="1" x14ac:dyDescent="0.2">
      <c r="B6" s="1243" t="s">
        <v>1304</v>
      </c>
      <c r="C6" s="1243" t="s">
        <v>1303</v>
      </c>
      <c r="D6" s="1243" t="s">
        <v>1745</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F45" sqref="F4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34871418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1.35865E-2</v>
      </c>
      <c r="E10" s="333" t="s">
        <v>998</v>
      </c>
      <c r="F10" s="332">
        <v>9.8010000000000007E-3</v>
      </c>
      <c r="G10" s="333" t="s">
        <v>998</v>
      </c>
      <c r="H10" s="332">
        <v>9.5630000000000003E-3</v>
      </c>
      <c r="I10" s="333" t="s">
        <v>999</v>
      </c>
      <c r="J10" s="1423">
        <f>ROUND(D10+F10+H10,5)</f>
        <v>3.295E-2</v>
      </c>
      <c r="K10" s="217"/>
      <c r="L10" s="332">
        <v>0</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3113823</v>
      </c>
      <c r="E16" s="1546"/>
      <c r="F16" s="1545">
        <f>SUM('Acct Summary 7-8'!C17,'Acct Summary 7-8'!D17,'Acct Summary 7-8'!F17)</f>
        <v>3219713</v>
      </c>
      <c r="G16" s="1546"/>
      <c r="H16" s="1545">
        <f>SUM(D16-F16)</f>
        <v>-105890</v>
      </c>
      <c r="I16" s="1547"/>
      <c r="J16" s="1545">
        <f>SUM('Acct Summary 7-8'!C81,'Acct Summary 7-8'!D81,'Acct Summary 7-8'!F81,'Acct Summary 7-8'!I81)</f>
        <v>2218469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2077</v>
      </c>
      <c r="C31" s="344" t="s">
        <v>582</v>
      </c>
      <c r="D31" s="232" t="s">
        <v>1063</v>
      </c>
      <c r="E31" s="217"/>
      <c r="F31" s="217"/>
      <c r="G31" s="340"/>
      <c r="H31" s="1424">
        <f>IF(B31="X",(J7*0.069),IF(B32="X",(J7*0.138),"Enter x in a.or b."))</f>
        <v>2406127.8420000002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277000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45" sqref="F4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Rome CCSD 2</v>
      </c>
      <c r="E7" s="368"/>
      <c r="G7" s="247"/>
      <c r="H7" s="364"/>
      <c r="I7" s="364"/>
      <c r="J7" s="364"/>
      <c r="K7" s="364"/>
      <c r="L7" s="307"/>
      <c r="M7" s="307"/>
      <c r="N7" s="307"/>
      <c r="O7" s="307"/>
      <c r="P7" s="307"/>
    </row>
    <row r="8" spans="1:18" ht="12.75" x14ac:dyDescent="0.2">
      <c r="A8" s="307"/>
      <c r="B8" s="307"/>
      <c r="C8" s="366" t="s">
        <v>1115</v>
      </c>
      <c r="D8" s="369">
        <f>COVER!A13</f>
        <v>13041002004</v>
      </c>
      <c r="E8" s="370"/>
      <c r="G8" s="307"/>
      <c r="H8" s="307"/>
      <c r="I8" s="307"/>
      <c r="J8" s="307"/>
      <c r="K8" s="307"/>
      <c r="L8" s="307"/>
      <c r="M8" s="307"/>
      <c r="N8" s="307"/>
      <c r="O8" s="307"/>
      <c r="P8" s="307"/>
    </row>
    <row r="9" spans="1:18" ht="12.75" x14ac:dyDescent="0.2">
      <c r="A9" s="307"/>
      <c r="B9" s="307"/>
      <c r="C9" s="366" t="s">
        <v>708</v>
      </c>
      <c r="D9" s="371" t="str">
        <f>COVER!A15</f>
        <v>JEFFERSON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2218469</v>
      </c>
      <c r="I12" s="380"/>
      <c r="J12" s="380"/>
      <c r="K12" s="1558">
        <f>TRUNC((H12/H13*100000),5)/100000</f>
        <v>0.71245828680000001</v>
      </c>
      <c r="L12" s="381"/>
      <c r="M12" s="337" t="s">
        <v>1134</v>
      </c>
      <c r="N12" s="337"/>
      <c r="O12" s="1561">
        <v>0.35</v>
      </c>
      <c r="P12" s="213"/>
      <c r="Q12" s="213"/>
    </row>
    <row r="13" spans="1:18" s="382" customFormat="1" ht="12.75" x14ac:dyDescent="0.2">
      <c r="A13" s="213"/>
      <c r="B13" s="377"/>
      <c r="C13" s="2205" t="s">
        <v>1313</v>
      </c>
      <c r="D13" s="2206"/>
      <c r="E13" s="213"/>
      <c r="F13" s="383" t="s">
        <v>788</v>
      </c>
      <c r="G13" s="378"/>
      <c r="H13" s="1550">
        <f>SUM('Acct Summary 7-8'!C8+'Acct Summary 7-8'!D8+'Acct Summary 7-8'!F8+'Acct Summary 7-8'!I8)+H14</f>
        <v>3113823</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t="str">
        <f>IF(K17&gt;1.2,"1",IF(K17&gt;1.1,"2",IF(K17&gt;1,"3",4)))</f>
        <v>3</v>
      </c>
      <c r="P16" s="211"/>
      <c r="R16" s="361"/>
    </row>
    <row r="17" spans="1:18" s="382" customFormat="1" ht="11.25" x14ac:dyDescent="0.2">
      <c r="A17" s="213"/>
      <c r="B17" s="377"/>
      <c r="C17" s="213" t="s">
        <v>792</v>
      </c>
      <c r="D17" s="213"/>
      <c r="E17" s="213"/>
      <c r="F17" s="213" t="s">
        <v>441</v>
      </c>
      <c r="G17" s="378"/>
      <c r="H17" s="1550">
        <f>SUM('Acct Summary 7-8'!C17+'Acct Summary 7-8'!D17+'Acct Summary 7-8'!F17)</f>
        <v>3219713</v>
      </c>
      <c r="I17" s="380"/>
      <c r="J17" s="389"/>
      <c r="K17" s="1558">
        <f>TRUNC((H17/H18*100000),5)/100000</f>
        <v>1.0340064286999999</v>
      </c>
      <c r="L17" s="381"/>
      <c r="M17" s="390" t="s">
        <v>1161</v>
      </c>
      <c r="O17" s="1564" t="str">
        <f>IF(AND(O16="2", J20 &gt; 2),"1",IF(AND(O16 = "1", J20 &gt; 2),"2",IF(AND(O16="1", J20 &gt;1),"1","0")))</f>
        <v>0</v>
      </c>
      <c r="P17" s="213"/>
    </row>
    <row r="18" spans="1:18" s="382" customFormat="1" ht="11.25" x14ac:dyDescent="0.2">
      <c r="A18" s="213"/>
      <c r="B18" s="377"/>
      <c r="C18" s="2205" t="s">
        <v>1306</v>
      </c>
      <c r="D18" s="2206"/>
      <c r="E18" s="213"/>
      <c r="F18" s="391" t="s">
        <v>789</v>
      </c>
      <c r="G18" s="378"/>
      <c r="H18" s="1550">
        <f>SUM('Acct Summary 7-8'!C8+'Acct Summary 7-8'!D8+'Acct Summary 7-8'!F8+'Acct Summary 7-8'!I8)+H19</f>
        <v>3113823</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f>IF(K17&lt;=1,"0",TRUNC(((K12-0.1)/(K17-1)*100),5)/100)</f>
        <v>18.010073600000002</v>
      </c>
      <c r="K20" s="1558" t="str">
        <f>IF(K17&lt;=1,"0",IF(AND(O16="2", J20 &gt; 2),TRUNC(((K12-0.1)/(K17-1)*100),5)/100,IF(AND(O16 = "1", J20 &gt; 2),TRUNC(((K12-0.1)/(K17-1)*100),5)/100,IF(AND(O16="1", J20 &gt;1),TRUNC(((K12-0.1)/(K17-1)*100),5)/100,""))))</f>
        <v/>
      </c>
      <c r="L20" s="213"/>
      <c r="M20" s="337" t="s">
        <v>1135</v>
      </c>
      <c r="N20" s="337"/>
      <c r="O20" s="1562">
        <f>(O16+O17)*O18</f>
        <v>1.0499999999999998</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202" t="s">
        <v>1395</v>
      </c>
      <c r="D24" s="2202"/>
      <c r="E24" s="213"/>
      <c r="F24" s="213" t="s">
        <v>442</v>
      </c>
      <c r="G24" s="378"/>
      <c r="H24" s="1550">
        <f>SUM('Assets-Liab 5-6'!C4+'Assets-Liab 5-6'!D4+'Assets-Liab 5-6'!F4+'Assets-Liab 5-6'!I4+'Assets-Liab 5-6'!C5+'Assets-Liab 5-6'!D5+'Assets-Liab 5-6'!F5+'Assets-Liab 5-6'!I5)</f>
        <v>2218469</v>
      </c>
      <c r="I24" s="394"/>
      <c r="J24" s="394"/>
      <c r="K24" s="1554">
        <f>TRUNC(((H24/H25*100000)/100000),2)</f>
        <v>248.04</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8943.6472200000007</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1893</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976661.23964000004</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4</v>
      </c>
      <c r="P31" s="211"/>
    </row>
    <row r="32" spans="1:18" s="382" customFormat="1" ht="11.25" x14ac:dyDescent="0.2">
      <c r="A32" s="213"/>
      <c r="B32" s="377"/>
      <c r="C32" s="213" t="s">
        <v>842</v>
      </c>
      <c r="D32" s="213"/>
      <c r="E32" s="213"/>
      <c r="F32" s="213"/>
      <c r="G32" s="378"/>
      <c r="H32" s="1550">
        <f>'FP Info 3'!H37</f>
        <v>277000</v>
      </c>
      <c r="I32" s="392"/>
      <c r="J32" s="392"/>
      <c r="K32" s="1554">
        <f>TRUNC(100-((((H32/H33*100))*100)/100),2)</f>
        <v>88.48</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2406127.8420000002</v>
      </c>
      <c r="I33" s="392"/>
      <c r="J33" s="392"/>
      <c r="K33" s="379"/>
      <c r="L33" s="213"/>
      <c r="M33" s="401" t="s">
        <v>1135</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F45" sqref="F45"/>
      <selection pane="bottomLeft" activeCell="F45" sqref="F4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5"/>
      <c r="D3" s="1306"/>
      <c r="E3" s="1306"/>
      <c r="F3" s="1306"/>
      <c r="G3" s="1306"/>
      <c r="H3" s="1306"/>
      <c r="I3" s="1306"/>
      <c r="J3" s="1306"/>
      <c r="K3" s="1306"/>
      <c r="L3" s="1306"/>
      <c r="M3" s="1307"/>
      <c r="N3" s="1308"/>
    </row>
    <row r="4" spans="1:14" ht="13.5" customHeight="1" x14ac:dyDescent="0.2">
      <c r="A4" s="427" t="s">
        <v>1632</v>
      </c>
      <c r="B4" s="428"/>
      <c r="C4" s="1571">
        <v>1555627</v>
      </c>
      <c r="D4" s="1572">
        <v>150779</v>
      </c>
      <c r="E4" s="1572">
        <v>26119</v>
      </c>
      <c r="F4" s="1572">
        <v>295480</v>
      </c>
      <c r="G4" s="1572">
        <v>24044</v>
      </c>
      <c r="H4" s="1572"/>
      <c r="I4" s="1572">
        <v>216583</v>
      </c>
      <c r="J4" s="1573">
        <v>72871</v>
      </c>
      <c r="K4" s="1572">
        <v>10</v>
      </c>
      <c r="L4" s="1572">
        <v>15458</v>
      </c>
      <c r="M4" s="1574"/>
      <c r="N4" s="1575"/>
    </row>
    <row r="5" spans="1:14" x14ac:dyDescent="0.2">
      <c r="A5" s="427" t="s">
        <v>985</v>
      </c>
      <c r="B5" s="429">
        <v>120</v>
      </c>
      <c r="C5" s="1571"/>
      <c r="D5" s="1572"/>
      <c r="E5" s="1572"/>
      <c r="F5" s="1572"/>
      <c r="G5" s="1572"/>
      <c r="H5" s="1572"/>
      <c r="I5" s="1572"/>
      <c r="J5" s="1573"/>
      <c r="K5" s="1576"/>
      <c r="L5" s="1577"/>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1555627</v>
      </c>
      <c r="D13" s="1586">
        <f t="shared" ref="D13:L13" si="0">SUM(D4:D12)</f>
        <v>150779</v>
      </c>
      <c r="E13" s="1586">
        <f t="shared" si="0"/>
        <v>26119</v>
      </c>
      <c r="F13" s="1586">
        <f t="shared" si="0"/>
        <v>295480</v>
      </c>
      <c r="G13" s="1586">
        <f t="shared" si="0"/>
        <v>24044</v>
      </c>
      <c r="H13" s="1586">
        <f t="shared" si="0"/>
        <v>0</v>
      </c>
      <c r="I13" s="1586">
        <f t="shared" si="0"/>
        <v>216583</v>
      </c>
      <c r="J13" s="1586">
        <f t="shared" si="0"/>
        <v>72871</v>
      </c>
      <c r="K13" s="1586">
        <f t="shared" si="0"/>
        <v>10</v>
      </c>
      <c r="L13" s="1586">
        <f t="shared" si="0"/>
        <v>15458</v>
      </c>
      <c r="M13" s="1574"/>
      <c r="N13" s="1575"/>
    </row>
    <row r="14" spans="1:14" ht="18" customHeight="1" thickTop="1" x14ac:dyDescent="0.2">
      <c r="A14" s="2214" t="s">
        <v>146</v>
      </c>
      <c r="B14" s="2215"/>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5000</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4719402</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147210</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900845</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26119</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250881</v>
      </c>
    </row>
    <row r="23" spans="1:14" ht="13.5" customHeight="1" thickBot="1" x14ac:dyDescent="0.25">
      <c r="A23" s="1425" t="s">
        <v>638</v>
      </c>
      <c r="B23" s="1428"/>
      <c r="C23" s="1574"/>
      <c r="D23" s="1574"/>
      <c r="E23" s="1574"/>
      <c r="F23" s="1574"/>
      <c r="G23" s="1574"/>
      <c r="H23" s="1574"/>
      <c r="I23" s="1574"/>
      <c r="J23" s="1574"/>
      <c r="K23" s="1574"/>
      <c r="L23" s="1574"/>
      <c r="M23" s="1593">
        <f>SUM(M15:M22)</f>
        <v>5772457</v>
      </c>
      <c r="N23" s="1593">
        <f>SUM(N21:N22)</f>
        <v>277000</v>
      </c>
    </row>
    <row r="24" spans="1:14" ht="18" customHeight="1" thickTop="1" x14ac:dyDescent="0.2">
      <c r="A24" s="2216" t="s">
        <v>594</v>
      </c>
      <c r="B24" s="2217"/>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15458</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15458</v>
      </c>
      <c r="M34" s="1574"/>
      <c r="N34" s="1584"/>
    </row>
    <row r="35" spans="1:14" ht="18" customHeight="1" thickTop="1" x14ac:dyDescent="0.2">
      <c r="A35" s="2218" t="s">
        <v>526</v>
      </c>
      <c r="B35" s="2219"/>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277000</v>
      </c>
    </row>
    <row r="37" spans="1:14" ht="13.5" thickBot="1" x14ac:dyDescent="0.25">
      <c r="A37" s="1425" t="s">
        <v>648</v>
      </c>
      <c r="B37" s="1428"/>
      <c r="C37" s="1581"/>
      <c r="D37" s="1581"/>
      <c r="E37" s="1581"/>
      <c r="F37" s="1581"/>
      <c r="G37" s="1581"/>
      <c r="H37" s="1581"/>
      <c r="I37" s="1581"/>
      <c r="J37" s="1581"/>
      <c r="K37" s="1581"/>
      <c r="L37" s="1584"/>
      <c r="M37" s="1574"/>
      <c r="N37" s="1593">
        <f>SUM(N36:N36)</f>
        <v>277000</v>
      </c>
    </row>
    <row r="38" spans="1:14" s="307" customFormat="1" ht="13.5" customHeight="1" thickTop="1" x14ac:dyDescent="0.2">
      <c r="A38" s="438" t="s">
        <v>417</v>
      </c>
      <c r="B38" s="432">
        <v>714</v>
      </c>
      <c r="C38" s="1572"/>
      <c r="D38" s="1572">
        <v>40307</v>
      </c>
      <c r="E38" s="1572"/>
      <c r="F38" s="1572"/>
      <c r="G38" s="1572">
        <v>1754</v>
      </c>
      <c r="H38" s="1572"/>
      <c r="I38" s="1572"/>
      <c r="J38" s="1573"/>
      <c r="K38" s="1572"/>
      <c r="L38" s="1585"/>
      <c r="M38" s="1603"/>
      <c r="N38" s="1603"/>
    </row>
    <row r="39" spans="1:14" s="307" customFormat="1" ht="13.5" customHeight="1" x14ac:dyDescent="0.2">
      <c r="A39" s="438" t="s">
        <v>339</v>
      </c>
      <c r="B39" s="432">
        <v>730</v>
      </c>
      <c r="C39" s="1572">
        <v>1555627</v>
      </c>
      <c r="D39" s="1572">
        <v>110472</v>
      </c>
      <c r="E39" s="1572">
        <v>26119</v>
      </c>
      <c r="F39" s="1572">
        <v>295480</v>
      </c>
      <c r="G39" s="1572">
        <v>22290</v>
      </c>
      <c r="H39" s="1572"/>
      <c r="I39" s="1572">
        <v>216583</v>
      </c>
      <c r="J39" s="1573">
        <v>72871</v>
      </c>
      <c r="K39" s="1572">
        <v>10</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5772457</v>
      </c>
      <c r="N40" s="1603"/>
    </row>
    <row r="41" spans="1:14" ht="13.5" customHeight="1" thickBot="1" x14ac:dyDescent="0.25">
      <c r="A41" s="1425" t="s">
        <v>650</v>
      </c>
      <c r="B41" s="1404"/>
      <c r="C41" s="1593">
        <f>(SUM(C34,C37,C38,C39))</f>
        <v>1555627</v>
      </c>
      <c r="D41" s="1593">
        <f t="shared" ref="D41:L41" si="2">SUM(D34,D37,D38:D39)</f>
        <v>150779</v>
      </c>
      <c r="E41" s="1593">
        <f t="shared" si="2"/>
        <v>26119</v>
      </c>
      <c r="F41" s="1593">
        <f t="shared" si="2"/>
        <v>295480</v>
      </c>
      <c r="G41" s="1593">
        <f t="shared" si="2"/>
        <v>24044</v>
      </c>
      <c r="H41" s="1593">
        <f t="shared" si="2"/>
        <v>0</v>
      </c>
      <c r="I41" s="1593">
        <f t="shared" si="2"/>
        <v>216583</v>
      </c>
      <c r="J41" s="1593">
        <f t="shared" si="2"/>
        <v>72871</v>
      </c>
      <c r="K41" s="1593">
        <f t="shared" si="2"/>
        <v>10</v>
      </c>
      <c r="L41" s="1593">
        <f t="shared" si="2"/>
        <v>15458</v>
      </c>
      <c r="M41" s="1593">
        <f>SUM(M40)</f>
        <v>5772457</v>
      </c>
      <c r="N41" s="1593">
        <f>SUM(N37)</f>
        <v>277000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activeCell="F45" sqref="F45"/>
      <selection pane="bottomLeft" activeCell="F45" sqref="F4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0"/>
      <c r="D3" s="1311"/>
      <c r="E3" s="1311"/>
      <c r="F3" s="1311"/>
      <c r="G3" s="1311"/>
      <c r="H3" s="1311"/>
      <c r="I3" s="1311"/>
      <c r="J3" s="1311"/>
      <c r="K3" s="1312"/>
      <c r="L3" s="446"/>
    </row>
    <row r="4" spans="1:13" ht="15.75" customHeight="1" x14ac:dyDescent="0.2">
      <c r="A4" s="1536" t="s">
        <v>1482</v>
      </c>
      <c r="B4" s="1537">
        <v>1000</v>
      </c>
      <c r="C4" s="1605">
        <f>'Revenues 9-14'!C109</f>
        <v>582428</v>
      </c>
      <c r="D4" s="1605">
        <f>'Revenues 9-14'!D109</f>
        <v>53794</v>
      </c>
      <c r="E4" s="1605">
        <f>'Revenues 9-14'!E109</f>
        <v>74805</v>
      </c>
      <c r="F4" s="1605">
        <f>'Revenues 9-14'!F109</f>
        <v>36993</v>
      </c>
      <c r="G4" s="1605">
        <f>'Revenues 9-14'!G109</f>
        <v>56702</v>
      </c>
      <c r="H4" s="1605">
        <f>'Revenues 9-14'!H109</f>
        <v>0</v>
      </c>
      <c r="I4" s="1605">
        <f>'Revenues 9-14'!I109</f>
        <v>2847</v>
      </c>
      <c r="J4" s="1605">
        <f>'Revenues 9-14'!J109</f>
        <v>34807</v>
      </c>
      <c r="K4" s="1605">
        <f>'Revenues 9-14'!K109</f>
        <v>14</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1964598</v>
      </c>
      <c r="D6" s="1606">
        <f>'Revenues 9-14'!D170</f>
        <v>50000</v>
      </c>
      <c r="E6" s="1606">
        <f>'Revenues 9-14'!E170</f>
        <v>800</v>
      </c>
      <c r="F6" s="1606">
        <f>'Revenues 9-14'!F170</f>
        <v>143323</v>
      </c>
      <c r="G6" s="1606">
        <f>'Revenues 9-14'!G170</f>
        <v>0</v>
      </c>
      <c r="H6" s="1606">
        <f>'Revenues 9-14'!H170</f>
        <v>0</v>
      </c>
      <c r="I6" s="1606">
        <f>'Revenues 9-14'!I170</f>
        <v>0</v>
      </c>
      <c r="J6" s="1606">
        <f>'Revenues 9-14'!J170</f>
        <v>20000</v>
      </c>
      <c r="K6" s="1606">
        <f>'Revenues 9-14'!K170</f>
        <v>0</v>
      </c>
      <c r="L6" s="325"/>
      <c r="M6" s="448"/>
    </row>
    <row r="7" spans="1:13" ht="15.75" customHeight="1" x14ac:dyDescent="0.2">
      <c r="A7" s="1313" t="s">
        <v>1485</v>
      </c>
      <c r="B7" s="1315">
        <v>4000</v>
      </c>
      <c r="C7" s="1606">
        <f>'Revenues 9-14'!C267</f>
        <v>279840</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2826866</v>
      </c>
      <c r="D8" s="1593">
        <f t="shared" ref="D8:K8" si="0">SUM(D4:D7)</f>
        <v>103794</v>
      </c>
      <c r="E8" s="1593">
        <f t="shared" si="0"/>
        <v>75605</v>
      </c>
      <c r="F8" s="1593">
        <f t="shared" si="0"/>
        <v>180316</v>
      </c>
      <c r="G8" s="1593">
        <f t="shared" si="0"/>
        <v>56702</v>
      </c>
      <c r="H8" s="1593">
        <f t="shared" si="0"/>
        <v>0</v>
      </c>
      <c r="I8" s="1593">
        <f t="shared" si="0"/>
        <v>2847</v>
      </c>
      <c r="J8" s="1593">
        <f t="shared" si="0"/>
        <v>54807</v>
      </c>
      <c r="K8" s="1593">
        <f t="shared" si="0"/>
        <v>14</v>
      </c>
      <c r="L8" s="325"/>
    </row>
    <row r="9" spans="1:13" ht="15.75" thickTop="1" x14ac:dyDescent="0.2">
      <c r="A9" s="449" t="s">
        <v>1634</v>
      </c>
      <c r="B9" s="450">
        <v>3998</v>
      </c>
      <c r="C9" s="1585">
        <v>1313707</v>
      </c>
      <c r="D9" s="1612"/>
      <c r="E9" s="1585"/>
      <c r="F9" s="1585"/>
      <c r="G9" s="1613"/>
      <c r="H9" s="1585"/>
      <c r="I9" s="1608" t="s">
        <v>1159</v>
      </c>
      <c r="J9" s="1582"/>
      <c r="K9" s="1585"/>
      <c r="L9" s="325"/>
    </row>
    <row r="10" spans="1:13" s="452" customFormat="1" ht="13.5" thickBot="1" x14ac:dyDescent="0.25">
      <c r="A10" s="1425" t="s">
        <v>1163</v>
      </c>
      <c r="B10" s="1406"/>
      <c r="C10" s="1593">
        <f>SUM(C8:C9)</f>
        <v>4140573</v>
      </c>
      <c r="D10" s="1593">
        <f t="shared" ref="D10:K10" si="1">SUM(D8:D9)</f>
        <v>103794</v>
      </c>
      <c r="E10" s="1593">
        <f t="shared" si="1"/>
        <v>75605</v>
      </c>
      <c r="F10" s="1593">
        <f t="shared" si="1"/>
        <v>180316</v>
      </c>
      <c r="G10" s="1593">
        <f t="shared" si="1"/>
        <v>56702</v>
      </c>
      <c r="H10" s="1593">
        <f t="shared" si="1"/>
        <v>0</v>
      </c>
      <c r="I10" s="1593">
        <f t="shared" si="1"/>
        <v>2847</v>
      </c>
      <c r="J10" s="1593">
        <f t="shared" si="1"/>
        <v>54807</v>
      </c>
      <c r="K10" s="1593">
        <f t="shared" si="1"/>
        <v>14</v>
      </c>
      <c r="L10" s="451"/>
    </row>
    <row r="11" spans="1:13" s="452" customFormat="1" ht="16.7" customHeight="1" thickTop="1" x14ac:dyDescent="0.2">
      <c r="A11" s="2214" t="s">
        <v>1166</v>
      </c>
      <c r="B11" s="2215"/>
      <c r="C11" s="1601"/>
      <c r="D11" s="1602"/>
      <c r="E11" s="1602"/>
      <c r="F11" s="1602"/>
      <c r="G11" s="1602"/>
      <c r="H11" s="1602"/>
      <c r="I11" s="1602"/>
      <c r="J11" s="1602"/>
      <c r="K11" s="1614"/>
      <c r="L11" s="451"/>
    </row>
    <row r="12" spans="1:13" ht="15.75" customHeight="1" x14ac:dyDescent="0.2">
      <c r="A12" s="1313" t="s">
        <v>453</v>
      </c>
      <c r="B12" s="1315">
        <v>1000</v>
      </c>
      <c r="C12" s="1605">
        <f>'Expenditures 15-22'!K33</f>
        <v>1850743</v>
      </c>
      <c r="D12" s="1615" t="s">
        <v>1159</v>
      </c>
      <c r="E12" s="1574" t="s">
        <v>1159</v>
      </c>
      <c r="F12" s="1574" t="s">
        <v>1159</v>
      </c>
      <c r="G12" s="1605">
        <f>'Expenditures 15-22'!K229</f>
        <v>42162</v>
      </c>
      <c r="H12" s="1616"/>
      <c r="I12" s="1574" t="s">
        <v>1159</v>
      </c>
      <c r="J12" s="1574" t="s">
        <v>1159</v>
      </c>
      <c r="K12" s="1616" t="s">
        <v>1159</v>
      </c>
      <c r="L12" s="325"/>
    </row>
    <row r="13" spans="1:13" ht="15.75" customHeight="1" x14ac:dyDescent="0.2">
      <c r="A13" s="1313" t="s">
        <v>454</v>
      </c>
      <c r="B13" s="1315">
        <v>2000</v>
      </c>
      <c r="C13" s="1606">
        <f>'Expenditures 15-22'!K74</f>
        <v>693591</v>
      </c>
      <c r="D13" s="1606">
        <f>'Expenditures 15-22'!K129</f>
        <v>214247</v>
      </c>
      <c r="E13" s="1575" t="s">
        <v>1159</v>
      </c>
      <c r="F13" s="1606">
        <f>'Expenditures 15-22'!K184</f>
        <v>282148</v>
      </c>
      <c r="G13" s="1606">
        <f>'Expenditures 15-22'!K279</f>
        <v>38619</v>
      </c>
      <c r="H13" s="1606">
        <f>'Expenditures 15-22'!K303</f>
        <v>0</v>
      </c>
      <c r="I13" s="1574" t="s">
        <v>1159</v>
      </c>
      <c r="J13" s="1606">
        <f>'Expenditures 15-22'!K330</f>
        <v>38299</v>
      </c>
      <c r="K13" s="1617">
        <f>'Expenditures 15-22'!K352</f>
        <v>2543</v>
      </c>
      <c r="L13" s="325"/>
    </row>
    <row r="14" spans="1:13" ht="15.75" customHeight="1" x14ac:dyDescent="0.2">
      <c r="A14" s="1313" t="s">
        <v>446</v>
      </c>
      <c r="B14" s="1315">
        <v>3000</v>
      </c>
      <c r="C14" s="1606">
        <f>'Expenditures 15-22'!K75</f>
        <v>7151</v>
      </c>
      <c r="D14" s="1606">
        <f>'Expenditures 15-22'!K130</f>
        <v>0</v>
      </c>
      <c r="E14" s="1615" t="s">
        <v>1159</v>
      </c>
      <c r="F14" s="1606">
        <f>'Expenditures 15-22'!K185</f>
        <v>0</v>
      </c>
      <c r="G14" s="1606">
        <f>'Expenditures 15-22'!K280</f>
        <v>0</v>
      </c>
      <c r="H14" s="1611"/>
      <c r="I14" s="1574" t="s">
        <v>1159</v>
      </c>
      <c r="J14" s="1574" t="s">
        <v>1159</v>
      </c>
      <c r="K14" s="1611" t="s">
        <v>1159</v>
      </c>
      <c r="L14" s="325"/>
    </row>
    <row r="15" spans="1:13" ht="15.75" customHeight="1" x14ac:dyDescent="0.2">
      <c r="A15" s="1313" t="s">
        <v>107</v>
      </c>
      <c r="B15" s="1315">
        <v>4000</v>
      </c>
      <c r="C15" s="1606">
        <f>'Expenditures 15-22'!K102</f>
        <v>171833</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73984</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2723318</v>
      </c>
      <c r="D17" s="1593">
        <f t="shared" si="2"/>
        <v>214247</v>
      </c>
      <c r="E17" s="1593">
        <f t="shared" si="2"/>
        <v>73984</v>
      </c>
      <c r="F17" s="1593">
        <f t="shared" si="2"/>
        <v>282148</v>
      </c>
      <c r="G17" s="1593">
        <f t="shared" si="2"/>
        <v>80781</v>
      </c>
      <c r="H17" s="1593">
        <f t="shared" si="2"/>
        <v>0</v>
      </c>
      <c r="I17" s="1574"/>
      <c r="J17" s="1593">
        <f>SUM(J12:J16)</f>
        <v>38299</v>
      </c>
      <c r="K17" s="1593">
        <f>SUM(K12:K16)</f>
        <v>2543</v>
      </c>
      <c r="L17" s="325"/>
    </row>
    <row r="18" spans="1:12" ht="15" customHeight="1" thickTop="1" x14ac:dyDescent="0.2">
      <c r="A18" s="1429" t="s">
        <v>1635</v>
      </c>
      <c r="B18" s="1430">
        <v>4180</v>
      </c>
      <c r="C18" s="1605">
        <f t="shared" ref="C18:H18" si="3">C9</f>
        <v>1313707</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4037025</v>
      </c>
      <c r="D19" s="1593">
        <f t="shared" si="4"/>
        <v>214247</v>
      </c>
      <c r="E19" s="1593">
        <f t="shared" si="4"/>
        <v>73984</v>
      </c>
      <c r="F19" s="1593">
        <f t="shared" si="4"/>
        <v>282148</v>
      </c>
      <c r="G19" s="1593">
        <f t="shared" si="4"/>
        <v>80781</v>
      </c>
      <c r="H19" s="1593">
        <f t="shared" si="4"/>
        <v>0</v>
      </c>
      <c r="I19" s="1574"/>
      <c r="J19" s="1593">
        <f>SUM(J17:J18)</f>
        <v>38299</v>
      </c>
      <c r="K19" s="1593">
        <f>SUM(K17:K18)</f>
        <v>2543</v>
      </c>
      <c r="L19" s="325"/>
    </row>
    <row r="20" spans="1:12" ht="16.5" thickTop="1" thickBot="1" x14ac:dyDescent="0.25">
      <c r="A20" s="2230" t="s">
        <v>1636</v>
      </c>
      <c r="B20" s="2231"/>
      <c r="C20" s="1621">
        <f>C8-C17</f>
        <v>103548</v>
      </c>
      <c r="D20" s="1621">
        <f t="shared" ref="D20:K20" si="5">D8-D17</f>
        <v>-110453</v>
      </c>
      <c r="E20" s="1621">
        <f t="shared" si="5"/>
        <v>1621</v>
      </c>
      <c r="F20" s="1621">
        <f t="shared" si="5"/>
        <v>-101832</v>
      </c>
      <c r="G20" s="1621">
        <f t="shared" si="5"/>
        <v>-24079</v>
      </c>
      <c r="H20" s="1621">
        <f t="shared" si="5"/>
        <v>0</v>
      </c>
      <c r="I20" s="1621">
        <f t="shared" si="5"/>
        <v>2847</v>
      </c>
      <c r="J20" s="1621">
        <f t="shared" si="5"/>
        <v>16508</v>
      </c>
      <c r="K20" s="1621">
        <f t="shared" si="5"/>
        <v>-2529</v>
      </c>
      <c r="L20" s="325"/>
    </row>
    <row r="21" spans="1:12" ht="16.7" customHeight="1" thickTop="1" x14ac:dyDescent="0.2">
      <c r="A21" s="2242" t="s">
        <v>591</v>
      </c>
      <c r="B21" s="2243"/>
      <c r="C21" s="1601"/>
      <c r="D21" s="1602"/>
      <c r="E21" s="1602"/>
      <c r="F21" s="1602"/>
      <c r="G21" s="1602"/>
      <c r="H21" s="1602"/>
      <c r="I21" s="1602"/>
      <c r="J21" s="1602"/>
      <c r="K21" s="1614"/>
      <c r="L21" s="453"/>
    </row>
    <row r="22" spans="1:12" ht="15.75" customHeight="1" collapsed="1" x14ac:dyDescent="0.2">
      <c r="A22" s="2238" t="s">
        <v>592</v>
      </c>
      <c r="B22" s="2239"/>
      <c r="C22" s="1581"/>
      <c r="D22" s="1581"/>
      <c r="E22" s="1581"/>
      <c r="F22" s="1581"/>
      <c r="G22" s="1581"/>
      <c r="H22" s="1581"/>
      <c r="I22" s="1581"/>
      <c r="J22" s="1581"/>
      <c r="K22" s="1581"/>
      <c r="L22" s="325"/>
    </row>
    <row r="23" spans="1:12" s="433" customFormat="1" ht="15.75" customHeight="1" x14ac:dyDescent="0.2">
      <c r="A23" s="2234" t="s">
        <v>290</v>
      </c>
      <c r="B23" s="2235"/>
      <c r="C23" s="1584"/>
      <c r="D23" s="1581"/>
      <c r="E23" s="1581"/>
      <c r="F23" s="1581"/>
      <c r="G23" s="1581"/>
      <c r="H23" s="1581"/>
      <c r="I23" s="1581"/>
      <c r="J23" s="1581"/>
      <c r="K23" s="1581"/>
      <c r="L23" s="453"/>
    </row>
    <row r="24" spans="1:12" s="433" customFormat="1" ht="13.5" customHeight="1" x14ac:dyDescent="0.2">
      <c r="A24" s="1259" t="s">
        <v>1637</v>
      </c>
      <c r="B24" s="454">
        <v>7110</v>
      </c>
      <c r="C24" s="1573"/>
      <c r="D24" s="1581"/>
      <c r="E24" s="1581"/>
      <c r="F24" s="1581"/>
      <c r="G24" s="1581"/>
      <c r="H24" s="1581"/>
      <c r="I24" s="1581"/>
      <c r="J24" s="1581"/>
      <c r="K24" s="1581"/>
      <c r="L24" s="453"/>
    </row>
    <row r="25" spans="1:12" s="433" customFormat="1" ht="13.5" customHeight="1" x14ac:dyDescent="0.2">
      <c r="A25" s="1259" t="s">
        <v>1638</v>
      </c>
      <c r="B25" s="454">
        <v>7110</v>
      </c>
      <c r="C25" s="1573">
        <v>40000</v>
      </c>
      <c r="D25" s="1573">
        <v>55009</v>
      </c>
      <c r="E25" s="1573"/>
      <c r="F25" s="1573">
        <v>14500</v>
      </c>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1771</v>
      </c>
      <c r="B30" s="455">
        <v>7160</v>
      </c>
      <c r="C30" s="1581"/>
      <c r="D30" s="1573"/>
      <c r="E30" s="1581"/>
      <c r="F30" s="1581"/>
      <c r="G30" s="1581"/>
      <c r="H30" s="1581"/>
      <c r="I30" s="1581"/>
      <c r="J30" s="1581"/>
      <c r="K30" s="1581"/>
      <c r="L30" s="453"/>
    </row>
    <row r="31" spans="1:12" s="433" customFormat="1" ht="26.25" x14ac:dyDescent="0.2">
      <c r="A31" s="1259" t="s">
        <v>1775</v>
      </c>
      <c r="B31" s="455">
        <v>7170</v>
      </c>
      <c r="C31" s="1581"/>
      <c r="D31" s="1581"/>
      <c r="E31" s="1578"/>
      <c r="F31" s="1581"/>
      <c r="G31" s="1581"/>
      <c r="H31" s="1581"/>
      <c r="I31" s="1581"/>
      <c r="J31" s="1581"/>
      <c r="K31" s="1581"/>
      <c r="L31" s="453"/>
    </row>
    <row r="32" spans="1:12" s="433" customFormat="1" ht="15.75" customHeight="1" x14ac:dyDescent="0.2">
      <c r="A32" s="2236" t="s">
        <v>974</v>
      </c>
      <c r="B32" s="2237"/>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c r="D36" s="1573"/>
      <c r="E36" s="1573"/>
      <c r="F36" s="1573"/>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c r="F43" s="1573"/>
      <c r="G43" s="1573"/>
      <c r="H43" s="1573"/>
      <c r="I43" s="1573"/>
      <c r="J43" s="1573"/>
      <c r="K43" s="1573"/>
      <c r="L43" s="453"/>
    </row>
    <row r="44" spans="1:12" s="433" customFormat="1" ht="13.5" customHeight="1" thickBot="1" x14ac:dyDescent="0.25">
      <c r="A44" s="2244" t="s">
        <v>371</v>
      </c>
      <c r="B44" s="2245"/>
      <c r="C44" s="1623">
        <f>SUM(C24:C43)</f>
        <v>40000</v>
      </c>
      <c r="D44" s="1623">
        <f t="shared" ref="D44:K44" si="6">SUM(D24:D43)</f>
        <v>55009</v>
      </c>
      <c r="E44" s="1623">
        <f t="shared" si="6"/>
        <v>0</v>
      </c>
      <c r="F44" s="1623">
        <f t="shared" si="6"/>
        <v>14500</v>
      </c>
      <c r="G44" s="1623">
        <f t="shared" si="6"/>
        <v>0</v>
      </c>
      <c r="H44" s="1623">
        <f t="shared" si="6"/>
        <v>0</v>
      </c>
      <c r="I44" s="1623">
        <f t="shared" si="6"/>
        <v>0</v>
      </c>
      <c r="J44" s="1623">
        <f t="shared" si="6"/>
        <v>0</v>
      </c>
      <c r="K44" s="1623">
        <f t="shared" si="6"/>
        <v>0</v>
      </c>
      <c r="L44" s="453"/>
    </row>
    <row r="45" spans="1:12" ht="15.75" customHeight="1" thickTop="1" x14ac:dyDescent="0.2">
      <c r="A45" s="2238" t="s">
        <v>108</v>
      </c>
      <c r="B45" s="2239"/>
      <c r="C45" s="1624"/>
      <c r="D45" s="1624"/>
      <c r="E45" s="1624"/>
      <c r="F45" s="1624"/>
      <c r="G45" s="1624"/>
      <c r="H45" s="1624"/>
      <c r="I45" s="1624"/>
      <c r="J45" s="1624"/>
      <c r="K45" s="1624"/>
      <c r="L45" s="325"/>
    </row>
    <row r="46" spans="1:12" s="433" customFormat="1" ht="15.75" customHeight="1" x14ac:dyDescent="0.2">
      <c r="A46" s="2246" t="s">
        <v>109</v>
      </c>
      <c r="B46" s="2247"/>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109509</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1774</v>
      </c>
      <c r="B52" s="432">
        <v>8160</v>
      </c>
      <c r="C52" s="1581"/>
      <c r="D52" s="1581"/>
      <c r="E52" s="1581"/>
      <c r="F52" s="1581"/>
      <c r="G52" s="1581"/>
      <c r="H52" s="1581"/>
      <c r="I52" s="1581"/>
      <c r="J52" s="1581"/>
      <c r="K52" s="1606">
        <f>D30</f>
        <v>0</v>
      </c>
      <c r="L52" s="453"/>
    </row>
    <row r="53" spans="1:12" s="433" customFormat="1" ht="26.25" x14ac:dyDescent="0.2">
      <c r="A53" s="1260" t="s">
        <v>1773</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220" t="s">
        <v>437</v>
      </c>
      <c r="B76" s="2221"/>
      <c r="C76" s="1623">
        <f t="shared" ref="C76:K76" si="7">SUM(C47:C75)</f>
        <v>0</v>
      </c>
      <c r="D76" s="1623">
        <f t="shared" si="7"/>
        <v>0</v>
      </c>
      <c r="E76" s="1623">
        <f t="shared" si="7"/>
        <v>0</v>
      </c>
      <c r="F76" s="1623">
        <f t="shared" si="7"/>
        <v>0</v>
      </c>
      <c r="G76" s="1623">
        <f t="shared" si="7"/>
        <v>0</v>
      </c>
      <c r="H76" s="1623">
        <f t="shared" si="7"/>
        <v>0</v>
      </c>
      <c r="I76" s="1623">
        <f t="shared" si="7"/>
        <v>109509</v>
      </c>
      <c r="J76" s="1623">
        <f t="shared" si="7"/>
        <v>0</v>
      </c>
      <c r="K76" s="1623">
        <f t="shared" si="7"/>
        <v>0</v>
      </c>
      <c r="L76" s="453"/>
    </row>
    <row r="77" spans="1:12" ht="14.25" thickTop="1" thickBot="1" x14ac:dyDescent="0.25">
      <c r="A77" s="2222" t="s">
        <v>1167</v>
      </c>
      <c r="B77" s="2223"/>
      <c r="C77" s="1623">
        <f t="shared" ref="C77:K77" si="8">C44-C76</f>
        <v>40000</v>
      </c>
      <c r="D77" s="1623">
        <f t="shared" si="8"/>
        <v>55009</v>
      </c>
      <c r="E77" s="1623">
        <f t="shared" si="8"/>
        <v>0</v>
      </c>
      <c r="F77" s="1623">
        <f t="shared" si="8"/>
        <v>14500</v>
      </c>
      <c r="G77" s="1623">
        <f t="shared" si="8"/>
        <v>0</v>
      </c>
      <c r="H77" s="1623">
        <f t="shared" si="8"/>
        <v>0</v>
      </c>
      <c r="I77" s="1623">
        <f t="shared" si="8"/>
        <v>-109509</v>
      </c>
      <c r="J77" s="1623">
        <f t="shared" si="8"/>
        <v>0</v>
      </c>
      <c r="K77" s="1623">
        <f t="shared" si="8"/>
        <v>0</v>
      </c>
      <c r="L77" s="325"/>
    </row>
    <row r="78" spans="1:12" ht="21.75" customHeight="1" thickTop="1" thickBot="1" x14ac:dyDescent="0.25">
      <c r="A78" s="2226" t="s">
        <v>593</v>
      </c>
      <c r="B78" s="2227"/>
      <c r="C78" s="1628">
        <f t="shared" ref="C78:K78" si="9">C20+C77</f>
        <v>143548</v>
      </c>
      <c r="D78" s="1628">
        <f t="shared" si="9"/>
        <v>-55444</v>
      </c>
      <c r="E78" s="1628">
        <f t="shared" si="9"/>
        <v>1621</v>
      </c>
      <c r="F78" s="1628">
        <f t="shared" si="9"/>
        <v>-87332</v>
      </c>
      <c r="G78" s="1628">
        <f t="shared" si="9"/>
        <v>-24079</v>
      </c>
      <c r="H78" s="1628">
        <f t="shared" si="9"/>
        <v>0</v>
      </c>
      <c r="I78" s="1628">
        <f t="shared" si="9"/>
        <v>-106662</v>
      </c>
      <c r="J78" s="1628">
        <f t="shared" si="9"/>
        <v>16508</v>
      </c>
      <c r="K78" s="1628">
        <f t="shared" si="9"/>
        <v>-2529</v>
      </c>
      <c r="L78" s="457"/>
    </row>
    <row r="79" spans="1:12" ht="13.5" thickTop="1" x14ac:dyDescent="0.2">
      <c r="A79" s="1843" t="str">
        <f>"Fund Balances - July 1, "&amp;'AFR20'!E2-1</f>
        <v>Fund Balances - July 1, 2019</v>
      </c>
      <c r="B79" s="458"/>
      <c r="C79" s="1582">
        <v>1412079</v>
      </c>
      <c r="D79" s="1629">
        <v>206223</v>
      </c>
      <c r="E79" s="1629">
        <v>24498</v>
      </c>
      <c r="F79" s="1629">
        <v>382812</v>
      </c>
      <c r="G79" s="1629">
        <v>48123</v>
      </c>
      <c r="H79" s="1629"/>
      <c r="I79" s="1629">
        <v>323245</v>
      </c>
      <c r="J79" s="1629">
        <v>56363</v>
      </c>
      <c r="K79" s="1629">
        <v>2539</v>
      </c>
      <c r="L79" s="325"/>
    </row>
    <row r="80" spans="1:12" x14ac:dyDescent="0.2">
      <c r="A80" s="2232" t="s">
        <v>1772</v>
      </c>
      <c r="B80" s="2233"/>
      <c r="C80" s="1573"/>
      <c r="D80" s="1573"/>
      <c r="E80" s="1573"/>
      <c r="F80" s="1573"/>
      <c r="G80" s="1573"/>
      <c r="H80" s="1573"/>
      <c r="I80" s="1573"/>
      <c r="J80" s="1573"/>
      <c r="K80" s="1573"/>
      <c r="L80" s="325"/>
    </row>
    <row r="81" spans="1:12" ht="13.5" thickBot="1" x14ac:dyDescent="0.25">
      <c r="A81" s="2224" t="str">
        <f>"Fund Balances - June 30, "&amp;'AFR20'!E2</f>
        <v>Fund Balances - June 30, 2020</v>
      </c>
      <c r="B81" s="2225"/>
      <c r="C81" s="1593">
        <f>(SUM(C78:C80))</f>
        <v>1555627</v>
      </c>
      <c r="D81" s="1593">
        <f>SUM(D78:D80)</f>
        <v>150779</v>
      </c>
      <c r="E81" s="1593">
        <f t="shared" ref="E81:K81" si="10">SUM(E78:E80)</f>
        <v>26119</v>
      </c>
      <c r="F81" s="1593">
        <f t="shared" si="10"/>
        <v>295480</v>
      </c>
      <c r="G81" s="1593">
        <f t="shared" si="10"/>
        <v>24044</v>
      </c>
      <c r="H81" s="1593">
        <f t="shared" si="10"/>
        <v>0</v>
      </c>
      <c r="I81" s="1593">
        <f t="shared" si="10"/>
        <v>216583</v>
      </c>
      <c r="J81" s="1593">
        <f t="shared" si="10"/>
        <v>72871</v>
      </c>
      <c r="K81" s="1593">
        <f t="shared" si="10"/>
        <v>10</v>
      </c>
      <c r="L81" s="325"/>
    </row>
    <row r="82" spans="1:12" ht="0.75" customHeight="1" thickTop="1" thickBot="1" x14ac:dyDescent="0.25">
      <c r="A82" s="459" t="s">
        <v>340</v>
      </c>
      <c r="B82" s="460"/>
      <c r="C82" s="461">
        <f>(C81-C79)</f>
        <v>143548</v>
      </c>
      <c r="D82" s="461">
        <f t="shared" ref="D82:K82" si="11">(D81-D79)</f>
        <v>-55444</v>
      </c>
      <c r="E82" s="461">
        <f t="shared" si="11"/>
        <v>1621</v>
      </c>
      <c r="F82" s="461">
        <f t="shared" si="11"/>
        <v>-87332</v>
      </c>
      <c r="G82" s="461">
        <f t="shared" si="11"/>
        <v>-24079</v>
      </c>
      <c r="H82" s="461">
        <f t="shared" si="11"/>
        <v>0</v>
      </c>
      <c r="I82" s="461">
        <f t="shared" si="11"/>
        <v>-106662</v>
      </c>
      <c r="J82" s="461">
        <f t="shared" si="11"/>
        <v>16508</v>
      </c>
      <c r="K82" s="461">
        <f t="shared" si="11"/>
        <v>-2529</v>
      </c>
    </row>
    <row r="83" spans="1:12" ht="14.25" hidden="1" thickTop="1" thickBot="1" x14ac:dyDescent="0.25">
      <c r="A83" s="462" t="s">
        <v>341</v>
      </c>
      <c r="B83" s="428"/>
      <c r="C83" s="463">
        <f>C82/C81</f>
        <v>9.227661900956978E-2</v>
      </c>
      <c r="D83" s="463">
        <f t="shared" ref="D83:K83" si="12">D82/D81</f>
        <v>-0.36771698976647943</v>
      </c>
      <c r="E83" s="463">
        <f t="shared" si="12"/>
        <v>6.2062100386691681E-2</v>
      </c>
      <c r="F83" s="463">
        <f t="shared" si="12"/>
        <v>-0.29555976715852172</v>
      </c>
      <c r="G83" s="463">
        <f t="shared" si="12"/>
        <v>-1.0014556646148727</v>
      </c>
      <c r="H83" s="463" t="e">
        <f t="shared" si="12"/>
        <v>#DIV/0!</v>
      </c>
      <c r="I83" s="463">
        <f t="shared" si="12"/>
        <v>-0.49247632547337511</v>
      </c>
      <c r="J83" s="463">
        <f t="shared" si="12"/>
        <v>0.22653730564970975</v>
      </c>
      <c r="K83" s="463">
        <f t="shared" si="12"/>
        <v>-252.9</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45" sqref="F45"/>
      <selection pane="bottomLeft" activeCell="C14" sqref="C1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1779</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433593</v>
      </c>
      <c r="D5" s="1585">
        <v>33214</v>
      </c>
      <c r="E5" s="1572">
        <v>73592</v>
      </c>
      <c r="F5" s="1630">
        <v>32251</v>
      </c>
      <c r="G5" s="1572">
        <v>19659</v>
      </c>
      <c r="H5" s="1572"/>
      <c r="I5" s="1572"/>
      <c r="J5" s="1573">
        <v>31455</v>
      </c>
      <c r="K5" s="1572"/>
    </row>
    <row r="6" spans="1:12" ht="15" x14ac:dyDescent="0.2">
      <c r="A6" s="427" t="s">
        <v>1643</v>
      </c>
      <c r="B6" s="429">
        <v>1130</v>
      </c>
      <c r="C6" s="1572"/>
      <c r="D6" s="1572"/>
      <c r="E6" s="1579"/>
      <c r="F6" s="1579"/>
      <c r="G6" s="1574"/>
      <c r="H6" s="1574"/>
      <c r="I6" s="1574"/>
      <c r="J6" s="1574"/>
      <c r="K6" s="1574"/>
    </row>
    <row r="7" spans="1:12" x14ac:dyDescent="0.2">
      <c r="A7" s="427" t="s">
        <v>110</v>
      </c>
      <c r="B7" s="471">
        <v>1140</v>
      </c>
      <c r="C7" s="1572">
        <v>3241</v>
      </c>
      <c r="D7" s="1572"/>
      <c r="E7" s="1574"/>
      <c r="F7" s="1573"/>
      <c r="G7" s="1573"/>
      <c r="H7" s="1573"/>
      <c r="I7" s="1574"/>
      <c r="J7" s="1574"/>
      <c r="K7" s="1574"/>
    </row>
    <row r="8" spans="1:12" x14ac:dyDescent="0.2">
      <c r="A8" s="427" t="s">
        <v>410</v>
      </c>
      <c r="B8" s="429">
        <v>1150</v>
      </c>
      <c r="C8" s="1579"/>
      <c r="D8" s="1579"/>
      <c r="E8" s="1581"/>
      <c r="F8" s="1581"/>
      <c r="G8" s="1585">
        <v>30866</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436834</v>
      </c>
      <c r="D12" s="1632">
        <f t="shared" si="0"/>
        <v>33214</v>
      </c>
      <c r="E12" s="1632">
        <f t="shared" si="0"/>
        <v>73592</v>
      </c>
      <c r="F12" s="1632">
        <f t="shared" si="0"/>
        <v>32251</v>
      </c>
      <c r="G12" s="1632">
        <f t="shared" si="0"/>
        <v>50525</v>
      </c>
      <c r="H12" s="1632">
        <f t="shared" si="0"/>
        <v>0</v>
      </c>
      <c r="I12" s="1632">
        <f t="shared" si="0"/>
        <v>0</v>
      </c>
      <c r="J12" s="1632">
        <f t="shared" si="0"/>
        <v>31455</v>
      </c>
      <c r="K12" s="1593">
        <f t="shared" si="0"/>
        <v>0</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4053</v>
      </c>
      <c r="D14" s="1572">
        <v>308</v>
      </c>
      <c r="E14" s="1572">
        <v>683</v>
      </c>
      <c r="F14" s="1572">
        <v>299</v>
      </c>
      <c r="G14" s="1572">
        <v>469</v>
      </c>
      <c r="H14" s="1572"/>
      <c r="I14" s="1572"/>
      <c r="J14" s="1573">
        <v>292</v>
      </c>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v>43830</v>
      </c>
      <c r="D16" s="1572"/>
      <c r="E16" s="1572"/>
      <c r="F16" s="1572"/>
      <c r="G16" s="1572">
        <v>5000</v>
      </c>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47883</v>
      </c>
      <c r="D18" s="1634">
        <f t="shared" ref="D18:K18" si="1">SUM(D14:D17)</f>
        <v>308</v>
      </c>
      <c r="E18" s="1634">
        <f t="shared" si="1"/>
        <v>683</v>
      </c>
      <c r="F18" s="1634">
        <f t="shared" si="1"/>
        <v>299</v>
      </c>
      <c r="G18" s="1634">
        <f t="shared" si="1"/>
        <v>5469</v>
      </c>
      <c r="H18" s="1634">
        <f t="shared" si="1"/>
        <v>0</v>
      </c>
      <c r="I18" s="1634">
        <f t="shared" si="1"/>
        <v>0</v>
      </c>
      <c r="J18" s="1634">
        <f t="shared" si="1"/>
        <v>292</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v>6000</v>
      </c>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v>2427</v>
      </c>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8427</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17561</v>
      </c>
      <c r="D65" s="1572">
        <v>2285</v>
      </c>
      <c r="E65" s="1572">
        <v>530</v>
      </c>
      <c r="F65" s="1573">
        <v>4443</v>
      </c>
      <c r="G65" s="1572">
        <v>708</v>
      </c>
      <c r="H65" s="1572"/>
      <c r="I65" s="1572">
        <v>2847</v>
      </c>
      <c r="J65" s="1573">
        <v>732</v>
      </c>
      <c r="K65" s="1572">
        <v>14</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17561</v>
      </c>
      <c r="D67" s="1593">
        <f t="shared" ref="D67:K67" si="2">SUM(D65:D66)</f>
        <v>2285</v>
      </c>
      <c r="E67" s="1593">
        <f t="shared" si="2"/>
        <v>530</v>
      </c>
      <c r="F67" s="1593">
        <f t="shared" si="2"/>
        <v>4443</v>
      </c>
      <c r="G67" s="1593">
        <f t="shared" si="2"/>
        <v>708</v>
      </c>
      <c r="H67" s="1593">
        <f t="shared" si="2"/>
        <v>0</v>
      </c>
      <c r="I67" s="1593">
        <f t="shared" si="2"/>
        <v>2847</v>
      </c>
      <c r="J67" s="1593">
        <f t="shared" si="2"/>
        <v>732</v>
      </c>
      <c r="K67" s="1593">
        <f t="shared" si="2"/>
        <v>14</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43288</v>
      </c>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v>99</v>
      </c>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v>1684</v>
      </c>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5" t="s">
        <v>544</v>
      </c>
      <c r="B75" s="1406"/>
      <c r="C75" s="1593">
        <f>SUM(C69:C74)</f>
        <v>45071</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8319</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8319</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2549</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2549</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v>7948</v>
      </c>
      <c r="D95" s="1631"/>
      <c r="E95" s="1616"/>
      <c r="F95" s="1616"/>
      <c r="G95" s="1616"/>
      <c r="H95" s="1616"/>
      <c r="I95" s="1616"/>
      <c r="J95" s="1616"/>
      <c r="K95" s="1616"/>
    </row>
    <row r="96" spans="1:11" ht="12.75" customHeight="1" x14ac:dyDescent="0.2">
      <c r="A96" s="427" t="s">
        <v>388</v>
      </c>
      <c r="B96" s="429">
        <v>1920</v>
      </c>
      <c r="C96" s="1631"/>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v>734</v>
      </c>
      <c r="D99" s="1572"/>
      <c r="E99" s="1572"/>
      <c r="F99" s="1572"/>
      <c r="G99" s="1572"/>
      <c r="H99" s="1572"/>
      <c r="I99" s="1574"/>
      <c r="J99" s="1573">
        <v>2328</v>
      </c>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c r="I103" s="1574"/>
      <c r="J103" s="1609"/>
      <c r="K103" s="1609"/>
    </row>
    <row r="104" spans="1:12" ht="12.75" customHeight="1" x14ac:dyDescent="0.2">
      <c r="A104" s="427" t="s">
        <v>825</v>
      </c>
      <c r="B104" s="429">
        <v>1991</v>
      </c>
      <c r="C104" s="1597"/>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1413</v>
      </c>
      <c r="B106" s="429">
        <v>1993</v>
      </c>
      <c r="C106" s="1572"/>
      <c r="D106" s="1597"/>
      <c r="E106" s="1573"/>
      <c r="F106" s="1573"/>
      <c r="G106" s="1573"/>
      <c r="H106" s="1573"/>
      <c r="I106" s="1616"/>
      <c r="J106" s="1573"/>
      <c r="K106" s="1573"/>
    </row>
    <row r="107" spans="1:12" ht="12.75" customHeight="1" x14ac:dyDescent="0.2">
      <c r="A107" s="427" t="s">
        <v>78</v>
      </c>
      <c r="B107" s="429">
        <v>1999</v>
      </c>
      <c r="C107" s="1631">
        <v>7102</v>
      </c>
      <c r="D107" s="1572">
        <v>17987</v>
      </c>
      <c r="E107" s="1572"/>
      <c r="F107" s="1572"/>
      <c r="G107" s="1572"/>
      <c r="H107" s="1572"/>
      <c r="I107" s="1572"/>
      <c r="J107" s="1573"/>
      <c r="K107" s="1572"/>
    </row>
    <row r="108" spans="1:12" ht="12.75" customHeight="1" thickBot="1" x14ac:dyDescent="0.25">
      <c r="A108" s="1405" t="s">
        <v>484</v>
      </c>
      <c r="B108" s="1407"/>
      <c r="C108" s="1632">
        <f>SUM(C95:C107)</f>
        <v>15784</v>
      </c>
      <c r="D108" s="1632">
        <f t="shared" ref="D108:K108" si="3">SUM(D95:D107)</f>
        <v>17987</v>
      </c>
      <c r="E108" s="1632">
        <f t="shared" si="3"/>
        <v>0</v>
      </c>
      <c r="F108" s="1632">
        <f t="shared" si="3"/>
        <v>0</v>
      </c>
      <c r="G108" s="1632">
        <f t="shared" si="3"/>
        <v>0</v>
      </c>
      <c r="H108" s="1632">
        <f t="shared" si="3"/>
        <v>0</v>
      </c>
      <c r="I108" s="1632">
        <f t="shared" si="3"/>
        <v>0</v>
      </c>
      <c r="J108" s="1632">
        <f t="shared" si="3"/>
        <v>2328</v>
      </c>
      <c r="K108" s="1593">
        <f t="shared" si="3"/>
        <v>0</v>
      </c>
    </row>
    <row r="109" spans="1:12" ht="14.25" thickTop="1" thickBot="1" x14ac:dyDescent="0.25">
      <c r="A109" s="1408" t="s">
        <v>246</v>
      </c>
      <c r="B109" s="1409" t="s">
        <v>566</v>
      </c>
      <c r="C109" s="1640">
        <f t="shared" ref="C109:K109" si="4">SUM(C12,C18,C40,C63,C67,C75,C82,C93,C108,)</f>
        <v>582428</v>
      </c>
      <c r="D109" s="1640">
        <f t="shared" si="4"/>
        <v>53794</v>
      </c>
      <c r="E109" s="1640">
        <f t="shared" si="4"/>
        <v>74805</v>
      </c>
      <c r="F109" s="1640">
        <f t="shared" si="4"/>
        <v>36993</v>
      </c>
      <c r="G109" s="1640">
        <f t="shared" si="4"/>
        <v>56702</v>
      </c>
      <c r="H109" s="1640">
        <f t="shared" si="4"/>
        <v>0</v>
      </c>
      <c r="I109" s="1640">
        <f t="shared" si="4"/>
        <v>2847</v>
      </c>
      <c r="J109" s="1640">
        <f t="shared" si="4"/>
        <v>34807</v>
      </c>
      <c r="K109" s="1628">
        <f t="shared" si="4"/>
        <v>14</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1864986</v>
      </c>
      <c r="D117" s="1585"/>
      <c r="E117" s="1572">
        <v>800</v>
      </c>
      <c r="F117" s="1585"/>
      <c r="G117" s="1585"/>
      <c r="H117" s="1572"/>
      <c r="I117" s="1574"/>
      <c r="J117" s="1573">
        <v>20000</v>
      </c>
      <c r="K117" s="1572"/>
    </row>
    <row r="118" spans="1:11" ht="12.75" customHeight="1" x14ac:dyDescent="0.2">
      <c r="A118" s="427" t="s">
        <v>1776</v>
      </c>
      <c r="B118" s="478">
        <v>3002</v>
      </c>
      <c r="C118" s="1631"/>
      <c r="D118" s="1572"/>
      <c r="E118" s="1572"/>
      <c r="F118" s="1572"/>
      <c r="G118" s="1572"/>
      <c r="H118" s="1572"/>
      <c r="I118" s="1574"/>
      <c r="J118" s="1573"/>
      <c r="K118" s="1572"/>
    </row>
    <row r="119" spans="1:11" ht="12.75" customHeight="1" x14ac:dyDescent="0.2">
      <c r="A119" s="427" t="s">
        <v>1777</v>
      </c>
      <c r="B119" s="478">
        <v>3005</v>
      </c>
      <c r="C119" s="1631"/>
      <c r="D119" s="1572"/>
      <c r="E119" s="1572"/>
      <c r="F119" s="1572"/>
      <c r="G119" s="1572"/>
      <c r="H119" s="1572"/>
      <c r="I119" s="1574"/>
      <c r="J119" s="1573"/>
      <c r="K119" s="1572"/>
    </row>
    <row r="120" spans="1:11" ht="12.75" customHeight="1" x14ac:dyDescent="0.2">
      <c r="A120" s="1538" t="s">
        <v>1895</v>
      </c>
      <c r="B120" s="478">
        <v>3030</v>
      </c>
      <c r="C120" s="1631"/>
      <c r="D120" s="1572"/>
      <c r="E120" s="1572"/>
      <c r="F120" s="1572"/>
      <c r="G120" s="1572"/>
      <c r="H120" s="1572"/>
      <c r="I120" s="1574"/>
      <c r="J120" s="1573"/>
      <c r="K120" s="1572"/>
    </row>
    <row r="121" spans="1:11" x14ac:dyDescent="0.2">
      <c r="A121" s="1265" t="s">
        <v>1778</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1864986</v>
      </c>
      <c r="D122" s="1632">
        <f t="shared" si="5"/>
        <v>0</v>
      </c>
      <c r="E122" s="1632">
        <f t="shared" si="5"/>
        <v>800</v>
      </c>
      <c r="F122" s="1632">
        <f t="shared" si="5"/>
        <v>0</v>
      </c>
      <c r="G122" s="1632">
        <f t="shared" si="5"/>
        <v>0</v>
      </c>
      <c r="H122" s="1632">
        <f t="shared" si="5"/>
        <v>0</v>
      </c>
      <c r="I122" s="1574"/>
      <c r="J122" s="1632">
        <f>SUM(J117:J121)</f>
        <v>20000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v>76402</v>
      </c>
      <c r="D128" s="1639"/>
      <c r="E128" s="1574"/>
      <c r="F128" s="1572"/>
      <c r="G128" s="1574"/>
      <c r="H128" s="1574"/>
      <c r="I128" s="1574"/>
      <c r="J128" s="1574"/>
      <c r="K128" s="1574"/>
    </row>
    <row r="129" spans="1:11" ht="12.75" customHeight="1" x14ac:dyDescent="0.2">
      <c r="A129" s="427" t="s">
        <v>1430</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76402</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1237</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100919</v>
      </c>
      <c r="G152" s="1573"/>
      <c r="H152" s="1574"/>
      <c r="I152" s="1574"/>
      <c r="J152" s="1574"/>
      <c r="K152" s="1574"/>
    </row>
    <row r="153" spans="1:11" ht="12.75" customHeight="1" x14ac:dyDescent="0.2">
      <c r="A153" s="427" t="s">
        <v>1048</v>
      </c>
      <c r="B153" s="478">
        <v>3510</v>
      </c>
      <c r="C153" s="1631"/>
      <c r="D153" s="1572"/>
      <c r="E153" s="1639"/>
      <c r="F153" s="1572">
        <v>42404</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143323</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v>50000</v>
      </c>
      <c r="E167" s="1616"/>
      <c r="F167" s="1616"/>
      <c r="G167" s="1574"/>
      <c r="H167" s="1626"/>
      <c r="I167" s="1574"/>
      <c r="J167" s="1574"/>
      <c r="K167" s="1625"/>
    </row>
    <row r="168" spans="1:11" ht="14.25" thickTop="1" thickBot="1" x14ac:dyDescent="0.25">
      <c r="A168" s="1269" t="s">
        <v>70</v>
      </c>
      <c r="B168" s="484">
        <v>3999</v>
      </c>
      <c r="C168" s="1653">
        <v>21973</v>
      </c>
      <c r="D168" s="1654"/>
      <c r="E168" s="1654"/>
      <c r="F168" s="1654"/>
      <c r="G168" s="1655"/>
      <c r="H168" s="1656"/>
      <c r="I168" s="1655"/>
      <c r="J168" s="1655"/>
      <c r="K168" s="1656"/>
    </row>
    <row r="169" spans="1:11" ht="12.75" customHeight="1" thickTop="1" thickBot="1" x14ac:dyDescent="0.25">
      <c r="A169" s="2248" t="s">
        <v>395</v>
      </c>
      <c r="B169" s="2249"/>
      <c r="C169" s="1657">
        <f t="shared" ref="C169:K169" si="6">SUM(C132,C141,C145,C146:C150,C155,C156:C167,C168)</f>
        <v>99612</v>
      </c>
      <c r="D169" s="1657">
        <f t="shared" si="6"/>
        <v>50000</v>
      </c>
      <c r="E169" s="1657">
        <f t="shared" si="6"/>
        <v>0</v>
      </c>
      <c r="F169" s="1657">
        <f t="shared" si="6"/>
        <v>143323</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1964598</v>
      </c>
      <c r="D170" s="1640">
        <f t="shared" si="7"/>
        <v>50000</v>
      </c>
      <c r="E170" s="1640">
        <f t="shared" si="7"/>
        <v>800</v>
      </c>
      <c r="F170" s="1640">
        <f t="shared" si="7"/>
        <v>143323</v>
      </c>
      <c r="G170" s="1640">
        <f t="shared" si="7"/>
        <v>0</v>
      </c>
      <c r="H170" s="1640">
        <f t="shared" si="7"/>
        <v>0</v>
      </c>
      <c r="I170" s="1640">
        <f t="shared" si="7"/>
        <v>0</v>
      </c>
      <c r="J170" s="1640">
        <f t="shared" si="7"/>
        <v>20000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0" t="s">
        <v>1475</v>
      </c>
      <c r="B172" s="2251"/>
      <c r="C172" s="1615"/>
      <c r="D172" s="1615"/>
      <c r="E172" s="1608"/>
      <c r="F172" s="1574"/>
      <c r="G172" s="1574"/>
      <c r="H172" s="1574"/>
      <c r="I172" s="1574"/>
      <c r="J172" s="1574"/>
      <c r="K172" s="1574"/>
    </row>
    <row r="173" spans="1:11" ht="12.6" customHeight="1" x14ac:dyDescent="0.2">
      <c r="A173" s="436" t="s">
        <v>1035</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54" t="s">
        <v>1646</v>
      </c>
      <c r="B175" s="225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8" t="s">
        <v>1645</v>
      </c>
      <c r="B176" s="2259"/>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v>17301</v>
      </c>
      <c r="D180" s="1572"/>
      <c r="E180" s="1574"/>
      <c r="F180" s="1572"/>
      <c r="G180" s="1572"/>
      <c r="H180" s="1572"/>
      <c r="I180" s="1574"/>
      <c r="J180" s="1574"/>
      <c r="K180" s="1572"/>
    </row>
    <row r="181" spans="1:11" ht="13.5" thickBot="1" x14ac:dyDescent="0.25">
      <c r="A181" s="2256" t="s">
        <v>780</v>
      </c>
      <c r="B181" s="2257"/>
      <c r="C181" s="1632">
        <f>SUM(C177:C180)</f>
        <v>17301</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2" t="s">
        <v>1780</v>
      </c>
      <c r="B182" s="2253"/>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v>65693</v>
      </c>
      <c r="D191" s="1574"/>
      <c r="E191" s="1639"/>
      <c r="F191" s="1574"/>
      <c r="G191" s="1663"/>
      <c r="H191" s="1574"/>
      <c r="I191" s="1574"/>
      <c r="J191" s="1574"/>
      <c r="K191" s="1574"/>
    </row>
    <row r="192" spans="1:11" ht="12.75" customHeight="1" x14ac:dyDescent="0.2">
      <c r="A192" s="427" t="s">
        <v>1038</v>
      </c>
      <c r="B192" s="429">
        <v>4215</v>
      </c>
      <c r="C192" s="1631"/>
      <c r="D192" s="1574"/>
      <c r="E192" s="1639"/>
      <c r="F192" s="1574"/>
      <c r="G192" s="1663"/>
      <c r="H192" s="1574"/>
      <c r="I192" s="1574"/>
      <c r="J192" s="1574"/>
      <c r="K192" s="1574"/>
    </row>
    <row r="193" spans="1:11" ht="12.75" customHeight="1" x14ac:dyDescent="0.2">
      <c r="A193" s="427" t="s">
        <v>1050</v>
      </c>
      <c r="B193" s="429">
        <v>4220</v>
      </c>
      <c r="C193" s="1631">
        <v>27243</v>
      </c>
      <c r="D193" s="1574"/>
      <c r="E193" s="1639"/>
      <c r="F193" s="1574"/>
      <c r="G193" s="1663"/>
      <c r="H193" s="1574"/>
      <c r="I193" s="1574"/>
      <c r="J193" s="1574"/>
      <c r="K193" s="1574"/>
    </row>
    <row r="194" spans="1:11" ht="12.75" customHeight="1" x14ac:dyDescent="0.2">
      <c r="A194" s="427" t="s">
        <v>1434</v>
      </c>
      <c r="B194" s="429">
        <v>4225</v>
      </c>
      <c r="C194" s="1631">
        <v>72286</v>
      </c>
      <c r="D194" s="1574"/>
      <c r="E194" s="1639"/>
      <c r="F194" s="1574"/>
      <c r="G194" s="1663"/>
      <c r="H194" s="1574"/>
      <c r="I194" s="1574"/>
      <c r="J194" s="1574"/>
      <c r="K194" s="1574"/>
    </row>
    <row r="195" spans="1:11" ht="12.75" customHeight="1" x14ac:dyDescent="0.2">
      <c r="A195" s="427" t="s">
        <v>1435</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165222</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43399</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397</v>
      </c>
      <c r="B204" s="1406"/>
      <c r="C204" s="1632">
        <f>SUM(C200:C203)</f>
        <v>43399</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v>10000</v>
      </c>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10000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v>25322</v>
      </c>
      <c r="D213" s="1572"/>
      <c r="E213" s="1574"/>
      <c r="F213" s="1572"/>
      <c r="G213" s="1572"/>
      <c r="H213" s="1574"/>
      <c r="I213" s="1574"/>
      <c r="J213" s="1574"/>
      <c r="K213" s="1574"/>
    </row>
    <row r="214" spans="1:11" ht="12.75" customHeight="1" x14ac:dyDescent="0.2">
      <c r="A214" s="427" t="s">
        <v>1045</v>
      </c>
      <c r="B214" s="429">
        <v>4625</v>
      </c>
      <c r="C214" s="1631">
        <v>7376</v>
      </c>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32698</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1896</v>
      </c>
      <c r="B261" s="429">
        <v>4981</v>
      </c>
      <c r="C261" s="1649"/>
      <c r="D261" s="1650"/>
      <c r="E261" s="1574"/>
      <c r="F261" s="1650"/>
      <c r="G261" s="1650"/>
      <c r="H261" s="1574"/>
      <c r="I261" s="1574"/>
      <c r="J261" s="1574"/>
      <c r="K261" s="1574"/>
    </row>
    <row r="262" spans="1:11" ht="12.75" customHeight="1" thickTop="1" thickBot="1" x14ac:dyDescent="0.25">
      <c r="A262" s="1539" t="s">
        <v>1897</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2397</v>
      </c>
      <c r="D263" s="1650"/>
      <c r="E263" s="1574"/>
      <c r="F263" s="1650"/>
      <c r="G263" s="1650"/>
      <c r="H263" s="1574"/>
      <c r="I263" s="1574"/>
      <c r="J263" s="1574"/>
      <c r="K263" s="1574"/>
    </row>
    <row r="264" spans="1:11" ht="12.75" customHeight="1" thickTop="1" thickBot="1" x14ac:dyDescent="0.25">
      <c r="A264" s="427" t="s">
        <v>374</v>
      </c>
      <c r="B264" s="429">
        <v>4992</v>
      </c>
      <c r="C264" s="1649">
        <v>8823</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262539</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279840</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2826866</v>
      </c>
      <c r="D268" s="1640">
        <f t="shared" si="12"/>
        <v>103794</v>
      </c>
      <c r="E268" s="1640">
        <f t="shared" si="12"/>
        <v>75605</v>
      </c>
      <c r="F268" s="1640">
        <f t="shared" si="12"/>
        <v>180316</v>
      </c>
      <c r="G268" s="1640">
        <f t="shared" si="12"/>
        <v>56702</v>
      </c>
      <c r="H268" s="1640">
        <f t="shared" si="12"/>
        <v>0</v>
      </c>
      <c r="I268" s="1640">
        <f t="shared" si="12"/>
        <v>2847</v>
      </c>
      <c r="J268" s="1640">
        <f t="shared" si="12"/>
        <v>54807</v>
      </c>
      <c r="K268" s="1628">
        <f t="shared" si="12"/>
        <v>14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89" activePane="bottomLeft" state="frozen"/>
      <selection activeCell="F45" sqref="F45"/>
      <selection pane="bottomLeft" activeCell="F45" sqref="F4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6" t="s">
        <v>294</v>
      </c>
      <c r="B3" s="2267"/>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1144760</v>
      </c>
      <c r="D5" s="1572">
        <v>141290</v>
      </c>
      <c r="E5" s="1572">
        <v>62917</v>
      </c>
      <c r="F5" s="1572">
        <v>22989</v>
      </c>
      <c r="G5" s="1572">
        <v>54454</v>
      </c>
      <c r="H5" s="1572"/>
      <c r="I5" s="1573"/>
      <c r="J5" s="1573"/>
      <c r="K5" s="1671">
        <f>SUM(C5:J5)</f>
        <v>1426410</v>
      </c>
      <c r="L5" s="1572">
        <v>1430186</v>
      </c>
    </row>
    <row r="6" spans="1:14" x14ac:dyDescent="0.2">
      <c r="A6" s="1273" t="s">
        <v>1416</v>
      </c>
      <c r="B6" s="503" t="s">
        <v>1414</v>
      </c>
      <c r="C6" s="1581"/>
      <c r="D6" s="1581"/>
      <c r="E6" s="1572"/>
      <c r="F6" s="1581"/>
      <c r="G6" s="1581"/>
      <c r="H6" s="1581"/>
      <c r="I6" s="1581"/>
      <c r="J6" s="1581"/>
      <c r="K6" s="1671">
        <f>SUM(C6,E6)</f>
        <v>0</v>
      </c>
      <c r="L6" s="1572"/>
    </row>
    <row r="7" spans="1:14" x14ac:dyDescent="0.2">
      <c r="A7" s="1273" t="s">
        <v>162</v>
      </c>
      <c r="B7" s="503" t="s">
        <v>961</v>
      </c>
      <c r="C7" s="1573"/>
      <c r="D7" s="1573"/>
      <c r="E7" s="1573"/>
      <c r="F7" s="1573"/>
      <c r="G7" s="1573"/>
      <c r="H7" s="1573"/>
      <c r="I7" s="1573"/>
      <c r="J7" s="1573"/>
      <c r="K7" s="1671">
        <f t="shared" ref="K7:K32" si="0">SUM(C7:J7)</f>
        <v>0</v>
      </c>
      <c r="L7" s="1572"/>
    </row>
    <row r="8" spans="1:14" x14ac:dyDescent="0.2">
      <c r="A8" s="1273" t="s">
        <v>163</v>
      </c>
      <c r="B8" s="503">
        <v>1200</v>
      </c>
      <c r="C8" s="1572">
        <v>337098</v>
      </c>
      <c r="D8" s="1572">
        <v>19398</v>
      </c>
      <c r="E8" s="1572"/>
      <c r="F8" s="1572"/>
      <c r="G8" s="1572"/>
      <c r="H8" s="1572"/>
      <c r="I8" s="1573"/>
      <c r="J8" s="1573"/>
      <c r="K8" s="1671">
        <f t="shared" si="0"/>
        <v>356496</v>
      </c>
      <c r="L8" s="1572">
        <v>357850</v>
      </c>
    </row>
    <row r="9" spans="1:14" x14ac:dyDescent="0.2">
      <c r="A9" s="1273" t="s">
        <v>716</v>
      </c>
      <c r="B9" s="503" t="s">
        <v>962</v>
      </c>
      <c r="C9" s="1573"/>
      <c r="D9" s="1573"/>
      <c r="E9" s="1573"/>
      <c r="F9" s="1573"/>
      <c r="G9" s="1573"/>
      <c r="H9" s="1573"/>
      <c r="I9" s="1573"/>
      <c r="J9" s="1573"/>
      <c r="K9" s="1671">
        <f t="shared" si="0"/>
        <v>0</v>
      </c>
      <c r="L9" s="1572"/>
    </row>
    <row r="10" spans="1:14" x14ac:dyDescent="0.2">
      <c r="A10" s="1273" t="s">
        <v>717</v>
      </c>
      <c r="B10" s="503">
        <v>1250</v>
      </c>
      <c r="C10" s="1572">
        <v>21863</v>
      </c>
      <c r="D10" s="1572"/>
      <c r="E10" s="1572">
        <v>7616</v>
      </c>
      <c r="F10" s="1572">
        <v>20780</v>
      </c>
      <c r="G10" s="1572">
        <v>3965</v>
      </c>
      <c r="H10" s="1572"/>
      <c r="I10" s="1573"/>
      <c r="J10" s="1573"/>
      <c r="K10" s="1671">
        <f t="shared" si="0"/>
        <v>54224</v>
      </c>
      <c r="L10" s="1572">
        <v>81447</v>
      </c>
    </row>
    <row r="11" spans="1:14" x14ac:dyDescent="0.2">
      <c r="A11" s="1273" t="s">
        <v>1120</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c r="D13" s="1572"/>
      <c r="E13" s="1572"/>
      <c r="F13" s="1572"/>
      <c r="G13" s="1572"/>
      <c r="H13" s="1572"/>
      <c r="I13" s="1573"/>
      <c r="J13" s="1573"/>
      <c r="K13" s="1671">
        <f t="shared" si="0"/>
        <v>0</v>
      </c>
      <c r="L13" s="1572"/>
    </row>
    <row r="14" spans="1:14" x14ac:dyDescent="0.2">
      <c r="A14" s="1273" t="s">
        <v>957</v>
      </c>
      <c r="B14" s="503">
        <v>1500</v>
      </c>
      <c r="C14" s="1572"/>
      <c r="D14" s="1572"/>
      <c r="E14" s="1572">
        <v>4980</v>
      </c>
      <c r="F14" s="1572">
        <v>7115</v>
      </c>
      <c r="G14" s="1572"/>
      <c r="H14" s="1572">
        <v>1143</v>
      </c>
      <c r="I14" s="1573"/>
      <c r="J14" s="1573"/>
      <c r="K14" s="1671">
        <f t="shared" si="0"/>
        <v>13238</v>
      </c>
      <c r="L14" s="1572">
        <v>14213</v>
      </c>
    </row>
    <row r="15" spans="1:14" x14ac:dyDescent="0.2">
      <c r="A15" s="1273" t="s">
        <v>958</v>
      </c>
      <c r="B15" s="503">
        <v>1600</v>
      </c>
      <c r="C15" s="1572"/>
      <c r="D15" s="1572"/>
      <c r="E15" s="1572"/>
      <c r="F15" s="1572"/>
      <c r="G15" s="1572"/>
      <c r="H15" s="1572"/>
      <c r="I15" s="1573"/>
      <c r="J15" s="1573"/>
      <c r="K15" s="1671">
        <f t="shared" si="0"/>
        <v>0</v>
      </c>
      <c r="L15" s="1572"/>
    </row>
    <row r="16" spans="1:14" x14ac:dyDescent="0.2">
      <c r="A16" s="1273" t="s">
        <v>980</v>
      </c>
      <c r="B16" s="503" t="s">
        <v>421</v>
      </c>
      <c r="C16" s="1572"/>
      <c r="D16" s="1572"/>
      <c r="E16" s="1572"/>
      <c r="F16" s="1572"/>
      <c r="G16" s="1572"/>
      <c r="H16" s="1572">
        <v>375</v>
      </c>
      <c r="I16" s="1573"/>
      <c r="J16" s="1573"/>
      <c r="K16" s="1671">
        <f t="shared" si="0"/>
        <v>375</v>
      </c>
      <c r="L16" s="1572">
        <v>1075</v>
      </c>
    </row>
    <row r="17" spans="1:12" x14ac:dyDescent="0.2">
      <c r="A17" s="1273" t="s">
        <v>719</v>
      </c>
      <c r="B17" s="503" t="s">
        <v>161</v>
      </c>
      <c r="C17" s="1573"/>
      <c r="D17" s="1573"/>
      <c r="E17" s="1573"/>
      <c r="F17" s="1573"/>
      <c r="G17" s="1573"/>
      <c r="H17" s="1573"/>
      <c r="I17" s="1573"/>
      <c r="J17" s="1573"/>
      <c r="K17" s="1671">
        <f t="shared" si="0"/>
        <v>0</v>
      </c>
      <c r="L17" s="1572"/>
    </row>
    <row r="18" spans="1:12" x14ac:dyDescent="0.2">
      <c r="A18" s="1273" t="s">
        <v>1078</v>
      </c>
      <c r="B18" s="503">
        <v>1800</v>
      </c>
      <c r="C18" s="1572"/>
      <c r="D18" s="1572"/>
      <c r="E18" s="1572"/>
      <c r="F18" s="1572"/>
      <c r="G18" s="1572"/>
      <c r="H18" s="1572"/>
      <c r="I18" s="1573"/>
      <c r="J18" s="1573"/>
      <c r="K18" s="1671">
        <f t="shared" si="0"/>
        <v>0</v>
      </c>
      <c r="L18" s="1572"/>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c r="I22" s="1672"/>
      <c r="J22" s="1581"/>
      <c r="K22" s="1671">
        <f t="shared" si="0"/>
        <v>0</v>
      </c>
      <c r="L22" s="1576"/>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1119</v>
      </c>
      <c r="B32" s="503"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1503721</v>
      </c>
      <c r="D33" s="1673">
        <f t="shared" ref="D33:L33" si="1">SUM(D5:D32)</f>
        <v>160688</v>
      </c>
      <c r="E33" s="1673">
        <f t="shared" si="1"/>
        <v>75513</v>
      </c>
      <c r="F33" s="1673">
        <f t="shared" si="1"/>
        <v>50884</v>
      </c>
      <c r="G33" s="1673">
        <f t="shared" si="1"/>
        <v>58419</v>
      </c>
      <c r="H33" s="1673">
        <f t="shared" si="1"/>
        <v>1518</v>
      </c>
      <c r="I33" s="1673">
        <f t="shared" si="1"/>
        <v>0</v>
      </c>
      <c r="J33" s="1673">
        <f t="shared" si="1"/>
        <v>0</v>
      </c>
      <c r="K33" s="1673">
        <f t="shared" si="1"/>
        <v>1850743</v>
      </c>
      <c r="L33" s="1673">
        <f t="shared" si="1"/>
        <v>1884771</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c r="D36" s="1585"/>
      <c r="E36" s="1585"/>
      <c r="F36" s="1585"/>
      <c r="G36" s="1585"/>
      <c r="H36" s="1585"/>
      <c r="I36" s="1573"/>
      <c r="J36" s="1573"/>
      <c r="K36" s="1671">
        <f t="shared" ref="K36:K41" si="2">SUM(C36:J36)</f>
        <v>0</v>
      </c>
      <c r="L36" s="1572"/>
    </row>
    <row r="37" spans="1:14" x14ac:dyDescent="0.2">
      <c r="A37" s="1273" t="s">
        <v>1081</v>
      </c>
      <c r="B37" s="503">
        <v>2120</v>
      </c>
      <c r="C37" s="1572"/>
      <c r="D37" s="1572"/>
      <c r="E37" s="1572"/>
      <c r="F37" s="1572"/>
      <c r="G37" s="1572"/>
      <c r="H37" s="1572"/>
      <c r="I37" s="1573"/>
      <c r="J37" s="1573"/>
      <c r="K37" s="1671">
        <f t="shared" si="2"/>
        <v>0</v>
      </c>
      <c r="L37" s="1572"/>
    </row>
    <row r="38" spans="1:14" x14ac:dyDescent="0.2">
      <c r="A38" s="1273" t="s">
        <v>196</v>
      </c>
      <c r="B38" s="503">
        <v>2130</v>
      </c>
      <c r="C38" s="1572">
        <v>25962</v>
      </c>
      <c r="D38" s="1572"/>
      <c r="E38" s="1572"/>
      <c r="F38" s="1572">
        <v>796</v>
      </c>
      <c r="G38" s="1572"/>
      <c r="H38" s="1572"/>
      <c r="I38" s="1573"/>
      <c r="J38" s="1573"/>
      <c r="K38" s="1671">
        <f t="shared" si="2"/>
        <v>26758</v>
      </c>
      <c r="L38" s="1572">
        <v>27300</v>
      </c>
    </row>
    <row r="39" spans="1:14" x14ac:dyDescent="0.2">
      <c r="A39" s="1273" t="s">
        <v>197</v>
      </c>
      <c r="B39" s="503">
        <v>2140</v>
      </c>
      <c r="C39" s="1572"/>
      <c r="D39" s="1572"/>
      <c r="E39" s="1572"/>
      <c r="F39" s="1572"/>
      <c r="G39" s="1572"/>
      <c r="H39" s="1572"/>
      <c r="I39" s="1573"/>
      <c r="J39" s="1573"/>
      <c r="K39" s="1671">
        <f t="shared" si="2"/>
        <v>0</v>
      </c>
      <c r="L39" s="1572"/>
    </row>
    <row r="40" spans="1:14" x14ac:dyDescent="0.2">
      <c r="A40" s="1273" t="s">
        <v>198</v>
      </c>
      <c r="B40" s="503">
        <v>2150</v>
      </c>
      <c r="C40" s="1572"/>
      <c r="D40" s="1572"/>
      <c r="E40" s="1572">
        <v>37679</v>
      </c>
      <c r="F40" s="1572"/>
      <c r="G40" s="1572"/>
      <c r="H40" s="1572"/>
      <c r="I40" s="1573"/>
      <c r="J40" s="1573"/>
      <c r="K40" s="1671">
        <f t="shared" si="2"/>
        <v>37679</v>
      </c>
      <c r="L40" s="1572">
        <v>38000</v>
      </c>
    </row>
    <row r="41" spans="1:14" x14ac:dyDescent="0.2">
      <c r="A41" s="1273" t="s">
        <v>1650</v>
      </c>
      <c r="B41" s="503">
        <v>2190</v>
      </c>
      <c r="C41" s="1572"/>
      <c r="D41" s="1572"/>
      <c r="E41" s="1572"/>
      <c r="F41" s="1572"/>
      <c r="G41" s="1572"/>
      <c r="H41" s="1572"/>
      <c r="I41" s="1573"/>
      <c r="J41" s="1573"/>
      <c r="K41" s="1671">
        <f t="shared" si="2"/>
        <v>0</v>
      </c>
      <c r="L41" s="1572"/>
    </row>
    <row r="42" spans="1:14" ht="12.75" customHeight="1" thickBot="1" x14ac:dyDescent="0.25">
      <c r="A42" s="1379" t="s">
        <v>556</v>
      </c>
      <c r="B42" s="1380" t="s">
        <v>711</v>
      </c>
      <c r="C42" s="1673">
        <f>SUM(C36:C41)</f>
        <v>25962</v>
      </c>
      <c r="D42" s="1673">
        <f t="shared" ref="D42:L42" si="3">SUM(D36:D41)</f>
        <v>0</v>
      </c>
      <c r="E42" s="1673">
        <f t="shared" si="3"/>
        <v>37679</v>
      </c>
      <c r="F42" s="1673">
        <f t="shared" si="3"/>
        <v>796</v>
      </c>
      <c r="G42" s="1673">
        <f t="shared" si="3"/>
        <v>0</v>
      </c>
      <c r="H42" s="1673">
        <f t="shared" si="3"/>
        <v>0</v>
      </c>
      <c r="I42" s="1673">
        <f t="shared" si="3"/>
        <v>0</v>
      </c>
      <c r="J42" s="1673">
        <f t="shared" si="3"/>
        <v>0</v>
      </c>
      <c r="K42" s="1673">
        <f t="shared" si="3"/>
        <v>64437</v>
      </c>
      <c r="L42" s="1673">
        <f t="shared" si="3"/>
        <v>65300</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c r="D44" s="1585"/>
      <c r="E44" s="1585">
        <v>273</v>
      </c>
      <c r="F44" s="1585"/>
      <c r="G44" s="1585"/>
      <c r="H44" s="1585"/>
      <c r="I44" s="1573"/>
      <c r="J44" s="1573"/>
      <c r="K44" s="1677">
        <f>SUM(C44:J44)</f>
        <v>273</v>
      </c>
      <c r="L44" s="1585">
        <v>20000</v>
      </c>
    </row>
    <row r="45" spans="1:14" x14ac:dyDescent="0.2">
      <c r="A45" s="1273" t="s">
        <v>810</v>
      </c>
      <c r="B45" s="503">
        <v>2220</v>
      </c>
      <c r="C45" s="1572">
        <v>20432</v>
      </c>
      <c r="D45" s="1572"/>
      <c r="E45" s="1572"/>
      <c r="F45" s="1572"/>
      <c r="G45" s="1572"/>
      <c r="H45" s="1572"/>
      <c r="I45" s="1573"/>
      <c r="J45" s="1573"/>
      <c r="K45" s="1677">
        <f>SUM(C45:J45)</f>
        <v>20432</v>
      </c>
      <c r="L45" s="1572">
        <v>20700</v>
      </c>
    </row>
    <row r="46" spans="1:14" x14ac:dyDescent="0.2">
      <c r="A46" s="1273" t="s">
        <v>811</v>
      </c>
      <c r="B46" s="503">
        <v>2230</v>
      </c>
      <c r="C46" s="1572"/>
      <c r="D46" s="1572"/>
      <c r="E46" s="1572">
        <v>5000</v>
      </c>
      <c r="F46" s="1572"/>
      <c r="G46" s="1572"/>
      <c r="H46" s="1572"/>
      <c r="I46" s="1573"/>
      <c r="J46" s="1573"/>
      <c r="K46" s="1677">
        <f>SUM(C46:J46)</f>
        <v>5000</v>
      </c>
      <c r="L46" s="1572">
        <v>5000</v>
      </c>
    </row>
    <row r="47" spans="1:14" ht="12.75" customHeight="1" thickBot="1" x14ac:dyDescent="0.25">
      <c r="A47" s="1379" t="s">
        <v>557</v>
      </c>
      <c r="B47" s="1380" t="s">
        <v>32</v>
      </c>
      <c r="C47" s="1673">
        <f>SUM(C44:C46)</f>
        <v>20432</v>
      </c>
      <c r="D47" s="1673">
        <f t="shared" ref="D47:K47" si="4">SUM(D44:D46)</f>
        <v>0</v>
      </c>
      <c r="E47" s="1673">
        <f t="shared" si="4"/>
        <v>5273</v>
      </c>
      <c r="F47" s="1673">
        <f t="shared" si="4"/>
        <v>0</v>
      </c>
      <c r="G47" s="1673">
        <f t="shared" si="4"/>
        <v>0</v>
      </c>
      <c r="H47" s="1673">
        <f t="shared" si="4"/>
        <v>0</v>
      </c>
      <c r="I47" s="1673">
        <f t="shared" si="4"/>
        <v>0</v>
      </c>
      <c r="J47" s="1673">
        <f t="shared" si="4"/>
        <v>0</v>
      </c>
      <c r="K47" s="1673">
        <f t="shared" si="4"/>
        <v>25705</v>
      </c>
      <c r="L47" s="1673">
        <f>SUM(L44:L46)</f>
        <v>45700</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c r="D49" s="1585"/>
      <c r="E49" s="1585">
        <v>26534</v>
      </c>
      <c r="F49" s="1585">
        <v>2061</v>
      </c>
      <c r="G49" s="1585"/>
      <c r="H49" s="1585">
        <v>2983</v>
      </c>
      <c r="I49" s="1573"/>
      <c r="J49" s="1573"/>
      <c r="K49" s="1677">
        <f>SUM(C49:J49)</f>
        <v>31578</v>
      </c>
      <c r="L49" s="1585">
        <v>31635</v>
      </c>
    </row>
    <row r="50" spans="1:14" x14ac:dyDescent="0.2">
      <c r="A50" s="1273" t="s">
        <v>813</v>
      </c>
      <c r="B50" s="503">
        <v>2320</v>
      </c>
      <c r="C50" s="1572">
        <v>103760</v>
      </c>
      <c r="D50" s="1572">
        <v>11972</v>
      </c>
      <c r="E50" s="1572">
        <v>1407</v>
      </c>
      <c r="F50" s="1572"/>
      <c r="G50" s="1572"/>
      <c r="H50" s="1572">
        <v>1447</v>
      </c>
      <c r="I50" s="1573"/>
      <c r="J50" s="1573"/>
      <c r="K50" s="1677">
        <f>SUM(C50:J50)</f>
        <v>118586</v>
      </c>
      <c r="L50" s="1572">
        <v>119168</v>
      </c>
    </row>
    <row r="51" spans="1:14" x14ac:dyDescent="0.2">
      <c r="A51" s="1273" t="s">
        <v>42</v>
      </c>
      <c r="B51" s="503">
        <v>2330</v>
      </c>
      <c r="C51" s="1572"/>
      <c r="D51" s="1572"/>
      <c r="E51" s="1572"/>
      <c r="F51" s="1572"/>
      <c r="G51" s="1572"/>
      <c r="H51" s="1572"/>
      <c r="I51" s="1573"/>
      <c r="J51" s="1573"/>
      <c r="K51" s="1677">
        <f>SUM(C51:J51)</f>
        <v>0</v>
      </c>
      <c r="L51" s="1572"/>
    </row>
    <row r="52" spans="1:14" ht="22.5" x14ac:dyDescent="0.2">
      <c r="A52" s="1274" t="s">
        <v>295</v>
      </c>
      <c r="B52" s="511"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103760</v>
      </c>
      <c r="D53" s="1673">
        <f t="shared" ref="D53:L53" si="5">SUM(D49:D52)</f>
        <v>11972</v>
      </c>
      <c r="E53" s="1673">
        <f t="shared" si="5"/>
        <v>27941</v>
      </c>
      <c r="F53" s="1673">
        <f t="shared" si="5"/>
        <v>2061</v>
      </c>
      <c r="G53" s="1673">
        <f t="shared" si="5"/>
        <v>0</v>
      </c>
      <c r="H53" s="1673">
        <f t="shared" si="5"/>
        <v>4430</v>
      </c>
      <c r="I53" s="1673">
        <f t="shared" si="5"/>
        <v>0</v>
      </c>
      <c r="J53" s="1673">
        <f t="shared" si="5"/>
        <v>0</v>
      </c>
      <c r="K53" s="1673">
        <f t="shared" si="5"/>
        <v>150164</v>
      </c>
      <c r="L53" s="1673">
        <f t="shared" si="5"/>
        <v>150803</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102196</v>
      </c>
      <c r="D55" s="1585">
        <v>8412</v>
      </c>
      <c r="E55" s="1585">
        <v>4981</v>
      </c>
      <c r="F55" s="1585">
        <v>673</v>
      </c>
      <c r="G55" s="1585"/>
      <c r="H55" s="1585">
        <v>290</v>
      </c>
      <c r="I55" s="1573"/>
      <c r="J55" s="1573"/>
      <c r="K55" s="1677">
        <f>SUM(C55:J55)</f>
        <v>116552</v>
      </c>
      <c r="L55" s="1585">
        <v>116890</v>
      </c>
    </row>
    <row r="56" spans="1:14" ht="12.75" customHeight="1" x14ac:dyDescent="0.2">
      <c r="A56" s="1277"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102196</v>
      </c>
      <c r="D57" s="1678">
        <f t="shared" ref="D57:K57" si="6">SUM(D55:D56)</f>
        <v>8412</v>
      </c>
      <c r="E57" s="1678">
        <f t="shared" si="6"/>
        <v>4981</v>
      </c>
      <c r="F57" s="1678">
        <f t="shared" si="6"/>
        <v>673</v>
      </c>
      <c r="G57" s="1678">
        <f t="shared" si="6"/>
        <v>0</v>
      </c>
      <c r="H57" s="1678">
        <f t="shared" si="6"/>
        <v>290</v>
      </c>
      <c r="I57" s="1678">
        <f t="shared" si="6"/>
        <v>0</v>
      </c>
      <c r="J57" s="1678">
        <f t="shared" si="6"/>
        <v>0</v>
      </c>
      <c r="K57" s="1678">
        <f t="shared" si="6"/>
        <v>116552</v>
      </c>
      <c r="L57" s="1673">
        <f>SUM(L55:L56)</f>
        <v>116890</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3" t="s">
        <v>460</v>
      </c>
      <c r="B60" s="503">
        <v>2520</v>
      </c>
      <c r="C60" s="1572">
        <v>51359</v>
      </c>
      <c r="D60" s="1572"/>
      <c r="E60" s="1572">
        <v>11</v>
      </c>
      <c r="F60" s="1572">
        <v>680</v>
      </c>
      <c r="G60" s="1572"/>
      <c r="H60" s="1572">
        <v>876</v>
      </c>
      <c r="I60" s="1573"/>
      <c r="J60" s="1573"/>
      <c r="K60" s="1677">
        <f t="shared" si="7"/>
        <v>52926</v>
      </c>
      <c r="L60" s="1572">
        <v>53300</v>
      </c>
      <c r="M60" s="501"/>
      <c r="N60" s="501"/>
    </row>
    <row r="61" spans="1:14" s="321" customFormat="1" x14ac:dyDescent="0.2">
      <c r="A61" s="1273" t="s">
        <v>195</v>
      </c>
      <c r="B61" s="503">
        <v>2540</v>
      </c>
      <c r="C61" s="1572">
        <v>91415</v>
      </c>
      <c r="D61" s="1572"/>
      <c r="E61" s="1572">
        <v>259</v>
      </c>
      <c r="F61" s="1572"/>
      <c r="G61" s="1572"/>
      <c r="H61" s="1572"/>
      <c r="I61" s="1573"/>
      <c r="J61" s="1573"/>
      <c r="K61" s="1677">
        <f t="shared" si="7"/>
        <v>91674</v>
      </c>
      <c r="L61" s="1572">
        <v>93100</v>
      </c>
      <c r="M61" s="501"/>
      <c r="N61" s="501"/>
    </row>
    <row r="62" spans="1:14" s="321" customFormat="1" x14ac:dyDescent="0.2">
      <c r="A62" s="1273" t="s">
        <v>947</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v>55811</v>
      </c>
      <c r="D63" s="1572"/>
      <c r="E63" s="1572"/>
      <c r="F63" s="1572">
        <v>126635</v>
      </c>
      <c r="G63" s="1572"/>
      <c r="H63" s="1572">
        <v>5164</v>
      </c>
      <c r="I63" s="1573"/>
      <c r="J63" s="1573"/>
      <c r="K63" s="1677">
        <f t="shared" si="7"/>
        <v>187610</v>
      </c>
      <c r="L63" s="1572">
        <v>187980</v>
      </c>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714</v>
      </c>
      <c r="B65" s="1380" t="s">
        <v>35</v>
      </c>
      <c r="C65" s="1673">
        <f>SUM(C59:C64)</f>
        <v>198585</v>
      </c>
      <c r="D65" s="1673">
        <f t="shared" ref="D65:L65" si="8">SUM(D59:D64)</f>
        <v>0</v>
      </c>
      <c r="E65" s="1673">
        <f t="shared" si="8"/>
        <v>270</v>
      </c>
      <c r="F65" s="1673">
        <f t="shared" si="8"/>
        <v>127315</v>
      </c>
      <c r="G65" s="1673">
        <f t="shared" si="8"/>
        <v>0</v>
      </c>
      <c r="H65" s="1673">
        <f t="shared" si="8"/>
        <v>6040</v>
      </c>
      <c r="I65" s="1673">
        <f t="shared" si="8"/>
        <v>0</v>
      </c>
      <c r="J65" s="1673">
        <f t="shared" si="8"/>
        <v>0</v>
      </c>
      <c r="K65" s="1673">
        <f t="shared" si="8"/>
        <v>332210</v>
      </c>
      <c r="L65" s="1673">
        <f t="shared" si="8"/>
        <v>334380</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1052</v>
      </c>
      <c r="B69" s="503">
        <v>2630</v>
      </c>
      <c r="C69" s="1572"/>
      <c r="D69" s="1572"/>
      <c r="E69" s="1572"/>
      <c r="F69" s="1572"/>
      <c r="G69" s="1572"/>
      <c r="H69" s="1572"/>
      <c r="I69" s="1573"/>
      <c r="J69" s="1573"/>
      <c r="K69" s="1677">
        <f>SUM(C69:J69)</f>
        <v>0</v>
      </c>
      <c r="L69" s="1572"/>
      <c r="M69" s="501"/>
      <c r="N69" s="501"/>
    </row>
    <row r="70" spans="1:14" s="321" customFormat="1" x14ac:dyDescent="0.2">
      <c r="A70" s="1273" t="s">
        <v>400</v>
      </c>
      <c r="B70" s="503">
        <v>2640</v>
      </c>
      <c r="C70" s="1572"/>
      <c r="D70" s="1572"/>
      <c r="E70" s="1572"/>
      <c r="F70" s="1572"/>
      <c r="G70" s="1572"/>
      <c r="H70" s="1572"/>
      <c r="I70" s="1573"/>
      <c r="J70" s="1573"/>
      <c r="K70" s="1677">
        <f>SUM(C70:J70)</f>
        <v>0</v>
      </c>
      <c r="L70" s="1572"/>
      <c r="M70" s="501"/>
      <c r="N70" s="501"/>
    </row>
    <row r="71" spans="1:14" s="321" customFormat="1" x14ac:dyDescent="0.2">
      <c r="A71" s="1273" t="s">
        <v>401</v>
      </c>
      <c r="B71" s="503">
        <v>2660</v>
      </c>
      <c r="C71" s="1572"/>
      <c r="D71" s="1572"/>
      <c r="E71" s="1572">
        <v>4523</v>
      </c>
      <c r="F71" s="1572"/>
      <c r="G71" s="1572"/>
      <c r="H71" s="1572"/>
      <c r="I71" s="1573"/>
      <c r="J71" s="1573"/>
      <c r="K71" s="1677">
        <f>SUM(C71:J71)</f>
        <v>4523</v>
      </c>
      <c r="L71" s="1572">
        <v>4586</v>
      </c>
      <c r="M71" s="501"/>
      <c r="N71" s="501"/>
    </row>
    <row r="72" spans="1:14" s="321" customFormat="1" ht="12.75" customHeight="1" thickBot="1" x14ac:dyDescent="0.25">
      <c r="A72" s="1379" t="s">
        <v>37</v>
      </c>
      <c r="B72" s="1382" t="s">
        <v>36</v>
      </c>
      <c r="C72" s="1673">
        <f>SUM(C67:C71)</f>
        <v>0</v>
      </c>
      <c r="D72" s="1673">
        <f t="shared" ref="D72:K72" si="9">SUM(D67:D71)</f>
        <v>0</v>
      </c>
      <c r="E72" s="1673">
        <f t="shared" si="9"/>
        <v>4523</v>
      </c>
      <c r="F72" s="1673">
        <f t="shared" si="9"/>
        <v>0</v>
      </c>
      <c r="G72" s="1673">
        <f t="shared" si="9"/>
        <v>0</v>
      </c>
      <c r="H72" s="1673">
        <f t="shared" si="9"/>
        <v>0</v>
      </c>
      <c r="I72" s="1673">
        <f t="shared" si="9"/>
        <v>0</v>
      </c>
      <c r="J72" s="1673">
        <f t="shared" si="9"/>
        <v>0</v>
      </c>
      <c r="K72" s="1673">
        <f t="shared" si="9"/>
        <v>4523</v>
      </c>
      <c r="L72" s="1673">
        <f>SUM(L67:L71)</f>
        <v>4586</v>
      </c>
      <c r="M72" s="501"/>
      <c r="N72" s="501"/>
    </row>
    <row r="73" spans="1:14" s="321" customFormat="1" ht="14.25" thickTop="1" thickBot="1" x14ac:dyDescent="0.25">
      <c r="A73" s="1279" t="s">
        <v>973</v>
      </c>
      <c r="B73" s="515" t="s">
        <v>570</v>
      </c>
      <c r="C73" s="1648"/>
      <c r="D73" s="1648"/>
      <c r="E73" s="1648"/>
      <c r="F73" s="1648"/>
      <c r="G73" s="1648"/>
      <c r="H73" s="1648"/>
      <c r="I73" s="1626"/>
      <c r="J73" s="1626"/>
      <c r="K73" s="1673">
        <f>SUM(C73:J73)</f>
        <v>0</v>
      </c>
      <c r="L73" s="1650"/>
      <c r="M73" s="501"/>
      <c r="N73" s="501"/>
    </row>
    <row r="74" spans="1:14" ht="12.75" customHeight="1" thickTop="1" thickBot="1" x14ac:dyDescent="0.25">
      <c r="A74" s="1379" t="s">
        <v>806</v>
      </c>
      <c r="B74" s="1383">
        <v>2000</v>
      </c>
      <c r="C74" s="1680">
        <f>SUM(C42,C47,C53,C57,C65,C72,C73)</f>
        <v>450935</v>
      </c>
      <c r="D74" s="1680">
        <f t="shared" ref="D74:K74" si="10">SUM(D42,D47,D53,D57,D65,D72,D73)</f>
        <v>20384</v>
      </c>
      <c r="E74" s="1680">
        <f t="shared" si="10"/>
        <v>80667</v>
      </c>
      <c r="F74" s="1680">
        <f t="shared" si="10"/>
        <v>130845</v>
      </c>
      <c r="G74" s="1680">
        <f t="shared" si="10"/>
        <v>0</v>
      </c>
      <c r="H74" s="1680">
        <f t="shared" si="10"/>
        <v>10760</v>
      </c>
      <c r="I74" s="1680">
        <f t="shared" si="10"/>
        <v>0</v>
      </c>
      <c r="J74" s="1680">
        <f t="shared" si="10"/>
        <v>0</v>
      </c>
      <c r="K74" s="1680">
        <f t="shared" si="10"/>
        <v>693591</v>
      </c>
      <c r="L74" s="1680">
        <f>SUM(L42,L47,L53,L57,L65,L72,L73)</f>
        <v>717659</v>
      </c>
    </row>
    <row r="75" spans="1:14" s="254" customFormat="1" ht="15.75" customHeight="1" thickTop="1" thickBot="1" x14ac:dyDescent="0.25">
      <c r="A75" s="1347" t="s">
        <v>47</v>
      </c>
      <c r="B75" s="1348" t="s">
        <v>571</v>
      </c>
      <c r="C75" s="1648"/>
      <c r="D75" s="1648"/>
      <c r="E75" s="1648"/>
      <c r="F75" s="1648"/>
      <c r="G75" s="1648"/>
      <c r="H75" s="1648">
        <v>7151</v>
      </c>
      <c r="I75" s="1626"/>
      <c r="J75" s="1626"/>
      <c r="K75" s="1673">
        <f>SUM(C75:J75)</f>
        <v>7151</v>
      </c>
      <c r="L75" s="1650">
        <v>14379</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v>2385</v>
      </c>
      <c r="F78" s="1672"/>
      <c r="G78" s="1672"/>
      <c r="H78" s="1681"/>
      <c r="I78" s="1581"/>
      <c r="J78" s="1581"/>
      <c r="K78" s="1671">
        <f t="shared" ref="K78:K83" si="11">SUM(C78:J78)</f>
        <v>2385</v>
      </c>
      <c r="L78" s="1585"/>
    </row>
    <row r="79" spans="1:14" x14ac:dyDescent="0.2">
      <c r="A79" s="1273" t="s">
        <v>301</v>
      </c>
      <c r="B79" s="503">
        <v>4120</v>
      </c>
      <c r="C79" s="1672"/>
      <c r="D79" s="1672"/>
      <c r="E79" s="1572">
        <v>46418</v>
      </c>
      <c r="F79" s="1672"/>
      <c r="G79" s="1672"/>
      <c r="H79" s="1572"/>
      <c r="I79" s="1581"/>
      <c r="J79" s="1581"/>
      <c r="K79" s="1671">
        <f t="shared" si="11"/>
        <v>46418</v>
      </c>
      <c r="L79" s="1572">
        <v>49148</v>
      </c>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48803</v>
      </c>
      <c r="F84" s="1672"/>
      <c r="G84" s="1672"/>
      <c r="H84" s="1673">
        <f>SUM(H78:H83)</f>
        <v>0</v>
      </c>
      <c r="I84" s="1581"/>
      <c r="J84" s="1581"/>
      <c r="K84" s="1673">
        <f>SUM(K78:K83)</f>
        <v>48803</v>
      </c>
      <c r="L84" s="1673">
        <f>SUM(L78:L83)</f>
        <v>49148</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v>123030</v>
      </c>
      <c r="I86" s="1581"/>
      <c r="J86" s="1581"/>
      <c r="K86" s="1680">
        <f t="shared" ref="K86:K98" si="12">H86</f>
        <v>123030</v>
      </c>
      <c r="L86" s="1625">
        <v>124000</v>
      </c>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123030</v>
      </c>
      <c r="I92" s="1581"/>
      <c r="J92" s="1581"/>
      <c r="K92" s="1680">
        <f t="shared" si="12"/>
        <v>123030</v>
      </c>
      <c r="L92" s="1673">
        <f>SUM(L85:L91)</f>
        <v>124000</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1471</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48803</v>
      </c>
      <c r="F102" s="1672"/>
      <c r="G102" s="1672"/>
      <c r="H102" s="1680">
        <f>SUM(H84,H92,H100,H101)</f>
        <v>123030</v>
      </c>
      <c r="I102" s="1581"/>
      <c r="J102" s="1581"/>
      <c r="K102" s="1680">
        <f>SUM(K84,K92,K100,K101)</f>
        <v>171833</v>
      </c>
      <c r="L102" s="1680">
        <f>SUM(L84,L92,L100,L101)</f>
        <v>173148</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1954656</v>
      </c>
      <c r="D114" s="1673">
        <f t="shared" ref="D114:K114" si="13">SUM(D33,D74,D75,D102,D112,D113)</f>
        <v>181072</v>
      </c>
      <c r="E114" s="1673">
        <f t="shared" si="13"/>
        <v>204983</v>
      </c>
      <c r="F114" s="1673">
        <f t="shared" si="13"/>
        <v>181729</v>
      </c>
      <c r="G114" s="1673">
        <f t="shared" si="13"/>
        <v>58419</v>
      </c>
      <c r="H114" s="1673">
        <f>SUM(H33,H74,H75,H102,H112,H113)</f>
        <v>142459</v>
      </c>
      <c r="I114" s="1673">
        <f t="shared" si="13"/>
        <v>0</v>
      </c>
      <c r="J114" s="1673">
        <f t="shared" si="13"/>
        <v>0</v>
      </c>
      <c r="K114" s="1673">
        <f t="shared" si="13"/>
        <v>2723318</v>
      </c>
      <c r="L114" s="1673">
        <f>SUM(L33,L74,L75,L102,L112,L113)</f>
        <v>2789957</v>
      </c>
    </row>
    <row r="115" spans="1:14" ht="13.5" thickTop="1" x14ac:dyDescent="0.2">
      <c r="A115" s="2285" t="s">
        <v>989</v>
      </c>
      <c r="B115" s="2286"/>
      <c r="C115" s="1674"/>
      <c r="D115" s="1674"/>
      <c r="E115" s="1674"/>
      <c r="F115" s="1674"/>
      <c r="G115" s="1674"/>
      <c r="H115" s="1674"/>
      <c r="I115" s="1674"/>
      <c r="J115" s="1674"/>
      <c r="K115" s="1688">
        <f>'Revenues 9-14'!C268-'Expenditures 15-22'!K114</f>
        <v>103548</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3" t="s">
        <v>293</v>
      </c>
      <c r="B117" s="2264"/>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1963</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c r="F123" s="1572"/>
      <c r="G123" s="1572"/>
      <c r="H123" s="1572"/>
      <c r="I123" s="1573"/>
      <c r="J123" s="1573"/>
      <c r="K123" s="1673">
        <f>SUM(C123:J123)</f>
        <v>0</v>
      </c>
      <c r="L123" s="1572"/>
    </row>
    <row r="124" spans="1:14" ht="14.25" thickTop="1" thickBot="1" x14ac:dyDescent="0.25">
      <c r="A124" s="1273" t="s">
        <v>195</v>
      </c>
      <c r="B124" s="503">
        <v>2540</v>
      </c>
      <c r="C124" s="1572"/>
      <c r="D124" s="1572"/>
      <c r="E124" s="1572">
        <v>74495</v>
      </c>
      <c r="F124" s="1572">
        <v>72563</v>
      </c>
      <c r="G124" s="1572">
        <v>67189</v>
      </c>
      <c r="H124" s="1572"/>
      <c r="I124" s="1573"/>
      <c r="J124" s="1573"/>
      <c r="K124" s="1673">
        <f>SUM(C124:J124)</f>
        <v>214247</v>
      </c>
      <c r="L124" s="1572">
        <v>225230</v>
      </c>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0</v>
      </c>
      <c r="D127" s="1673">
        <f t="shared" ref="D127:L127" si="14">SUM(D122:D126)</f>
        <v>0</v>
      </c>
      <c r="E127" s="1673">
        <f t="shared" si="14"/>
        <v>74495</v>
      </c>
      <c r="F127" s="1673">
        <f t="shared" si="14"/>
        <v>72563</v>
      </c>
      <c r="G127" s="1673">
        <f t="shared" si="14"/>
        <v>67189</v>
      </c>
      <c r="H127" s="1673">
        <f t="shared" si="14"/>
        <v>0</v>
      </c>
      <c r="I127" s="1673">
        <f t="shared" si="14"/>
        <v>0</v>
      </c>
      <c r="J127" s="1673">
        <f t="shared" si="14"/>
        <v>0</v>
      </c>
      <c r="K127" s="1673">
        <f t="shared" si="14"/>
        <v>214247</v>
      </c>
      <c r="L127" s="1673">
        <f t="shared" si="14"/>
        <v>225230</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0</v>
      </c>
      <c r="D129" s="1680">
        <f t="shared" ref="D129:L129" si="15">SUM(D120,D127,D128)</f>
        <v>0</v>
      </c>
      <c r="E129" s="1680">
        <f t="shared" si="15"/>
        <v>74495</v>
      </c>
      <c r="F129" s="1680">
        <f t="shared" si="15"/>
        <v>72563</v>
      </c>
      <c r="G129" s="1680">
        <f t="shared" si="15"/>
        <v>67189</v>
      </c>
      <c r="H129" s="1680">
        <f t="shared" si="15"/>
        <v>0</v>
      </c>
      <c r="I129" s="1680">
        <f t="shared" si="15"/>
        <v>0</v>
      </c>
      <c r="J129" s="1680">
        <f t="shared" si="15"/>
        <v>0</v>
      </c>
      <c r="K129" s="1680">
        <f t="shared" si="15"/>
        <v>214247</v>
      </c>
      <c r="L129" s="1680">
        <f t="shared" si="15"/>
        <v>225230</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1816</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1160</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75" t="s">
        <v>616</v>
      </c>
      <c r="B151" s="2257"/>
      <c r="C151" s="1673">
        <f>SUM(C129,C130,C139,C149,C150)</f>
        <v>0</v>
      </c>
      <c r="D151" s="1673">
        <f t="shared" ref="D151:K151" si="16">SUM(D129,D130,D139,D149,D150)</f>
        <v>0</v>
      </c>
      <c r="E151" s="1673">
        <f t="shared" si="16"/>
        <v>74495</v>
      </c>
      <c r="F151" s="1673">
        <f t="shared" si="16"/>
        <v>72563</v>
      </c>
      <c r="G151" s="1673">
        <f t="shared" si="16"/>
        <v>67189</v>
      </c>
      <c r="H151" s="1673">
        <f t="shared" si="16"/>
        <v>0</v>
      </c>
      <c r="I151" s="1673">
        <f t="shared" si="16"/>
        <v>0</v>
      </c>
      <c r="J151" s="1673">
        <f t="shared" si="16"/>
        <v>0</v>
      </c>
      <c r="K151" s="1673">
        <f t="shared" si="16"/>
        <v>214247</v>
      </c>
      <c r="L151" s="1673">
        <f>SUM(L129,L130,L139,L149,L150)</f>
        <v>225230</v>
      </c>
    </row>
    <row r="152" spans="1:14" ht="12.75" customHeight="1" thickTop="1" x14ac:dyDescent="0.2">
      <c r="A152" s="2278" t="s">
        <v>1168</v>
      </c>
      <c r="B152" s="2279"/>
      <c r="C152" s="1674"/>
      <c r="D152" s="1674"/>
      <c r="E152" s="1674"/>
      <c r="F152" s="1674"/>
      <c r="G152" s="1674"/>
      <c r="H152" s="1674"/>
      <c r="I152" s="1674"/>
      <c r="J152" s="1672"/>
      <c r="K152" s="1688">
        <f>'Revenues 9-14'!D268-'Expenditures 15-22'!K151</f>
        <v>-110453</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3" t="s">
        <v>617</v>
      </c>
      <c r="B154" s="2265"/>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1817</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1816</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1818</v>
      </c>
      <c r="C158" s="1672"/>
      <c r="D158" s="1672"/>
      <c r="E158" s="1672"/>
      <c r="F158" s="1672"/>
      <c r="G158" s="1672"/>
      <c r="H158" s="1573"/>
      <c r="I158" s="1672"/>
      <c r="J158" s="1672"/>
      <c r="K158" s="1671">
        <f>H158</f>
        <v>0</v>
      </c>
      <c r="L158" s="1573"/>
      <c r="M158" s="505"/>
      <c r="N158" s="505"/>
    </row>
    <row r="159" spans="1:14" s="506" customFormat="1" ht="12" x14ac:dyDescent="0.2">
      <c r="A159" s="1461" t="s">
        <v>1819</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1160</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21984</v>
      </c>
      <c r="I169" s="1672"/>
      <c r="J169" s="1672"/>
      <c r="K169" s="1671">
        <f>SUM(C169:H169)</f>
        <v>21984</v>
      </c>
      <c r="L169" s="1694">
        <v>22154</v>
      </c>
    </row>
    <row r="170" spans="1:14" ht="33.75" customHeight="1" x14ac:dyDescent="0.2">
      <c r="A170" s="543" t="s">
        <v>1651</v>
      </c>
      <c r="B170" s="545" t="s">
        <v>31</v>
      </c>
      <c r="C170" s="1672"/>
      <c r="D170" s="1672"/>
      <c r="E170" s="1672"/>
      <c r="F170" s="1672"/>
      <c r="G170" s="1672"/>
      <c r="H170" s="1645">
        <v>52000</v>
      </c>
      <c r="I170" s="1672"/>
      <c r="J170" s="1672"/>
      <c r="K170" s="1671">
        <f>SUM(C170:J170)</f>
        <v>52000</v>
      </c>
      <c r="L170" s="1645">
        <v>52000</v>
      </c>
    </row>
    <row r="171" spans="1:14" ht="15.75" customHeight="1" x14ac:dyDescent="0.2">
      <c r="A171" s="507" t="s">
        <v>761</v>
      </c>
      <c r="B171" s="546" t="s">
        <v>84</v>
      </c>
      <c r="C171" s="1672"/>
      <c r="D171" s="1672"/>
      <c r="E171" s="1572"/>
      <c r="F171" s="1672"/>
      <c r="G171" s="1672"/>
      <c r="H171" s="1645"/>
      <c r="I171" s="1581"/>
      <c r="J171" s="1672"/>
      <c r="K171" s="1671">
        <f>SUM(C171:J171)</f>
        <v>0</v>
      </c>
      <c r="L171" s="1645">
        <v>350</v>
      </c>
    </row>
    <row r="172" spans="1:14" ht="12.75" customHeight="1" thickBot="1" x14ac:dyDescent="0.25">
      <c r="A172" s="1379" t="s">
        <v>633</v>
      </c>
      <c r="B172" s="1380" t="s">
        <v>489</v>
      </c>
      <c r="C172" s="1672"/>
      <c r="D172" s="1672"/>
      <c r="E172" s="1680">
        <f>SUM(E168,E169,E170,E171)</f>
        <v>0</v>
      </c>
      <c r="F172" s="1672"/>
      <c r="G172" s="1672"/>
      <c r="H172" s="1680">
        <f>SUM(H168,H169,H170,H171)</f>
        <v>73984</v>
      </c>
      <c r="I172" s="1683"/>
      <c r="J172" s="1672"/>
      <c r="K172" s="1680">
        <f>SUM(K168,K169,K170,K171)</f>
        <v>73984</v>
      </c>
      <c r="L172" s="1680">
        <f>SUM(L168,L169,L170,L171)</f>
        <v>74504</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73984</v>
      </c>
      <c r="I174" s="1683"/>
      <c r="J174" s="1672"/>
      <c r="K174" s="1680">
        <f>SUM(K160,K172,K173)</f>
        <v>73984</v>
      </c>
      <c r="L174" s="1680">
        <f>SUM(L160,L172,L173)</f>
        <v>74504</v>
      </c>
    </row>
    <row r="175" spans="1:14" ht="13.5" thickTop="1" x14ac:dyDescent="0.2">
      <c r="A175" s="2285" t="s">
        <v>989</v>
      </c>
      <c r="B175" s="2286"/>
      <c r="C175" s="1672"/>
      <c r="D175" s="1672"/>
      <c r="E175" s="1672"/>
      <c r="F175" s="1672"/>
      <c r="G175" s="1672"/>
      <c r="H175" s="1674"/>
      <c r="I175" s="1672"/>
      <c r="J175" s="1672"/>
      <c r="K175" s="1688">
        <f>'Revenues 9-14'!E268-'Expenditures 15-22'!K174</f>
        <v>1621</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1963</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11119</v>
      </c>
      <c r="D182" s="1572">
        <v>687</v>
      </c>
      <c r="E182" s="1572">
        <v>255066</v>
      </c>
      <c r="F182" s="1572">
        <v>776</v>
      </c>
      <c r="G182" s="1572">
        <v>14500</v>
      </c>
      <c r="H182" s="1572"/>
      <c r="I182" s="1573"/>
      <c r="J182" s="1573"/>
      <c r="K182" s="1671">
        <f>SUM(C182:J182)</f>
        <v>282148</v>
      </c>
      <c r="L182" s="1572">
        <v>283250</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11119</v>
      </c>
      <c r="D184" s="1680">
        <f t="shared" ref="D184:J184" si="17">SUM(D180,D182,D183)</f>
        <v>687</v>
      </c>
      <c r="E184" s="1680">
        <f t="shared" si="17"/>
        <v>255066</v>
      </c>
      <c r="F184" s="1680">
        <f t="shared" si="17"/>
        <v>776</v>
      </c>
      <c r="G184" s="1680">
        <f t="shared" si="17"/>
        <v>14500</v>
      </c>
      <c r="H184" s="1680">
        <f t="shared" si="17"/>
        <v>0</v>
      </c>
      <c r="I184" s="1680">
        <f t="shared" si="17"/>
        <v>0</v>
      </c>
      <c r="J184" s="1680">
        <f t="shared" si="17"/>
        <v>0</v>
      </c>
      <c r="K184" s="1680">
        <f>SUM(K180,K182,K183)</f>
        <v>282148</v>
      </c>
      <c r="L184" s="1680">
        <f>SUM(L180, L182:L183)</f>
        <v>283250</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1160</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1652</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11119</v>
      </c>
      <c r="D210" s="1673">
        <f>SUM(D184,D185)</f>
        <v>687</v>
      </c>
      <c r="E210" s="1673">
        <f>SUM(E184,E185,E196)</f>
        <v>255066</v>
      </c>
      <c r="F210" s="1673">
        <f>SUM(F184,F185)</f>
        <v>776</v>
      </c>
      <c r="G210" s="1673">
        <f>SUM(G184,G185)</f>
        <v>14500</v>
      </c>
      <c r="H210" s="1673">
        <f>SUM(H184,H185,H196,H208,H209)</f>
        <v>0</v>
      </c>
      <c r="I210" s="1673">
        <f>SUM(I184,I185)</f>
        <v>0</v>
      </c>
      <c r="J210" s="1673">
        <f>SUM(J184,J185)</f>
        <v>0</v>
      </c>
      <c r="K210" s="1671">
        <f>SUM(K184,K185,K196,K208,K209)</f>
        <v>282148</v>
      </c>
      <c r="L210" s="1673">
        <f>SUM(L184,L185,L196,L208,L209)</f>
        <v>283250</v>
      </c>
    </row>
    <row r="211" spans="1:14" ht="13.5" thickTop="1" x14ac:dyDescent="0.2">
      <c r="A211" s="2285" t="s">
        <v>989</v>
      </c>
      <c r="B211" s="2286"/>
      <c r="C211" s="1674"/>
      <c r="D211" s="1674"/>
      <c r="E211" s="1674"/>
      <c r="F211" s="1674"/>
      <c r="G211" s="1674"/>
      <c r="H211" s="1674"/>
      <c r="I211" s="1672"/>
      <c r="J211" s="1672"/>
      <c r="K211" s="1688">
        <f>'Revenues 9-14'!F268-'Expenditures 15-22'!K210</f>
        <v>-101832</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0" t="s">
        <v>959</v>
      </c>
      <c r="B213" s="2281"/>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17170</v>
      </c>
      <c r="E215" s="1672"/>
      <c r="F215" s="1672"/>
      <c r="G215" s="1672"/>
      <c r="H215" s="1672"/>
      <c r="I215" s="1672"/>
      <c r="J215" s="1672"/>
      <c r="K215" s="1671">
        <f>D215</f>
        <v>17170</v>
      </c>
      <c r="L215" s="1572">
        <v>17915</v>
      </c>
    </row>
    <row r="216" spans="1:14" x14ac:dyDescent="0.2">
      <c r="A216" s="1273" t="s">
        <v>162</v>
      </c>
      <c r="B216" s="503" t="s">
        <v>961</v>
      </c>
      <c r="C216" s="1672"/>
      <c r="D216" s="1573"/>
      <c r="E216" s="1672"/>
      <c r="F216" s="1672"/>
      <c r="G216" s="1672"/>
      <c r="H216" s="1672"/>
      <c r="I216" s="1672"/>
      <c r="J216" s="1672"/>
      <c r="K216" s="1671">
        <f t="shared" ref="K216:K228" si="19">D216</f>
        <v>0</v>
      </c>
      <c r="L216" s="1572"/>
    </row>
    <row r="217" spans="1:14" x14ac:dyDescent="0.2">
      <c r="A217" s="1273" t="s">
        <v>163</v>
      </c>
      <c r="B217" s="503">
        <v>1200</v>
      </c>
      <c r="C217" s="1672"/>
      <c r="D217" s="1572">
        <v>24687</v>
      </c>
      <c r="E217" s="1672"/>
      <c r="F217" s="1672"/>
      <c r="G217" s="1672"/>
      <c r="H217" s="1672"/>
      <c r="I217" s="1672"/>
      <c r="J217" s="1672"/>
      <c r="K217" s="1671">
        <f t="shared" si="19"/>
        <v>24687</v>
      </c>
      <c r="L217" s="1572">
        <v>26400</v>
      </c>
    </row>
    <row r="218" spans="1:14" x14ac:dyDescent="0.2">
      <c r="A218" s="1273" t="s">
        <v>276</v>
      </c>
      <c r="B218" s="503" t="s">
        <v>962</v>
      </c>
      <c r="C218" s="1672"/>
      <c r="D218" s="1573"/>
      <c r="E218" s="1672"/>
      <c r="F218" s="1672"/>
      <c r="G218" s="1672"/>
      <c r="H218" s="1672"/>
      <c r="I218" s="1672"/>
      <c r="J218" s="1672"/>
      <c r="K218" s="1671">
        <f t="shared" si="19"/>
        <v>0</v>
      </c>
      <c r="L218" s="1572"/>
    </row>
    <row r="219" spans="1:14" x14ac:dyDescent="0.2">
      <c r="A219" s="1273" t="s">
        <v>277</v>
      </c>
      <c r="B219" s="503">
        <v>1250</v>
      </c>
      <c r="C219" s="1672"/>
      <c r="D219" s="1572">
        <v>305</v>
      </c>
      <c r="E219" s="1672"/>
      <c r="F219" s="1672"/>
      <c r="G219" s="1672"/>
      <c r="H219" s="1672"/>
      <c r="I219" s="1672"/>
      <c r="J219" s="1672"/>
      <c r="K219" s="1671">
        <f t="shared" si="19"/>
        <v>305</v>
      </c>
      <c r="L219" s="1572">
        <v>400</v>
      </c>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c r="E222" s="1672"/>
      <c r="F222" s="1672"/>
      <c r="G222" s="1672"/>
      <c r="H222" s="1672"/>
      <c r="I222" s="1672"/>
      <c r="J222" s="1672"/>
      <c r="K222" s="1671">
        <f t="shared" si="19"/>
        <v>0</v>
      </c>
      <c r="L222" s="1572"/>
    </row>
    <row r="223" spans="1:14" x14ac:dyDescent="0.2">
      <c r="A223" s="1273" t="s">
        <v>957</v>
      </c>
      <c r="B223" s="503">
        <v>1500</v>
      </c>
      <c r="C223" s="1672"/>
      <c r="D223" s="1572"/>
      <c r="E223" s="1672"/>
      <c r="F223" s="1672"/>
      <c r="G223" s="1672"/>
      <c r="H223" s="1672"/>
      <c r="I223" s="1672"/>
      <c r="J223" s="1672"/>
      <c r="K223" s="1671">
        <f t="shared" si="19"/>
        <v>0</v>
      </c>
      <c r="L223" s="1572"/>
    </row>
    <row r="224" spans="1:14" x14ac:dyDescent="0.2">
      <c r="A224" s="1273" t="s">
        <v>958</v>
      </c>
      <c r="B224" s="503">
        <v>1600</v>
      </c>
      <c r="C224" s="1672"/>
      <c r="D224" s="1572"/>
      <c r="E224" s="1672"/>
      <c r="F224" s="1672"/>
      <c r="G224" s="1672"/>
      <c r="H224" s="1672"/>
      <c r="I224" s="1672"/>
      <c r="J224" s="1672"/>
      <c r="K224" s="1671">
        <f t="shared" si="19"/>
        <v>0</v>
      </c>
      <c r="L224" s="1572"/>
    </row>
    <row r="225" spans="1:12" x14ac:dyDescent="0.2">
      <c r="A225" s="1273" t="s">
        <v>980</v>
      </c>
      <c r="B225" s="503">
        <v>1650</v>
      </c>
      <c r="C225" s="1672"/>
      <c r="D225" s="1572"/>
      <c r="E225" s="1672"/>
      <c r="F225" s="1672"/>
      <c r="G225" s="1672"/>
      <c r="H225" s="1672"/>
      <c r="I225" s="1672"/>
      <c r="J225" s="1672"/>
      <c r="K225" s="1671">
        <f t="shared" si="19"/>
        <v>0</v>
      </c>
      <c r="L225" s="1572"/>
    </row>
    <row r="226" spans="1:12" x14ac:dyDescent="0.2">
      <c r="A226" s="1273" t="s">
        <v>719</v>
      </c>
      <c r="B226" s="503" t="s">
        <v>161</v>
      </c>
      <c r="C226" s="1672"/>
      <c r="D226" s="1573"/>
      <c r="E226" s="1672"/>
      <c r="F226" s="1672"/>
      <c r="G226" s="1672"/>
      <c r="H226" s="1672"/>
      <c r="I226" s="1672"/>
      <c r="J226" s="1672"/>
      <c r="K226" s="1671">
        <f t="shared" si="19"/>
        <v>0</v>
      </c>
      <c r="L226" s="1572"/>
    </row>
    <row r="227" spans="1:12" x14ac:dyDescent="0.2">
      <c r="A227" s="1273" t="s">
        <v>1078</v>
      </c>
      <c r="B227" s="503">
        <v>1800</v>
      </c>
      <c r="C227" s="1672"/>
      <c r="D227" s="1572"/>
      <c r="E227" s="1672"/>
      <c r="F227" s="1672"/>
      <c r="G227" s="1672"/>
      <c r="H227" s="1672"/>
      <c r="I227" s="1672"/>
      <c r="J227" s="1672"/>
      <c r="K227" s="1671">
        <f t="shared" si="19"/>
        <v>0</v>
      </c>
      <c r="L227" s="1572"/>
    </row>
    <row r="228" spans="1:12" x14ac:dyDescent="0.2">
      <c r="A228" s="1273" t="s">
        <v>1079</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42162</v>
      </c>
      <c r="E229" s="1672"/>
      <c r="F229" s="1672"/>
      <c r="G229" s="1672"/>
      <c r="H229" s="1672"/>
      <c r="I229" s="1672"/>
      <c r="J229" s="1672"/>
      <c r="K229" s="1673">
        <f>SUM(K215:K228)</f>
        <v>42162</v>
      </c>
      <c r="L229" s="1673">
        <f>SUM(L215:L228)</f>
        <v>44715</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c r="E232" s="1672"/>
      <c r="F232" s="1672"/>
      <c r="G232" s="1672"/>
      <c r="H232" s="1672"/>
      <c r="I232" s="1672"/>
      <c r="J232" s="1672"/>
      <c r="K232" s="1671">
        <f t="shared" ref="K232:K237" si="20">D232</f>
        <v>0</v>
      </c>
      <c r="L232" s="1572"/>
    </row>
    <row r="233" spans="1:12" x14ac:dyDescent="0.2">
      <c r="A233" s="1273" t="s">
        <v>1081</v>
      </c>
      <c r="B233" s="503">
        <v>2120</v>
      </c>
      <c r="C233" s="1672"/>
      <c r="D233" s="1572"/>
      <c r="E233" s="1672"/>
      <c r="F233" s="1672"/>
      <c r="G233" s="1672"/>
      <c r="H233" s="1672"/>
      <c r="I233" s="1672"/>
      <c r="J233" s="1672"/>
      <c r="K233" s="1671">
        <f t="shared" si="20"/>
        <v>0</v>
      </c>
      <c r="L233" s="1572"/>
    </row>
    <row r="234" spans="1:12" x14ac:dyDescent="0.2">
      <c r="A234" s="1273" t="s">
        <v>196</v>
      </c>
      <c r="B234" s="503">
        <v>2130</v>
      </c>
      <c r="C234" s="1672"/>
      <c r="D234" s="1572">
        <v>3515</v>
      </c>
      <c r="E234" s="1672"/>
      <c r="F234" s="1672"/>
      <c r="G234" s="1672"/>
      <c r="H234" s="1672"/>
      <c r="I234" s="1672"/>
      <c r="J234" s="1672"/>
      <c r="K234" s="1671">
        <f t="shared" si="20"/>
        <v>3515</v>
      </c>
      <c r="L234" s="1572">
        <v>3750</v>
      </c>
    </row>
    <row r="235" spans="1:12" x14ac:dyDescent="0.2">
      <c r="A235" s="1273" t="s">
        <v>197</v>
      </c>
      <c r="B235" s="503">
        <v>2140</v>
      </c>
      <c r="C235" s="1672"/>
      <c r="D235" s="1572"/>
      <c r="E235" s="1672"/>
      <c r="F235" s="1672"/>
      <c r="G235" s="1672"/>
      <c r="H235" s="1672"/>
      <c r="I235" s="1672"/>
      <c r="J235" s="1672"/>
      <c r="K235" s="1671">
        <f t="shared" si="20"/>
        <v>0</v>
      </c>
      <c r="L235" s="1572"/>
    </row>
    <row r="236" spans="1:12" x14ac:dyDescent="0.2">
      <c r="A236" s="1273" t="s">
        <v>198</v>
      </c>
      <c r="B236" s="503">
        <v>2150</v>
      </c>
      <c r="C236" s="1672"/>
      <c r="D236" s="1572"/>
      <c r="E236" s="1672"/>
      <c r="F236" s="1672"/>
      <c r="G236" s="1672"/>
      <c r="H236" s="1672"/>
      <c r="I236" s="1672"/>
      <c r="J236" s="1672"/>
      <c r="K236" s="1671">
        <f t="shared" si="20"/>
        <v>0</v>
      </c>
      <c r="L236" s="1572"/>
    </row>
    <row r="237" spans="1:12" x14ac:dyDescent="0.2">
      <c r="A237" s="1273" t="s">
        <v>164</v>
      </c>
      <c r="B237" s="503">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3515</v>
      </c>
      <c r="E238" s="1672"/>
      <c r="F238" s="1672"/>
      <c r="G238" s="1672"/>
      <c r="H238" s="1672"/>
      <c r="I238" s="1672"/>
      <c r="J238" s="1672"/>
      <c r="K238" s="1673">
        <f>SUM(K232:K237)</f>
        <v>3515</v>
      </c>
      <c r="L238" s="1673">
        <f>SUM(L232:L237)</f>
        <v>3750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c r="E240" s="1672"/>
      <c r="F240" s="1672"/>
      <c r="G240" s="1672"/>
      <c r="H240" s="1672"/>
      <c r="I240" s="1672"/>
      <c r="J240" s="1672"/>
      <c r="K240" s="1677">
        <f>D240</f>
        <v>0</v>
      </c>
      <c r="L240" s="1585"/>
    </row>
    <row r="241" spans="1:12" x14ac:dyDescent="0.2">
      <c r="A241" s="1273" t="s">
        <v>810</v>
      </c>
      <c r="B241" s="503">
        <v>2220</v>
      </c>
      <c r="C241" s="1672"/>
      <c r="D241" s="1572">
        <v>2751</v>
      </c>
      <c r="E241" s="1672"/>
      <c r="F241" s="1672"/>
      <c r="G241" s="1672"/>
      <c r="H241" s="1672"/>
      <c r="I241" s="1672"/>
      <c r="J241" s="1672"/>
      <c r="K241" s="1677">
        <f>D241</f>
        <v>2751</v>
      </c>
      <c r="L241" s="1572">
        <v>2920</v>
      </c>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2751</v>
      </c>
      <c r="E243" s="1672"/>
      <c r="F243" s="1672"/>
      <c r="G243" s="1672"/>
      <c r="H243" s="1672"/>
      <c r="I243" s="1672"/>
      <c r="J243" s="1672"/>
      <c r="K243" s="1673">
        <f>SUM(K240:K242)</f>
        <v>2751</v>
      </c>
      <c r="L243" s="1673">
        <f>SUM(L240:L242)</f>
        <v>2920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c r="E245" s="1672"/>
      <c r="F245" s="1672"/>
      <c r="G245" s="1672"/>
      <c r="H245" s="1672"/>
      <c r="I245" s="1672"/>
      <c r="J245" s="1672"/>
      <c r="K245" s="1677">
        <f>D245</f>
        <v>0</v>
      </c>
      <c r="L245" s="1585"/>
    </row>
    <row r="246" spans="1:12" x14ac:dyDescent="0.2">
      <c r="A246" s="1273" t="s">
        <v>813</v>
      </c>
      <c r="B246" s="503">
        <v>2320</v>
      </c>
      <c r="C246" s="1672"/>
      <c r="D246" s="1572">
        <v>1505</v>
      </c>
      <c r="E246" s="1672"/>
      <c r="F246" s="1672"/>
      <c r="G246" s="1672"/>
      <c r="H246" s="1672"/>
      <c r="I246" s="1672"/>
      <c r="J246" s="1672"/>
      <c r="K246" s="1677">
        <f t="shared" ref="K246:K256" si="21">D246</f>
        <v>1505</v>
      </c>
      <c r="L246" s="1572">
        <v>1550</v>
      </c>
    </row>
    <row r="247" spans="1:12" x14ac:dyDescent="0.2">
      <c r="A247" s="1273" t="s">
        <v>814</v>
      </c>
      <c r="B247" s="503">
        <v>2330</v>
      </c>
      <c r="C247" s="1672"/>
      <c r="D247" s="1572"/>
      <c r="E247" s="1672"/>
      <c r="F247" s="1672"/>
      <c r="G247" s="1672"/>
      <c r="H247" s="1672"/>
      <c r="I247" s="1672"/>
      <c r="J247" s="1672"/>
      <c r="K247" s="1677">
        <f t="shared" si="21"/>
        <v>0</v>
      </c>
      <c r="L247" s="1572"/>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1782</v>
      </c>
      <c r="B249" s="557" t="s">
        <v>280</v>
      </c>
      <c r="C249" s="1672"/>
      <c r="D249" s="1578"/>
      <c r="E249" s="1672"/>
      <c r="F249" s="1672"/>
      <c r="G249" s="1672"/>
      <c r="H249" s="1672"/>
      <c r="I249" s="1672"/>
      <c r="J249" s="1672"/>
      <c r="K249" s="1677">
        <f t="shared" si="21"/>
        <v>0</v>
      </c>
      <c r="L249" s="1572"/>
    </row>
    <row r="250" spans="1:12" x14ac:dyDescent="0.2">
      <c r="A250" s="1274" t="s">
        <v>1783</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c r="E254" s="1672"/>
      <c r="F254" s="1672"/>
      <c r="G254" s="1672"/>
      <c r="H254" s="1672"/>
      <c r="I254" s="1672"/>
      <c r="J254" s="1672"/>
      <c r="K254" s="1677">
        <f t="shared" si="21"/>
        <v>0</v>
      </c>
      <c r="L254" s="1572"/>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1505</v>
      </c>
      <c r="E257" s="1672"/>
      <c r="F257" s="1672"/>
      <c r="G257" s="1672"/>
      <c r="H257" s="1672"/>
      <c r="I257" s="1672"/>
      <c r="J257" s="1672"/>
      <c r="K257" s="1673">
        <f>SUM(K245:K256)</f>
        <v>1505</v>
      </c>
      <c r="L257" s="1673">
        <f>SUM(L245:L256)</f>
        <v>1550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5002</v>
      </c>
      <c r="E259" s="1672"/>
      <c r="F259" s="1672"/>
      <c r="G259" s="1672"/>
      <c r="H259" s="1672"/>
      <c r="I259" s="1672"/>
      <c r="J259" s="1672"/>
      <c r="K259" s="1677">
        <f>D259</f>
        <v>5002</v>
      </c>
      <c r="L259" s="1585">
        <v>5095</v>
      </c>
    </row>
    <row r="260" spans="1:14" s="493" customFormat="1" x14ac:dyDescent="0.2">
      <c r="A260" s="1291" t="s">
        <v>1781</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5002</v>
      </c>
      <c r="E261" s="1672"/>
      <c r="F261" s="1672"/>
      <c r="G261" s="1672"/>
      <c r="H261" s="1672"/>
      <c r="I261" s="1672"/>
      <c r="J261" s="1672"/>
      <c r="K261" s="1673">
        <f>SUM(K259:K260)</f>
        <v>5002</v>
      </c>
      <c r="L261" s="1673">
        <f>SUM(L259:L260)</f>
        <v>5095</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c r="E263" s="1672"/>
      <c r="F263" s="1672"/>
      <c r="G263" s="1672"/>
      <c r="H263" s="1672"/>
      <c r="I263" s="1672"/>
      <c r="J263" s="1672"/>
      <c r="K263" s="1677">
        <f>D263</f>
        <v>0</v>
      </c>
      <c r="L263" s="1585"/>
    </row>
    <row r="264" spans="1:14" x14ac:dyDescent="0.2">
      <c r="A264" s="1273" t="s">
        <v>460</v>
      </c>
      <c r="B264" s="559">
        <v>2520</v>
      </c>
      <c r="C264" s="1672"/>
      <c r="D264" s="1572">
        <v>6898</v>
      </c>
      <c r="E264" s="1672"/>
      <c r="F264" s="1672"/>
      <c r="G264" s="1672"/>
      <c r="H264" s="1672"/>
      <c r="I264" s="1672"/>
      <c r="J264" s="1672"/>
      <c r="K264" s="1677">
        <f t="shared" ref="K264:K269" si="22">D264</f>
        <v>6898</v>
      </c>
      <c r="L264" s="1572">
        <v>7100</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11522</v>
      </c>
      <c r="E266" s="1672"/>
      <c r="F266" s="1672"/>
      <c r="G266" s="1672"/>
      <c r="H266" s="1672"/>
      <c r="I266" s="1672"/>
      <c r="J266" s="1672"/>
      <c r="K266" s="1677">
        <f t="shared" si="22"/>
        <v>11522</v>
      </c>
      <c r="L266" s="1572">
        <v>12100</v>
      </c>
    </row>
    <row r="267" spans="1:14" x14ac:dyDescent="0.2">
      <c r="A267" s="1273" t="s">
        <v>947</v>
      </c>
      <c r="B267" s="503">
        <v>2550</v>
      </c>
      <c r="C267" s="1672"/>
      <c r="D267" s="1572">
        <v>781</v>
      </c>
      <c r="E267" s="1672"/>
      <c r="F267" s="1672"/>
      <c r="G267" s="1672"/>
      <c r="H267" s="1672"/>
      <c r="I267" s="1672"/>
      <c r="J267" s="1672"/>
      <c r="K267" s="1677">
        <f t="shared" si="22"/>
        <v>781</v>
      </c>
      <c r="L267" s="1572">
        <v>3070</v>
      </c>
    </row>
    <row r="268" spans="1:14" x14ac:dyDescent="0.2">
      <c r="A268" s="1273" t="s">
        <v>100</v>
      </c>
      <c r="B268" s="503">
        <v>2560</v>
      </c>
      <c r="C268" s="1672"/>
      <c r="D268" s="1572">
        <v>6645</v>
      </c>
      <c r="E268" s="1672"/>
      <c r="F268" s="1672"/>
      <c r="G268" s="1672"/>
      <c r="H268" s="1672"/>
      <c r="I268" s="1672"/>
      <c r="J268" s="1672"/>
      <c r="K268" s="1677">
        <f t="shared" si="22"/>
        <v>6645</v>
      </c>
      <c r="L268" s="1572">
        <v>7200</v>
      </c>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25846</v>
      </c>
      <c r="E270" s="1672"/>
      <c r="F270" s="1672"/>
      <c r="G270" s="1672"/>
      <c r="H270" s="1672"/>
      <c r="I270" s="1672"/>
      <c r="J270" s="1672"/>
      <c r="K270" s="1673">
        <f>SUM(K263:K269)</f>
        <v>25846</v>
      </c>
      <c r="L270" s="1673">
        <f>SUM(L263:L269)</f>
        <v>29470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1052</v>
      </c>
      <c r="B274" s="503">
        <v>2630</v>
      </c>
      <c r="C274" s="1672"/>
      <c r="D274" s="1572"/>
      <c r="E274" s="1672"/>
      <c r="F274" s="1672"/>
      <c r="G274" s="1672"/>
      <c r="H274" s="1672"/>
      <c r="I274" s="1672"/>
      <c r="J274" s="1672"/>
      <c r="K274" s="1677">
        <f>D274</f>
        <v>0</v>
      </c>
      <c r="L274" s="1572"/>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38619</v>
      </c>
      <c r="E279" s="1672"/>
      <c r="F279" s="1672"/>
      <c r="G279" s="1672"/>
      <c r="H279" s="1672"/>
      <c r="I279" s="1672"/>
      <c r="J279" s="1672"/>
      <c r="K279" s="1680">
        <f>SUM(K238,K243,K257,K261,K270,K277,K278)</f>
        <v>38619</v>
      </c>
      <c r="L279" s="1680">
        <f>SUM(L238,L243,L257,L261,L270,L277,L278)</f>
        <v>42785</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1816</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1160</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76" t="s">
        <v>502</v>
      </c>
      <c r="B295" s="2277"/>
      <c r="C295" s="1672"/>
      <c r="D295" s="1673">
        <f>SUM(D229,D279,D280,D285)</f>
        <v>80781</v>
      </c>
      <c r="E295" s="1672"/>
      <c r="F295" s="1672"/>
      <c r="G295" s="1672"/>
      <c r="H295" s="1673">
        <f>H293</f>
        <v>0</v>
      </c>
      <c r="I295" s="1672"/>
      <c r="J295" s="1672"/>
      <c r="K295" s="1673">
        <f>SUM(K229,K279,K280,K285,K293,K294)</f>
        <v>80781</v>
      </c>
      <c r="L295" s="1673">
        <f>SUM(L229,L279,L280,L285,L293,L294)</f>
        <v>87500</v>
      </c>
    </row>
    <row r="296" spans="1:14" ht="13.5" thickTop="1" x14ac:dyDescent="0.2">
      <c r="A296" s="2285" t="s">
        <v>989</v>
      </c>
      <c r="B296" s="2286"/>
      <c r="C296" s="1672"/>
      <c r="D296" s="1674"/>
      <c r="E296" s="1672"/>
      <c r="F296" s="1672"/>
      <c r="G296" s="1672"/>
      <c r="H296" s="1706"/>
      <c r="I296" s="1672"/>
      <c r="J296" s="1672"/>
      <c r="K296" s="1688">
        <f>'Revenues 9-14'!G268-'Expenditures 15-22'!K295</f>
        <v>-24079</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68" t="s">
        <v>142</v>
      </c>
      <c r="B298" s="2262"/>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c r="F301" s="1572"/>
      <c r="G301" s="1572"/>
      <c r="H301" s="1572"/>
      <c r="I301" s="1573"/>
      <c r="J301" s="1573"/>
      <c r="K301" s="1671">
        <f>SUM(C301:J301)</f>
        <v>0</v>
      </c>
      <c r="L301" s="1573"/>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1821</v>
      </c>
      <c r="B306" s="562" t="s">
        <v>1816</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73" t="s">
        <v>275</v>
      </c>
      <c r="B312" s="2274"/>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69" t="s">
        <v>989</v>
      </c>
      <c r="B313" s="2270"/>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2" t="s">
        <v>148</v>
      </c>
      <c r="B315" s="2283"/>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4" t="s">
        <v>892</v>
      </c>
      <c r="B317" s="2283"/>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1782</v>
      </c>
      <c r="B320" s="568" t="s">
        <v>280</v>
      </c>
      <c r="C320" s="1573"/>
      <c r="D320" s="1573"/>
      <c r="E320" s="1573">
        <v>21458</v>
      </c>
      <c r="F320" s="1573"/>
      <c r="G320" s="1573"/>
      <c r="H320" s="1573"/>
      <c r="I320" s="1573"/>
      <c r="J320" s="1573"/>
      <c r="K320" s="1671">
        <f t="shared" ref="K320:K327" si="24">SUM(C320:J320)</f>
        <v>21458</v>
      </c>
      <c r="L320" s="1573">
        <v>22000</v>
      </c>
      <c r="M320" s="539"/>
      <c r="N320" s="539"/>
    </row>
    <row r="321" spans="1:14" s="548" customFormat="1" x14ac:dyDescent="0.2">
      <c r="A321" s="1288" t="s">
        <v>297</v>
      </c>
      <c r="B321" s="567" t="s">
        <v>281</v>
      </c>
      <c r="C321" s="1573"/>
      <c r="D321" s="1573"/>
      <c r="E321" s="1573">
        <v>4226</v>
      </c>
      <c r="F321" s="1573"/>
      <c r="G321" s="1573"/>
      <c r="H321" s="1573"/>
      <c r="I321" s="1573"/>
      <c r="J321" s="1573"/>
      <c r="K321" s="1671">
        <f t="shared" si="24"/>
        <v>4226</v>
      </c>
      <c r="L321" s="1573">
        <v>4300</v>
      </c>
      <c r="M321" s="539"/>
      <c r="N321" s="539"/>
    </row>
    <row r="322" spans="1:14" s="548" customFormat="1" x14ac:dyDescent="0.2">
      <c r="A322" s="1288" t="s">
        <v>236</v>
      </c>
      <c r="B322" s="567" t="s">
        <v>282</v>
      </c>
      <c r="C322" s="1573"/>
      <c r="D322" s="1573"/>
      <c r="E322" s="1573">
        <v>12615</v>
      </c>
      <c r="F322" s="1573"/>
      <c r="G322" s="1573"/>
      <c r="H322" s="1573"/>
      <c r="I322" s="1573"/>
      <c r="J322" s="1573"/>
      <c r="K322" s="1671">
        <f t="shared" si="24"/>
        <v>12615</v>
      </c>
      <c r="L322" s="1573">
        <v>12615</v>
      </c>
      <c r="M322" s="539"/>
      <c r="N322" s="539"/>
    </row>
    <row r="323" spans="1:14" s="548" customFormat="1" x14ac:dyDescent="0.2">
      <c r="A323" s="1288" t="s">
        <v>697</v>
      </c>
      <c r="B323" s="567" t="s">
        <v>283</v>
      </c>
      <c r="C323" s="1573"/>
      <c r="D323" s="1573"/>
      <c r="E323" s="1573"/>
      <c r="F323" s="1573"/>
      <c r="G323" s="1573"/>
      <c r="H323" s="1573"/>
      <c r="I323" s="1573"/>
      <c r="J323" s="1573"/>
      <c r="K323" s="1671">
        <f t="shared" si="24"/>
        <v>0</v>
      </c>
      <c r="L323" s="1573"/>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c r="D325" s="1573"/>
      <c r="E325" s="1573"/>
      <c r="F325" s="1573"/>
      <c r="G325" s="1573"/>
      <c r="H325" s="1573"/>
      <c r="I325" s="1573"/>
      <c r="J325" s="1573"/>
      <c r="K325" s="1671">
        <f t="shared" si="24"/>
        <v>0</v>
      </c>
      <c r="L325" s="1573"/>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c r="F327" s="1573"/>
      <c r="G327" s="1573"/>
      <c r="H327" s="1573"/>
      <c r="I327" s="1573"/>
      <c r="J327" s="1573"/>
      <c r="K327" s="1671">
        <f t="shared" si="24"/>
        <v>0</v>
      </c>
      <c r="L327" s="1573"/>
      <c r="M327" s="539"/>
      <c r="N327" s="539"/>
    </row>
    <row r="328" spans="1:14" s="548" customFormat="1" x14ac:dyDescent="0.2">
      <c r="A328" s="1289" t="s">
        <v>469</v>
      </c>
      <c r="B328" s="562" t="s">
        <v>1122</v>
      </c>
      <c r="C328" s="1578"/>
      <c r="D328" s="1578"/>
      <c r="E328" s="1578"/>
      <c r="F328" s="1578"/>
      <c r="G328" s="1578"/>
      <c r="H328" s="1578"/>
      <c r="I328" s="1578"/>
      <c r="J328" s="1578"/>
      <c r="K328" s="1712">
        <f>SUM(C328:J328)</f>
        <v>0</v>
      </c>
      <c r="L328" s="1578"/>
      <c r="M328" s="539"/>
      <c r="N328" s="539"/>
    </row>
    <row r="329" spans="1:14" s="548" customFormat="1" x14ac:dyDescent="0.2">
      <c r="A329" s="1289" t="s">
        <v>1123</v>
      </c>
      <c r="B329" s="562" t="s">
        <v>1124</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712</v>
      </c>
      <c r="B330" s="1380" t="s">
        <v>565</v>
      </c>
      <c r="C330" s="1673">
        <f>SUM(C319:C329)</f>
        <v>0</v>
      </c>
      <c r="D330" s="1673">
        <f t="shared" ref="D330:J330" si="25">SUM(D319:D329)</f>
        <v>0</v>
      </c>
      <c r="E330" s="1673">
        <f t="shared" si="25"/>
        <v>38299</v>
      </c>
      <c r="F330" s="1673">
        <f t="shared" si="25"/>
        <v>0</v>
      </c>
      <c r="G330" s="1673">
        <f t="shared" si="25"/>
        <v>0</v>
      </c>
      <c r="H330" s="1673">
        <f t="shared" si="25"/>
        <v>0</v>
      </c>
      <c r="I330" s="1673">
        <f t="shared" si="25"/>
        <v>0</v>
      </c>
      <c r="J330" s="1673">
        <f t="shared" si="25"/>
        <v>0</v>
      </c>
      <c r="K330" s="1673">
        <f>SUM(K319:K329)</f>
        <v>38299</v>
      </c>
      <c r="L330" s="1673">
        <f>SUM(L319:L329)</f>
        <v>38915</v>
      </c>
      <c r="M330" s="539"/>
      <c r="N330" s="539"/>
    </row>
    <row r="331" spans="1:14" s="548" customFormat="1" ht="12.75" customHeight="1" thickTop="1" x14ac:dyDescent="0.2">
      <c r="A331" s="1466" t="s">
        <v>1822</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1816</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1818</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1160</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38299</v>
      </c>
      <c r="F342" s="1673">
        <f>SUM(F330)</f>
        <v>0</v>
      </c>
      <c r="G342" s="1673">
        <f>SUM(G330)</f>
        <v>0</v>
      </c>
      <c r="H342" s="1673">
        <f>SUM(H330,H334,H340)</f>
        <v>0</v>
      </c>
      <c r="I342" s="1673">
        <f>SUM(I330)</f>
        <v>0</v>
      </c>
      <c r="J342" s="1673">
        <f>SUM(J330)</f>
        <v>0</v>
      </c>
      <c r="K342" s="1673">
        <f>SUM(K330,K334,K340)</f>
        <v>38299</v>
      </c>
      <c r="L342" s="1680">
        <f>SUM(L330,L334,L340,L341)</f>
        <v>38915</v>
      </c>
    </row>
    <row r="343" spans="1:14" ht="12.75" customHeight="1" thickTop="1" x14ac:dyDescent="0.2">
      <c r="A343" s="2271" t="s">
        <v>989</v>
      </c>
      <c r="B343" s="2272"/>
      <c r="C343" s="1672"/>
      <c r="D343" s="1672"/>
      <c r="E343" s="1672"/>
      <c r="F343" s="1672"/>
      <c r="G343" s="1672"/>
      <c r="H343" s="1672"/>
      <c r="I343" s="1672"/>
      <c r="J343" s="1672"/>
      <c r="K343" s="1688">
        <f>'Revenues 9-14'!J268-'Expenditures 15-22'!K342</f>
        <v>16508</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1" t="s">
        <v>960</v>
      </c>
      <c r="B345" s="2262"/>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v>2543</v>
      </c>
      <c r="F348" s="1572"/>
      <c r="G348" s="1572"/>
      <c r="H348" s="1572"/>
      <c r="I348" s="1573"/>
      <c r="J348" s="1573"/>
      <c r="K348" s="1671">
        <f>SUM(C348:J348)</f>
        <v>2543</v>
      </c>
      <c r="L348" s="1572">
        <v>2553</v>
      </c>
    </row>
    <row r="349" spans="1:14" x14ac:dyDescent="0.2">
      <c r="A349" s="1273" t="s">
        <v>195</v>
      </c>
      <c r="B349" s="503">
        <v>2540</v>
      </c>
      <c r="C349" s="1572"/>
      <c r="D349" s="1572"/>
      <c r="E349" s="1572"/>
      <c r="F349" s="1572"/>
      <c r="G349" s="1572"/>
      <c r="H349" s="1572"/>
      <c r="I349" s="1573"/>
      <c r="J349" s="1573"/>
      <c r="K349" s="1671">
        <f>SUM(C349:J349)</f>
        <v>0</v>
      </c>
      <c r="L349" s="1572"/>
    </row>
    <row r="350" spans="1:14" ht="12.75" customHeight="1" thickBot="1" x14ac:dyDescent="0.25">
      <c r="A350" s="1379" t="s">
        <v>714</v>
      </c>
      <c r="B350" s="1380" t="s">
        <v>35</v>
      </c>
      <c r="C350" s="1673">
        <f>SUM(C348:C349)</f>
        <v>0</v>
      </c>
      <c r="D350" s="1673">
        <f t="shared" ref="D350:L350" si="26">SUM(D348:D349)</f>
        <v>0</v>
      </c>
      <c r="E350" s="1673">
        <f t="shared" si="26"/>
        <v>2543</v>
      </c>
      <c r="F350" s="1673">
        <f t="shared" si="26"/>
        <v>0</v>
      </c>
      <c r="G350" s="1673">
        <f t="shared" si="26"/>
        <v>0</v>
      </c>
      <c r="H350" s="1673">
        <f t="shared" si="26"/>
        <v>0</v>
      </c>
      <c r="I350" s="1673">
        <f t="shared" si="26"/>
        <v>0</v>
      </c>
      <c r="J350" s="1673">
        <f t="shared" si="26"/>
        <v>0</v>
      </c>
      <c r="K350" s="1673">
        <f t="shared" si="26"/>
        <v>2543</v>
      </c>
      <c r="L350" s="1673">
        <f t="shared" si="26"/>
        <v>2553</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2543</v>
      </c>
      <c r="F352" s="1673">
        <f t="shared" si="27"/>
        <v>0</v>
      </c>
      <c r="G352" s="1673">
        <f t="shared" si="27"/>
        <v>0</v>
      </c>
      <c r="H352" s="1673">
        <f t="shared" si="27"/>
        <v>0</v>
      </c>
      <c r="I352" s="1673">
        <f t="shared" si="27"/>
        <v>0</v>
      </c>
      <c r="J352" s="1673">
        <f t="shared" si="27"/>
        <v>0</v>
      </c>
      <c r="K352" s="1673">
        <f t="shared" si="27"/>
        <v>2543</v>
      </c>
      <c r="L352" s="1673">
        <f t="shared" si="27"/>
        <v>2553</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1824</v>
      </c>
      <c r="B354" s="557" t="s">
        <v>1816</v>
      </c>
      <c r="C354" s="1672"/>
      <c r="D354" s="1672"/>
      <c r="E354" s="1672"/>
      <c r="F354" s="1672"/>
      <c r="G354" s="1672"/>
      <c r="H354" s="1578"/>
      <c r="I354" s="1715"/>
      <c r="J354" s="1672"/>
      <c r="K354" s="1712">
        <f>H354</f>
        <v>0</v>
      </c>
      <c r="L354" s="1576"/>
    </row>
    <row r="355" spans="1:14" ht="12.75" customHeight="1" x14ac:dyDescent="0.2">
      <c r="A355" s="1282" t="s">
        <v>1825</v>
      </c>
      <c r="B355" s="562" t="s">
        <v>1818</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2543</v>
      </c>
      <c r="F367" s="1673">
        <f t="shared" si="28"/>
        <v>0</v>
      </c>
      <c r="G367" s="1673">
        <f t="shared" si="28"/>
        <v>0</v>
      </c>
      <c r="H367" s="1673">
        <f t="shared" si="28"/>
        <v>0</v>
      </c>
      <c r="I367" s="1673">
        <f t="shared" si="28"/>
        <v>0</v>
      </c>
      <c r="J367" s="1673">
        <f t="shared" si="28"/>
        <v>0</v>
      </c>
      <c r="K367" s="1673">
        <f t="shared" si="28"/>
        <v>2543</v>
      </c>
      <c r="L367" s="1673">
        <f t="shared" si="28"/>
        <v>2553</v>
      </c>
    </row>
    <row r="368" spans="1:14" ht="13.5" thickTop="1" x14ac:dyDescent="0.2">
      <c r="A368" s="2285" t="s">
        <v>989</v>
      </c>
      <c r="B368" s="2286"/>
      <c r="C368" s="1693"/>
      <c r="D368" s="1693"/>
      <c r="E368" s="1676"/>
      <c r="F368" s="1676"/>
      <c r="G368" s="1676"/>
      <c r="H368" s="1676"/>
      <c r="I368" s="1676"/>
      <c r="J368" s="1675"/>
      <c r="K368" s="1671">
        <f>'Revenues 9-14'!K268-'Expenditures 15-22'!K367</f>
        <v>-2529</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d21dc803-237d-4c68-8692-8d731fd29118"/>
    <ds:schemaRef ds:uri="http://www.w3.org/XML/1998/namespace"/>
    <ds:schemaRef ds:uri="http://schemas.microsoft.com/office/2006/documentManagement/types"/>
    <ds:schemaRef ds:uri="http://purl.org/dc/dcmitype/"/>
    <ds:schemaRef ds:uri="http://purl.org/dc/elements/1.1/"/>
    <ds:schemaRef ds:uri="http://purl.org/dc/terms/"/>
    <ds:schemaRef ds:uri="http://schemas.microsoft.com/sharepoint/v3"/>
    <ds:schemaRef ds:uri="http://schemas.microsoft.com/office/infopath/2007/PartnerControls"/>
    <ds:schemaRef ds:uri="http://schemas.openxmlformats.org/package/2006/metadata/core-properties"/>
    <ds:schemaRef ds:uri="6ce3111e-7420-4802-b50a-75d4e9a0b980"/>
    <ds:schemaRef ds:uri="http://schemas.microsoft.com/office/2006/metadata/propertie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2020-09-24T17:58:00Z</cp:lastPrinted>
  <dcterms:created xsi:type="dcterms:W3CDTF">2003-10-29T19:06:34Z</dcterms:created>
  <dcterms:modified xsi:type="dcterms:W3CDTF">2020-10-26T15:14:20Z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