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DA7A178-D89C-407C-A8FE-15B3F4506729}" xr6:coauthVersionLast="36" xr6:coauthVersionMax="36" xr10:uidLastSave="{00000000-0000-0000-0000-000000000000}"/>
  <bookViews>
    <workbookView xWindow="25080" yWindow="-570" windowWidth="16440" windowHeight="290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calcMode="manual"/>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9" i="4" l="1"/>
  <c r="D217" i="29"/>
  <c r="H14" i="29" l="1"/>
  <c r="H5" i="29"/>
  <c r="F5" i="29"/>
  <c r="F38" i="183" l="1"/>
  <c r="F37" i="183"/>
  <c r="F36" i="183"/>
  <c r="F35" i="183"/>
  <c r="F34" i="183"/>
  <c r="F33" i="183"/>
  <c r="F32" i="183"/>
  <c r="F31" i="183"/>
  <c r="F30" i="183"/>
  <c r="F29" i="183"/>
  <c r="F28" i="183"/>
  <c r="F27" i="183"/>
  <c r="F26" i="183"/>
  <c r="F25" i="183"/>
  <c r="F24" i="183"/>
  <c r="F23" i="183"/>
  <c r="F22" i="183"/>
  <c r="F21" i="183"/>
  <c r="F20" i="183"/>
  <c r="F1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s="1"/>
  <c r="B7819" i="106" l="1"/>
  <c r="D7819" i="106" s="1"/>
  <c r="B7818" i="106"/>
  <c r="D7818" i="106" s="1"/>
  <c r="D39" i="183" l="1"/>
  <c r="A15" i="183"/>
  <c r="D82" i="36" l="1"/>
  <c r="F39" i="183"/>
  <c r="E39"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5" i="127"/>
  <c r="B66" i="127"/>
  <c r="E27" i="108"/>
  <c r="G27" i="108"/>
  <c r="F36" i="108"/>
  <c r="G28" i="108"/>
  <c r="G30" i="108"/>
  <c r="E31" i="108"/>
  <c r="G31" i="108"/>
  <c r="E34"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C71" i="34"/>
  <c r="D71" i="34"/>
  <c r="F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B5752" i="106"/>
  <c r="D5752" i="106" s="1"/>
  <c r="F70" i="34" l="1"/>
  <c r="D22" i="37"/>
  <c r="B6995" i="106"/>
  <c r="D6995" i="106" s="1"/>
  <c r="F31" i="108"/>
  <c r="F37" i="34"/>
  <c r="B7829" i="106" s="1"/>
  <c r="D7829" i="106" s="1"/>
  <c r="J129" i="29"/>
  <c r="B7038" i="106" s="1"/>
  <c r="D7038" i="106" s="1"/>
  <c r="C352" i="29"/>
  <c r="B3621" i="106" s="1"/>
  <c r="D3621" i="106" s="1"/>
  <c r="H76" i="4"/>
  <c r="B3298" i="106" s="1"/>
  <c r="D3298" i="106" s="1"/>
  <c r="F50" i="34"/>
  <c r="D36" i="108"/>
  <c r="I129" i="29"/>
  <c r="B7037" i="106" s="1"/>
  <c r="D7037" i="106" s="1"/>
  <c r="F77" i="4"/>
  <c r="B3255" i="106" s="1"/>
  <c r="D3255" i="106" s="1"/>
  <c r="D69" i="36"/>
  <c r="B7076" i="106"/>
  <c r="D7076" i="106" s="1"/>
  <c r="F72" i="34"/>
  <c r="B6289" i="106"/>
  <c r="D6289" i="106" s="1"/>
  <c r="D14" i="4"/>
  <c r="B2570" i="106" s="1"/>
  <c r="D2570" i="106" s="1"/>
  <c r="G14" i="4"/>
  <c r="B2609" i="106" s="1"/>
  <c r="D2609" i="106" s="1"/>
  <c r="F34" i="34"/>
  <c r="B7826" i="106" s="1"/>
  <c r="D7826" i="106" s="1"/>
  <c r="C342" i="29"/>
  <c r="B7216" i="106" s="1"/>
  <c r="D7216" i="106" s="1"/>
  <c r="J210" i="29"/>
  <c r="B7072" i="106" s="1"/>
  <c r="D7072" i="106" s="1"/>
  <c r="B2836" i="106"/>
  <c r="D2836" i="106" s="1"/>
  <c r="B2805" i="106"/>
  <c r="D2805" i="106" s="1"/>
  <c r="F42" i="34"/>
  <c r="H28" i="118"/>
  <c r="I210" i="29"/>
  <c r="B7071" i="106" s="1"/>
  <c r="D7071" i="106" s="1"/>
  <c r="B7047" i="106"/>
  <c r="D7047" i="106" s="1"/>
  <c r="G35" i="108"/>
  <c r="B7078" i="106"/>
  <c r="D7078" i="106" s="1"/>
  <c r="G39" i="108"/>
  <c r="G26" i="108"/>
  <c r="B2724" i="106"/>
  <c r="D2724" i="106" s="1"/>
  <c r="C129" i="29"/>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G170" i="5"/>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B1266" i="106" l="1"/>
  <c r="D1266" i="106" s="1"/>
  <c r="B7235" i="106"/>
  <c r="D7235" i="106" s="1"/>
  <c r="K365" i="29"/>
  <c r="B5527" i="106"/>
  <c r="D5527" i="106" s="1"/>
  <c r="F41" i="108"/>
  <c r="G43" i="108" s="1"/>
  <c r="D44" i="36"/>
  <c r="L114" i="29"/>
  <c r="K77" i="4"/>
  <c r="B3587" i="106" s="1"/>
  <c r="D3587"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10" i="4" l="1"/>
  <c r="B6225" i="106" s="1"/>
  <c r="D6225" i="106" s="1"/>
  <c r="J19" i="4"/>
  <c r="B6229" i="106" s="1"/>
  <c r="D6229" i="106" s="1"/>
  <c r="F77" i="34"/>
  <c r="B7834" i="106" s="1"/>
  <c r="D7834" i="106" s="1"/>
  <c r="J20" i="4"/>
  <c r="J78" i="4"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B6230" i="106"/>
  <c r="D6230" i="106"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10" i="146" l="1"/>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l="1"/>
  <c r="D82" i="4"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C11" i="146" l="1"/>
  <c r="D58" i="36"/>
  <c r="B1644" i="106"/>
  <c r="D1644" i="106" s="1"/>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<sst xmlns="http://schemas.openxmlformats.org/spreadsheetml/2006/main" count="5136" uniqueCount="2070">
  <si>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</si>
  <si>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</si>
  <si>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</si>
  <si>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</si>
  <si>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</si>
  <si>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</si>
  <si>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</si>
  <si>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</si>
  <si>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</si>
  <si>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</si>
  <si>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</si>
  <si>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</si>
  <si>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</si>
  <si>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</si>
  <si>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</si>
  <si>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</si>
  <si>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</si>
  <si>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</si>
  <si>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</si>
  <si>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</si>
  <si>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</si>
  <si>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</si>
  <si>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</si>
  <si>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</si>
  <si>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</si>
  <si>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</si>
  <si>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</si>
  <si>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</si>
  <si>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</si>
  <si>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</si>
  <si>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</si>
  <si>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</si>
  <si>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</si>
  <si>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</si>
  <si>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</si>
  <si>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</si>
  <si>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</si>
  <si>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</si>
  <si>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</si>
  <si>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</si>
  <si>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</si>
  <si>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</si>
  <si>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</si>
  <si>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</si>
  <si>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</si>
  <si>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</si>
  <si>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</si>
  <si>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</si>
  <si>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</si>
  <si>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</si>
  <si>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</si>
  <si>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</si>
  <si>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</si>
  <si>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</si>
  <si>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</si>
  <si>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</si>
  <si>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</si>
  <si>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</si>
  <si>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</si>
  <si>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</si>
  <si>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</si>
  <si>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</si>
  <si>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</si>
  <si>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</si>
  <si>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</si>
  <si>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</si>
  <si>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</si>
  <si>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</si>
  <si>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</si>
  <si>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</si>
  <si>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</si>
  <si>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</si>
  <si>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</si>
  <si>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</si>
  <si>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</si>
  <si>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</si>
  <si>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</si>
  <si>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</si>
  <si>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</si>
  <si>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</si>
  <si>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</si>
  <si>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</si>
  <si>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</si>
  <si>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</si>
  <si>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</si>
  <si>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</si>
  <si>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</si>
  <si>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</si>
  <si>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</si>
  <si>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</si>
  <si>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</si>
  <si>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</si>
  <si>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</si>
  <si>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</si>
  <si>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</si>
  <si>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</si>
  <si>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</si>
  <si>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</si>
  <si>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</si>
  <si>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</si>
  <si>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</si>
  <si>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</si>
  <si>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</si>
  <si>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</si>
  <si>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</si>
  <si>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</si>
  <si>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</si>
  <si>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</si>
  <si>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</si>
  <si>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</si>
  <si>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</si>
  <si>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</si>
  <si>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</si>
  <si>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</si>
  <si>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</si>
  <si>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</si>
  <si>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</si>
  <si>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</si>
  <si>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</si>
  <si>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</si>
  <si>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</si>
  <si>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</si>
  <si>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</si>
  <si>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</si>
  <si>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</si>
  <si>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</si>
  <si>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</si>
  <si>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</si>
  <si>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</si>
  <si>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</si>
  <si>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</si>
  <si>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</si>
  <si>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</si>
  <si>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</si>
  <si>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</si>
  <si>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</si>
  <si>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</si>
  <si>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</si>
  <si>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</si>
  <si>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</si>
  <si>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</si>
  <si>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</si>
  <si>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</si>
  <si>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</si>
  <si>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</si>
  <si>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</si>
  <si>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</si>
  <si>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</si>
  <si>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</si>
  <si>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</si>
  <si>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</si>
  <si>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</si>
  <si>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</si>
  <si>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</si>
  <si>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</si>
  <si>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</si>
  <si>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</si>
  <si>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</si>
  <si>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</si>
  <si>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</si>
  <si>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</si>
  <si>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</si>
  <si>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</si>
  <si>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</si>
  <si>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</si>
  <si>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</si>
  <si>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</si>
  <si>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</si>
  <si>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</si>
  <si>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</si>
  <si>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</si>
  <si>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</si>
  <si>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</si>
  <si>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</si>
  <si>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</si>
  <si>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</si>
  <si>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</si>
  <si>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</si>
  <si>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</si>
  <si>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</si>
  <si>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</si>
  <si>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</si>
  <si>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</si>
  <si>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</si>
  <si>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</si>
  <si>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</si>
  <si>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</si>
  <si>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</si>
  <si>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</si>
  <si>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</si>
  <si>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</si>
  <si>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</si>
  <si>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</si>
  <si>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</si>
  <si>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</si>
  <si>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</si>
  <si>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</si>
  <si>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</si>
  <si>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</si>
  <si>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</si>
  <si>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</si>
  <si>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</si>
  <si>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</si>
  <si>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</si>
  <si>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</si>
  <si>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</si>
  <si>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</si>
  <si>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</si>
  <si>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</si>
  <si>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</si>
  <si>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</si>
  <si>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</si>
  <si>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</si>
  <si>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</si>
  <si>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</si>
  <si>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</si>
  <si>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</si>
  <si>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</si>
  <si>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</si>
  <si>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</si>
  <si>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</si>
  <si>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</si>
  <si>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</si>
  <si>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</si>
  <si>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</si>
  <si>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</si>
  <si>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</si>
  <si>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</si>
  <si>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</si>
  <si>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</si>
  <si>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</si>
  <si>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</si>
  <si>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</si>
  <si>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</si>
  <si>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</si>
  <si>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</si>
  <si>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</si>
  <si>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</si>
  <si>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</si>
  <si>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</si>
  <si>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</si>
  <si>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</si>
  <si>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</si>
  <si>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</si>
  <si>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</si>
  <si>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</si>
  <si>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</si>
  <si>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</si>
  <si>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</si>
  <si>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</si>
  <si>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</si>
  <si>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</si>
  <si>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</si>
  <si>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</si>
  <si>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</si>
  <si>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</si>
  <si>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</si>
  <si>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</si>
  <si>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</si>
  <si>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</si>
  <si>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</si>
  <si>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</si>
  <si>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</si>
  <si>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</si>
  <si>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</si>
  <si>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</si>
  <si>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</si>
  <si>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</si>
  <si>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</si>
  <si>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</si>
  <si>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</si>
  <si>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</si>
  <si>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</si>
  <si>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</si>
  <si>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</si>
  <si>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</si>
  <si>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</si>
  <si>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</si>
  <si>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</si>
  <si>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</si>
  <si>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</si>
  <si>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</si>
  <si>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</si>
  <si>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</si>
  <si>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</si>
  <si>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</si>
  <si>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</si>
  <si>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</si>
  <si>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</si>
  <si>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</si>
  <si>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</si>
  <si>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</si>
  <si>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</si>
  <si>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</si>
  <si>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</si>
  <si>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</si>
  <si>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</si>
  <si>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</si>
  <si>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</si>
  <si>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</si>
  <si>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</si>
  <si>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</si>
  <si>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</si>
  <si>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</si>
  <si>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</si>
  <si>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</si>
  <si>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</si>
  <si>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</si>
  <si>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</si>
  <si>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</si>
  <si>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</si>
  <si>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</si>
  <si>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</si>
  <si>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</si>
  <si>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</si>
  <si>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</si>
  <si>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</si>
  <si>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</si>
  <si>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</si>
  <si>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</si>
  <si>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</si>
  <si>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</si>
  <si>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</si>
  <si>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</si>
  <si>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</si>
  <si>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</si>
  <si>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</si>
  <si>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</si>
  <si>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</si>
  <si>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</si>
  <si>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</si>
  <si>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</si>
  <si>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</si>
  <si>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</si>
  <si>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</si>
  <si>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</si>
  <si>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</si>
  <si>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</si>
  <si>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</si>
  <si>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</si>
  <si>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</si>
  <si>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</si>
  <si>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</si>
  <si>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</si>
  <si>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</si>
  <si>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</si>
  <si>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</si>
  <si>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</si>
  <si>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</si>
  <si>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</si>
  <si>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</si>
  <si>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</si>
  <si>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</si>
  <si>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</si>
  <si>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</si>
  <si>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</si>
  <si>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</si>
  <si>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</si>
  <si>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</si>
  <si>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</si>
  <si>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</si>
  <si>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</si>
  <si>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</si>
  <si>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</si>
  <si>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</si>
  <si>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</si>
  <si>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</si>
  <si>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</si>
  <si>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</si>
  <si>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</si>
  <si>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</si>
  <si>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</si>
  <si>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</si>
  <si>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</si>
  <si>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</si>
  <si>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</si>
  <si>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</si>
  <si>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</si>
  <si>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</si>
  <si>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</si>
  <si>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</si>
  <si>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</si>
  <si>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</si>
  <si>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</si>
  <si>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</si>
  <si>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</si>
  <si>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</si>
  <si>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</si>
  <si>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</si>
  <si>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</si>
  <si>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</si>
  <si>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</si>
  <si>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</si>
  <si>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</si>
  <si>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</si>
  <si>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</si>
  <si>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</si>
  <si>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</si>
  <si>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</si>
  <si>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</si>
  <si>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</si>
  <si>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</si>
  <si>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</si>
  <si>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</si>
  <si>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</si>
  <si>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</si>
  <si>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</si>
  <si>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</si>
  <si>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</si>
  <si>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</si>
  <si>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</si>
  <si>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</si>
  <si>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</si>
  <si>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</si>
  <si>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</si>
  <si>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</si>
  <si>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</si>
  <si>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</si>
  <si>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</si>
  <si>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</si>
  <si>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</si>
  <si>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</si>
  <si>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</si>
  <si>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</si>
  <si>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</si>
  <si>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</si>
  <si>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</si>
  <si>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</si>
  <si>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</si>
  <si>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</si>
  <si>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</si>
  <si>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</si>
  <si>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</si>
  <si>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</si>
  <si>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</si>
  <si>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</si>
  <si>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</si>
  <si>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</si>
  <si>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</si>
  <si>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</si>
  <si>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</si>
  <si>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</si>
  <si>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</si>
  <si>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</si>
  <si>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</si>
  <si>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</si>
  <si>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</si>
  <si>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</si>
  <si>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</si>
  <si>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</si>
  <si>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</si>
  <si>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</si>
  <si>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</si>
  <si>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</si>
  <si>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</si>
  <si>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</si>
  <si>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</si>
  <si>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</si>
  <si>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</si>
  <si>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</si>
  <si>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</si>
  <si>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</si>
  <si>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</si>
  <si>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</si>
  <si>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</si>
  <si>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</si>
  <si>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</si>
  <si>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</si>
  <si>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</si>
  <si>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</si>
  <si>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</si>
  <si>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</si>
  <si>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</si>
  <si>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</si>
  <si>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</si>
  <si>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</si>
  <si>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</si>
  <si>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</si>
  <si>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</si>
  <si>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</si>
  <si>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</si>
  <si>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</si>
  <si>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</si>
  <si>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</si>
  <si>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</si>
  <si>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</si>
  <si>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</si>
  <si>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</si>
  <si>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</si>
  <si>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</si>
  <si>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</si>
  <si>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</si>
  <si>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</si>
  <si>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</si>
  <si>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</si>
  <si>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</si>
  <si>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</si>
  <si>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</si>
  <si>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</si>
  <si>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</si>
  <si>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</si>
  <si>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</si>
  <si>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</si>
  <si>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</si>
  <si>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</si>
  <si>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</si>
  <si>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</si>
  <si>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</si>
  <si>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</si>
  <si>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</si>
  <si>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</si>
  <si>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</si>
  <si>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</si>
  <si>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</si>
  <si>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</si>
  <si>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</si>
  <si>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</si>
  <si>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</si>
  <si>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</si>
  <si>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</si>
  <si>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</si>
  <si>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</si>
  <si>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</si>
  <si>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</si>
  <si>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</si>
  <si>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</si>
  <si>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</si>
  <si>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</si>
  <si>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</si>
  <si>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</si>
  <si>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</si>
  <si>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</si>
  <si>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</si>
  <si>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</si>
  <si>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</si>
  <si>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</si>
  <si>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</si>
  <si>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</si>
  <si>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</si>
  <si>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</si>
  <si>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</si>
  <si>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</si>
  <si>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</si>
  <si>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</si>
  <si>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</si>
  <si>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</si>
  <si>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</si>
  <si>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</si>
  <si>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</si>
  <si>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</si>
  <si>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</si>
  <si>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</si>
  <si>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</si>
  <si>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</si>
  <si>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</si>
  <si>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</si>
  <si>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</si>
  <si>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</si>
  <si>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</si>
  <si>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</si>
  <si>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</si>
  <si>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</si>
  <si>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</si>
  <si>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</si>
  <si>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</si>
  <si>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</si>
  <si>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</si>
  <si>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</si>
  <si>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</si>
  <si>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</si>
  <si>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</si>
  <si>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</si>
  <si>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</si>
  <si>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</si>
  <si>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</si>
  <si>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</si>
  <si>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</si>
  <si>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</si>
  <si>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</si>
  <si>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</si>
  <si>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</si>
  <si>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</si>
  <si>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</si>
  <si>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</si>
  <si>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</si>
  <si>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</si>
  <si>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</si>
  <si>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</si>
  <si>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</si>
  <si>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</si>
  <si>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</si>
  <si>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</si>
  <si>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</si>
  <si>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</si>
  <si>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</si>
  <si>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</si>
  <si>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</si>
  <si>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</si>
  <si>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</si>
  <si>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</si>
  <si>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</si>
  <si>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</si>
  <si>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</si>
  <si>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</si>
  <si>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</si>
  <si>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</si>
  <si>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</si>
  <si>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</si>
  <si>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</si>
  <si>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</si>
  <si>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</si>
  <si>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</si>
  <si>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</si>
  <si>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</si>
  <si>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</si>
  <si>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</si>
  <si>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</si>
  <si>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</si>
  <si>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</si>
  <si>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</si>
  <si>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</si>
  <si>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</si>
  <si>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</si>
  <si>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</si>
  <si>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</si>
  <si>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</si>
  <si>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</si>
  <si>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</si>
  <si>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</si>
  <si>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</si>
  <si>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</si>
  <si>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</si>
  <si>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</si>
  <si>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</si>
  <si>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</si>
  <si>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</si>
  <si>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</si>
  <si>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</si>
  <si>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</si>
  <si>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</si>
  <si>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</si>
  <si>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</si>
  <si>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</si>
  <si>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</si>
  <si>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</si>
  <si>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</si>
  <si>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</si>
  <si>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</si>
  <si>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</si>
  <si>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</si>
  <si>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</si>
  <si>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</si>
  <si>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</si>
  <si>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</si>
  <si>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</si>
  <si>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</si>
  <si>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</si>
  <si>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</si>
  <si>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</si>
  <si>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</si>
  <si>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</si>
  <si>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</si>
  <si>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</si>
  <si>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</si>
  <si>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</si>
  <si>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</si>
  <si>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</si>
  <si>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</si>
  <si>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</si>
  <si>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</si>
  <si>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</si>
  <si>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</si>
  <si>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</si>
  <si>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</si>
  <si>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</si>
  <si>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</si>
  <si>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</si>
  <si>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</si>
  <si>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</si>
  <si>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</si>
  <si>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</si>
  <si>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</si>
  <si>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</si>
  <si>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</si>
  <si>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</si>
  <si>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</si>
  <si>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</si>
  <si>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</si>
  <si>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</si>
  <si>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</si>
  <si>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</si>
  <si>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</si>
  <si>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</si>
  <si>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</si>
  <si>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</si>
  <si>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</si>
  <si>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</si>
  <si>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</si>
  <si>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</si>
  <si>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</si>
  <si>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</si>
  <si>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</si>
  <si>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</si>
  <si>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</si>
  <si>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</si>
  <si>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</si>
  <si>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</si>
  <si>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</si>
  <si>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</si>
  <si>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</si>
  <si>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</si>
  <si>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</si>
  <si>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</si>
  <si>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</si>
  <si>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</si>
  <si>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</si>
  <si>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</si>
  <si>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</si>
  <si>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</si>
  <si>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</si>
  <si>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</si>
  <si>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</si>
  <si>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</si>
  <si>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</si>
  <si>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</si>
  <si>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</si>
  <si>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</si>
  <si>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</si>
  <si>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</si>
  <si>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</si>
  <si>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</si>
  <si>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</si>
  <si>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</si>
  <si>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</si>
  <si>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</si>
  <si>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</si>
  <si>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</si>
  <si>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</si>
  <si>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</si>
  <si>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</si>
  <si>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</si>
  <si>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</si>
  <si>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</si>
  <si>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</si>
  <si>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</si>
  <si>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</si>
  <si>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</si>
  <si>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</si>
  <si>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</si>
  <si>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</si>
  <si>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</si>
  <si>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</si>
  <si>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</si>
  <si>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</si>
  <si>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</si>
  <si>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</si>
  <si>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</si>
  <si>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</si>
  <si>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</si>
  <si>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</si>
  <si>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</si>
  <si>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</si>
  <si>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</si>
  <si>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</si>
  <si>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</si>
  <si>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</si>
  <si>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</si>
  <si>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</si>
  <si>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</si>
  <si>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</si>
  <si>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</si>
  <si>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</si>
  <si>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</si>
  <si>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</si>
  <si>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</si>
  <si>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</si>
  <si>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</si>
  <si>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</si>
  <si>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</si>
  <si>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</si>
  <si>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</si>
  <si>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</si>
  <si>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</si>
  <si>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</si>
  <si>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</si>
  <si>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</si>
  <si>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</si>
  <si>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</si>
  <si>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</si>
  <si>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</si>
  <si>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</si>
  <si>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</si>
  <si>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</si>
  <si>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</si>
  <si>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</si>
  <si>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</si>
  <si>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</si>
  <si>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</si>
  <si>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</si>
  <si>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</si>
  <si>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</si>
  <si>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</si>
  <si>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</si>
  <si>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</si>
  <si>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</si>
  <si>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</si>
  <si>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</si>
  <si>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</si>
  <si>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</si>
  <si>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</si>
  <si>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</si>
  <si>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</si>
  <si>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</si>
  <si>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</si>
  <si>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</si>
  <si>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</si>
  <si>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</si>
  <si>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</si>
  <si>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</si>
  <si>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</si>
  <si>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</si>
  <si>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</si>
  <si>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</si>
  <si>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</si>
  <si>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</si>
  <si>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</si>
  <si>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</si>
  <si>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</si>
  <si>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</si>
  <si>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</si>
  <si>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</si>
  <si>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</si>
  <si>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</si>
  <si>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</si>
  <si>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</si>
  <si>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</si>
  <si>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</si>
  <si>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</si>
  <si>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</si>
  <si>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</si>
  <si>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</si>
  <si>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</si>
  <si>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</si>
  <si>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</si>
  <si>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</si>
  <si>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</si>
  <si>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</si>
  <si>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</si>
  <si>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</si>
  <si>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</si>
  <si>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</si>
  <si>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</si>
  <si>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</si>
  <si>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</si>
  <si>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</si>
  <si>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</si>
  <si>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</si>
  <si>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</si>
  <si>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</si>
  <si>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</si>
  <si>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</si>
  <si>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</si>
  <si>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</si>
  <si>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</si>
  <si>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</si>
  <si>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</si>
  <si>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</si>
  <si>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</si>
  <si>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</si>
  <si>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</si>
  <si>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</si>
  <si>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</si>
  <si>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</si>
  <si>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</si>
  <si>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</si>
  <si>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</si>
  <si>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</si>
  <si>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</si>
  <si>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</si>
  <si>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</si>
  <si>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</si>
  <si>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</si>
  <si>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</si>
  <si>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</si>
  <si>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</si>
  <si>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</si>
  <si>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</si>
  <si>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</si>
  <si>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</si>
  <si>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</si>
  <si>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</si>
  <si>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</si>
  <si>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</si>
  <si>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</si>
  <si>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</si>
  <si>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</si>
  <si>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</si>
  <si>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</si>
  <si>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</si>
  <si>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</si>
  <si>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</si>
  <si>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</si>
  <si>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</si>
  <si>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</si>
  <si>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</si>
  <si>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</si>
  <si>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</si>
  <si>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</si>
  <si>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</si>
  <si>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</si>
  <si>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</si>
  <si>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</si>
  <si>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</si>
  <si>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</si>
  <si>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</si>
  <si>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</si>
  <si>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</si>
  <si>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</si>
  <si>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</si>
  <si>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</si>
  <si>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</si>
  <si>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</si>
  <si>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</si>
  <si>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</si>
  <si>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</si>
  <si>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</si>
  <si>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</si>
  <si>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</si>
  <si>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</si>
  <si>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</si>
  <si>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</si>
  <si>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</si>
  <si>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</si>
  <si>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</si>
  <si>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</si>
  <si>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</si>
  <si>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</si>
  <si>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</si>
  <si>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</si>
  <si>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</si>
  <si>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</si>
  <si>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</si>
  <si>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</si>
  <si>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</si>
  <si>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</si>
  <si>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</si>
  <si>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</si>
  <si>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</si>
  <si>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</si>
  <si>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</si>
  <si>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</si>
  <si>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</si>
  <si>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</si>
  <si>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</si>
  <si>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</si>
  <si>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</si>
  <si>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</si>
  <si>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</si>
  <si>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</si>
  <si>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</si>
  <si>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</si>
  <si>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</si>
  <si>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</si>
  <si>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</si>
  <si>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</si>
  <si>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</si>
  <si>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</si>
  <si>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</si>
  <si>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</si>
  <si>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</si>
  <si>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</si>
  <si>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</si>
  <si>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</si>
  <si>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</si>
  <si>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</si>
  <si>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</si>
  <si>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</si>
  <si>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</si>
  <si>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</si>
  <si>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</si>
  <si>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</si>
  <si>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</si>
  <si>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</si>
  <si>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</si>
  <si>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</si>
  <si>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</si>
  <si>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</si>
  <si>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</si>
  <si>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</si>
  <si>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</si>
  <si>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</si>
  <si>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</si>
  <si>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</si>
  <si>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</si>
  <si>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</si>
  <si>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</si>
  <si>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</si>
  <si>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</si>
  <si>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</si>
  <si>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</si>
  <si>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</si>
  <si>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</si>
  <si>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</si>
  <si>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</si>
  <si>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</si>
  <si>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</si>
  <si>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</si>
  <si>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</si>
  <si>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</si>
  <si>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</si>
  <si>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</si>
  <si>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</si>
  <si>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</si>
  <si>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</si>
  <si>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</si>
  <si>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</si>
  <si>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</si>
  <si>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</si>
  <si>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</si>
  <si>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</si>
  <si>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</si>
  <si>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</si>
  <si>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</si>
  <si>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</si>
  <si>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</si>
  <si>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</si>
  <si>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</si>
  <si>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</si>
  <si>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</si>
  <si>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</si>
  <si>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</si>
  <si>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</si>
  <si>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</si>
  <si>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</si>
  <si>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</si>
  <si>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</si>
  <si>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</si>
  <si>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</si>
  <si>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</si>
  <si>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</si>
  <si>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</si>
  <si>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</si>
  <si>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</si>
  <si>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</si>
  <si>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</si>
  <si>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</si>
  <si>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</si>
  <si>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</si>
  <si>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</si>
  <si>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</si>
  <si>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</si>
  <si>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</si>
  <si>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</si>
  <si>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</si>
  <si>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</si>
  <si>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</si>
  <si>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</si>
  <si>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</si>
  <si>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</si>
  <si>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</si>
  <si>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</si>
  <si>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</si>
  <si>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</si>
  <si>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</si>
  <si>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</si>
  <si>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</si>
  <si>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</si>
  <si>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</si>
  <si>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</si>
  <si>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</si>
  <si>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</si>
  <si>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</si>
  <si>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</si>
  <si>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</si>
  <si>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</si>
  <si>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</si>
  <si>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</si>
  <si>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</si>
  <si>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</si>
  <si>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</si>
  <si>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</si>
  <si>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</si>
  <si>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</si>
  <si>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</si>
  <si>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</si>
  <si>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</si>
  <si>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</si>
  <si>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</si>
  <si>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</si>
  <si>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</si>
  <si>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</si>
  <si>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</si>
  <si>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</si>
  <si>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</si>
  <si>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</si>
  <si>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</si>
  <si>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</si>
  <si>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</si>
  <si>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</si>
  <si>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</si>
  <si>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</si>
  <si>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</si>
  <si>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</si>
  <si>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</si>
  <si>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</si>
  <si>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</si>
  <si>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</si>
  <si>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</si>
  <si>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</si>
  <si>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</si>
  <si>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</si>
  <si>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</si>
  <si>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</si>
  <si>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</si>
  <si>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</si>
  <si>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</si>
  <si>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</si>
  <si>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</si>
  <si>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</si>
  <si>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</si>
  <si>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</si>
  <si>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</si>
  <si>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</si>
  <si>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</si>
  <si>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</si>
  <si>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</si>
  <si>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</si>
  <si>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</si>
  <si>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</si>
  <si>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</si>
  <si>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</si>
  <si>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</si>
  <si>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</si>
  <si>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</si>
  <si>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</si>
  <si>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</si>
  <si>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</si>
  <si>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</si>
  <si>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</si>
  <si>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</si>
  <si>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</si>
  <si>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</si>
  <si>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</si>
  <si>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</si>
  <si>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</si>
  <si>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</si>
  <si>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</si>
  <si>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</si>
  <si>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</si>
  <si>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</si>
  <si>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</si>
  <si>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</si>
  <si>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</si>
  <si>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</si>
  <si>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</si>
  <si>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</si>
  <si>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</si>
  <si>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</si>
  <si>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</si>
  <si>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</si>
  <si>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</si>
  <si>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</si>
  <si>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</si>
  <si>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</si>
  <si>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</si>
  <si>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</si>
  <si>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</si>
  <si>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</si>
  <si>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</si>
  <si>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</si>
  <si>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</si>
  <si>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</si>
  <si>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</si>
  <si>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</si>
  <si>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</si>
  <si>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</si>
  <si>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</si>
  <si>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</si>
  <si>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</si>
  <si>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</si>
  <si>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</si>
  <si>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</si>
  <si>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</si>
  <si>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</si>
  <si>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</si>
  <si>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</si>
  <si>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</si>
  <si>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</si>
  <si>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</si>
  <si>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</si>
  <si>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</si>
  <si>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</si>
  <si>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</si>
  <si>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</si>
  <si>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</si>
  <si>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</si>
  <si>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</si>
  <si>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</si>
  <si>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</si>
  <si>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</si>
  <si>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</si>
  <si>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</si>
  <si>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</si>
  <si>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</si>
  <si>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</si>
  <si>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</si>
  <si>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</si>
  <si>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</si>
  <si>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</si>
  <si>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</si>
  <si>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</si>
  <si>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</si>
  <si>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</si>
  <si>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</si>
  <si>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</si>
  <si>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</si>
  <si>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</si>
  <si>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</si>
  <si>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</si>
  <si>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</si>
  <si>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</si>
  <si>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</si>
  <si>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</si>
  <si>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</si>
  <si>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</si>
  <si>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</si>
  <si>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</si>
  <si>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</si>
  <si>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</si>
  <si>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</si>
  <si>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</si>
  <si>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</si>
  <si>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</si>
  <si>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</si>
  <si>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</si>
  <si>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</si>
  <si>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</si>
  <si>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</si>
  <si>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</si>
  <si>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</si>
  <si>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</si>
  <si>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</si>
  <si>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</si>
  <si>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</si>
  <si>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</si>
  <si>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</si>
  <si>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</si>
  <si>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</si>
  <si>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</si>
  <si>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</si>
  <si>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</si>
  <si>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</si>
  <si>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</si>
  <si>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</si>
  <si>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</si>
  <si>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</si>
  <si>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</si>
  <si>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</si>
  <si>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</si>
  <si>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</si>
  <si>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</si>
  <si>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</si>
  <si>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</si>
  <si>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</si>
  <si>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</si>
  <si>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</si>
  <si>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</si>
  <si>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</si>
  <si>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</si>
  <si>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</si>
  <si>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</si>
  <si>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</si>
  <si>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</si>
  <si>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</si>
  <si>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</si>
  <si>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</si>
  <si>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</si>
  <si>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</si>
  <si>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</si>
  <si>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</si>
  <si>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</si>
  <si>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</si>
  <si>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</si>
  <si>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</si>
  <si>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</si>
  <si>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</si>
  <si>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</si>
  <si>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</si>
  <si>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</si>
  <si>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</si>
  <si>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</si>
  <si>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</si>
  <si>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</si>
  <si>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</si>
  <si>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</si>
  <si>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</si>
  <si>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</si>
  <si>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</si>
  <si>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</si>
  <si>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</si>
  <si>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</si>
  <si>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</si>
  <si>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</si>
  <si>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</si>
  <si>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</si>
  <si>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</si>
  <si>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</si>
  <si>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</si>
  <si>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</si>
  <si>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</si>
  <si>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</si>
  <si>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</si>
  <si>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</si>
  <si>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</si>
  <si>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</si>
  <si>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</si>
  <si>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</si>
  <si>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</si>
  <si>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</si>
  <si>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</si>
  <si>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</si>
  <si>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</si>
  <si>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</si>
  <si>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</si>
  <si>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</si>
  <si>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</si>
  <si>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</si>
  <si>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</si>
  <si>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</si>
  <si>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</si>
  <si>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</si>
  <si>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</si>
  <si>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</si>
  <si>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</si>
  <si>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</si>
  <si>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</si>
  <si>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</si>
  <si>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</si>
  <si>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</si>
  <si>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</si>
  <si>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</si>
  <si>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</si>
  <si>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</si>
  <si>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</si>
  <si>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</si>
  <si>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</si>
  <si>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</si>
  <si>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</si>
  <si>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</si>
  <si>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</si>
  <si>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</si>
  <si>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</si>
  <si>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</si>
  <si>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</si>
  <si>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</si>
  <si>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</si>
  <si>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</si>
  <si>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</si>
  <si>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</si>
  <si>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</si>
  <si>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</si>
  <si>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</si>
  <si>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</si>
  <si>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</si>
  <si>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</si>
  <si>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</si>
  <si>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</si>
  <si>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</si>
  <si>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</si>
  <si>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</si>
  <si>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</si>
  <si>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</si>
  <si>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</si>
  <si>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</si>
  <si>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</si>
  <si>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</si>
  <si>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</si>
  <si>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</si>
  <si>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</si>
  <si>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</si>
  <si>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</si>
  <si>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</si>
  <si>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</si>
  <si>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</si>
  <si>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</si>
  <si>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</si>
  <si>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</si>
  <si>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</si>
  <si>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</si>
  <si>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</si>
  <si>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</si>
  <si>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</si>
  <si>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</si>
  <si>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</si>
  <si>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</si>
  <si>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</si>
  <si>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</si>
  <si>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</si>
  <si>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</si>
  <si>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</si>
  <si>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</si>
  <si>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</si>
  <si>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</si>
  <si>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</si>
  <si>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</si>
  <si>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</si>
  <si>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</si>
  <si>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</si>
  <si>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</si>
  <si>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</si>
  <si>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</si>
  <si>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</si>
  <si>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</si>
  <si>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</si>
  <si>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</si>
  <si>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</si>
  <si>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</si>
  <si>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</si>
  <si>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</si>
  <si>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</si>
  <si>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</si>
  <si>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</si>
  <si>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</si>
  <si>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</si>
  <si>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</si>
  <si>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</si>
  <si>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</si>
  <si>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</si>
  <si>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</si>
  <si>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</si>
  <si>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</si>
  <si>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</si>
  <si>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</si>
  <si>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</si>
  <si>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</si>
  <si>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</si>
  <si>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</si>
  <si>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</si>
  <si>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</si>
  <si>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</si>
  <si>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</si>
  <si>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</si>
  <si>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</si>
  <si>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</si>
  <si>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</si>
  <si>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</si>
  <si>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</si>
  <si>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</si>
  <si>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</si>
  <si>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</si>
  <si>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</si>
  <si>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</si>
  <si>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</si>
  <si>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</si>
  <si>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</si>
  <si>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</si>
  <si>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</si>
  <si>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</si>
  <si>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</si>
  <si>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</si>
  <si>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</si>
  <si>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</si>
  <si>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</si>
  <si>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</si>
  <si>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</si>
  <si>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</si>
  <si>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</si>
  <si>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</si>
  <si>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</si>
  <si>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</si>
  <si>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</si>
  <si>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</si>
  <si>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</si>
  <si>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</si>
  <si>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</si>
  <si>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</si>
  <si>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</si>
  <si>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</si>
  <si>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</si>
  <si>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</si>
  <si>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</si>
  <si>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</si>
  <si>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</si>
  <si>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</si>
  <si>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</si>
  <si>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</si>
  <si>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</si>
  <si>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</si>
  <si>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</si>
  <si>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</si>
  <si>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</si>
  <si>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</si>
  <si>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</si>
  <si>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</si>
  <si>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</si>
  <si>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</si>
  <si>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</si>
  <si>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</si>
  <si>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</si>
  <si>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</si>
  <si>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</si>
  <si>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</si>
  <si>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</si>
  <si>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</si>
  <si>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</si>
  <si>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</si>
  <si>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</si>
  <si>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</si>
  <si>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</si>
  <si>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</si>
  <si>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</si>
  <si>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</si>
  <si>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</si>
  <si>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</si>
  <si>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</si>
  <si>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</si>
  <si>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</si>
  <si>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</si>
  <si>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</si>
  <si>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</si>
  <si>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</si>
  <si>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</si>
  <si>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</si>
  <si>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</si>
  <si>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</si>
  <si>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</si>
  <si>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</si>
  <si>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</si>
  <si>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</si>
  <si>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</si>
  <si>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</si>
  <si>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</si>
  <si>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</si>
  <si>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</si>
  <si>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</si>
  <si>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</si>
  <si>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</si>
  <si>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</si>
  <si>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</si>
  <si>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</si>
  <si>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</si>
  <si>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</si>
  <si>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</si>
  <si>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</si>
  <si>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</si>
  <si>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</si>
  <si>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</si>
  <si>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</si>
  <si>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</si>
  <si>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</si>
  <si>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</si>
  <si>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</si>
  <si>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</si>
  <si>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</si>
  <si>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</si>
  <si>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</si>
  <si>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</si>
  <si>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</si>
  <si>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</si>
  <si>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</si>
  <si>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</si>
  <si>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</si>
  <si>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</si>
  <si>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</si>
  <si>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</si>
  <si>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</si>
  <si>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</si>
  <si>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</si>
  <si>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</si>
  <si>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</si>
  <si>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</si>
  <si>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</si>
  <si>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</si>
  <si>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</si>
  <si>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</si>
  <si>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</si>
  <si>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</si>
  <si>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</si>
  <si>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</si>
  <si>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</si>
  <si>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</si>
  <si>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</si>
  <si>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</si>
  <si>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</si>
  <si>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</si>
  <si>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</si>
  <si>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</si>
  <si>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</si>
  <si>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</si>
  <si>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</si>
  <si>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</si>
  <si>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</si>
  <si>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</si>
  <si>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</si>
  <si>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</si>
  <si>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</si>
  <si>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</si>
  <si>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</si>
  <si>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</si>
  <si>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</si>
  <si>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</si>
  <si>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</si>
  <si>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</si>
  <si>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</si>
  <si>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</si>
  <si>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</si>
  <si>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</si>
  <si>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</si>
  <si>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</si>
  <si>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</si>
  <si>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</si>
  <si>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</si>
  <si>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</si>
  <si>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</si>
  <si>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</si>
  <si>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</si>
  <si>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</si>
  <si>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</si>
  <si>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</si>
  <si>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</si>
  <si>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</si>
  <si>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</si>
  <si>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</si>
  <si>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</si>
  <si>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</si>
  <si>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</si>
  <si>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</si>
  <si>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</si>
  <si>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</si>
  <si>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</si>
  <si>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</si>
  <si>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</si>
  <si>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</si>
  <si>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</si>
  <si>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</si>
  <si>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</si>
  <si>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</si>
  <si>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</si>
  <si>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</si>
  <si>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</si>
  <si>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</si>
  <si>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</si>
  <si>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</si>
  <si>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</si>
  <si>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</si>
  <si>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</si>
  <si>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</si>
  <si>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</si>
  <si>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</si>
  <si>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</si>
  <si>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</si>
  <si>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</si>
  <si>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</si>
  <si>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</si>
  <si>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</si>
  <si>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</si>
  <si>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</si>
  <si>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</si>
  <si>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</si>
  <si>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</si>
  <si>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</si>
  <si>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</si>
  <si>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</si>
  <si>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</si>
  <si>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</si>
  <si>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</si>
  <si>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</si>
  <si>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</si>
  <si>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</si>
  <si>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</si>
  <si>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</si>
  <si>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</si>
  <si>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</si>
  <si>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</si>
  <si>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</si>
  <si>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</si>
  <si>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</si>
  <si>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</si>
  <si>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</si>
  <si>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</si>
  <si>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</si>
  <si>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</si>
  <si>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</si>
  <si>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</si>
  <si>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</si>
  <si>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</si>
  <si>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</si>
  <si>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</si>
  <si>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</si>
  <si>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</si>
  <si>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</si>
  <si>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</si>
  <si>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</si>
  <si>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</si>
  <si>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</si>
  <si>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</si>
  <si>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</si>
  <si>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</si>
  <si>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</si>
  <si>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</si>
  <si>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</si>
  <si>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</si>
  <si>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</si>
  <si>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</si>
  <si>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</si>
  <si>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</si>
  <si>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</si>
  <si>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</si>
  <si>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</si>
  <si>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</si>
  <si>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</si>
  <si>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</si>
  <si>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</si>
  <si>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</si>
  <si>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</si>
  <si>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</si>
  <si>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</si>
  <si>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</si>
  <si>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</si>
  <si>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</si>
  <si>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</si>
  <si>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</si>
  <si>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</si>
  <si>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</si>
  <si>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</si>
  <si>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</si>
  <si>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</si>
  <si>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</si>
  <si>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</si>
  <si>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</si>
  <si>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</si>
  <si>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</si>
  <si>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</si>
  <si>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</si>
  <si>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</si>
  <si>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</si>
  <si>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</si>
  <si>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</si>
  <si>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</si>
  <si>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</si>
  <si>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</si>
  <si>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</si>
  <si>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</si>
  <si>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</si>
  <si>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</si>
  <si>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</si>
  <si>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</si>
  <si>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</si>
  <si>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</si>
  <si>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</si>
  <si>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</si>
  <si>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</si>
  <si>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</si>
  <si>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</si>
  <si>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</si>
  <si>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</si>
  <si>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</si>
  <si>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</si>
  <si>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</si>
  <si>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</si>
  <si>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</si>
  <si>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</si>
  <si>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</si>
  <si>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</si>
  <si>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</si>
  <si>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</si>
  <si>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</si>
  <si>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</si>
  <si>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</si>
  <si>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</si>
  <si>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</si>
  <si>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</si>
  <si>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</si>
  <si>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</si>
  <si>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</si>
  <si>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</si>
  <si>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</si>
  <si>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</si>
  <si>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</si>
  <si>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</si>
  <si>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</si>
  <si>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</si>
  <si>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</si>
  <si>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</si>
  <si>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</si>
  <si>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</si>
  <si>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</si>
  <si>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</si>
  <si>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</si>
  <si>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</si>
  <si>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</si>
  <si>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</si>
  <si>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</si>
  <si>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</si>
  <si>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</si>
  <si>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</si>
  <si>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</si>
  <si>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</si>
  <si>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</si>
  <si>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</si>
  <si>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</si>
  <si>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</si>
  <si>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</si>
  <si>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</si>
  <si>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</si>
  <si>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</si>
  <si>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</si>
  <si>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</si>
  <si>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</si>
  <si>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</si>
  <si>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</si>
  <si>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</si>
  <si>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</si>
  <si>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</si>
  <si>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</si>
  <si>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</si>
  <si>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</si>
  <si>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</si>
  <si>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</si>
  <si>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</si>
  <si>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</si>
  <si>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</si>
  <si>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</si>
  <si>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</si>
  <si>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</si>
  <si>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</si>
  <si>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</si>
  <si>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</si>
  <si>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</si>
  <si>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</si>
  <si>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</si>
  <si>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</si>
  <si>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</si>
  <si>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</si>
  <si>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</si>
  <si>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</si>
  <si>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</si>
  <si>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</si>
  <si>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</si>
  <si>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</si>
  <si>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</si>
  <si>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</si>
  <si>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</si>
  <si>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</si>
  <si>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</si>
  <si>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</si>
  <si>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</si>
  <si>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</si>
  <si>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</si>
  <si>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</si>
  <si>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</si>
  <si>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</si>
  <si>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</si>
  <si>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</si>
  <si>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</si>
  <si>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</si>
  <si>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</si>
  <si>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</si>
  <si>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</si>
  <si>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</si>
  <si>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</si>
  <si>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</si>
  <si>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</si>
  <si>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</si>
  <si>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</si>
  <si>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</si>
  <si>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</si>
  <si>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</si>
  <si>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</si>
  <si>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</si>
  <si>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</si>
  <si>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</si>
  <si>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</si>
  <si>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</si>
  <si>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</si>
  <si>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</si>
  <si>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</si>
  <si>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</si>
  <si>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</si>
  <si>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</si>
  <si>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</si>
  <si>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</si>
  <si>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</si>
  <si>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</si>
  <si>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</si>
  <si>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</si>
  <si>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</si>
  <si>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</si>
  <si>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</si>
  <si>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</si>
  <si>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</si>
  <si>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</si>
  <si>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</si>
  <si>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</si>
  <si>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</si>
  <si>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</si>
  <si>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</si>
  <si>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</si>
  <si>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</si>
  <si>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</si>
  <si>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</si>
  <si>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</si>
  <si>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</si>
  <si>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</si>
  <si>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</si>
  <si>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</si>
  <si>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</si>
  <si>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</si>
  <si>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</si>
  <si>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</si>
  <si>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</si>
  <si>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</si>
  <si>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</si>
  <si>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</si>
  <si>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</si>
  <si>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</si>
  <si>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</si>
  <si>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</si>
  <si>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</si>
  <si>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</si>
  <si>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</si>
  <si>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</si>
  <si>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</si>
  <si>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</si>
  <si>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</si>
  <si>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</si>
  <si>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</si>
  <si>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</si>
  <si>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</si>
  <si>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</si>
  <si>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</si>
  <si>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</si>
  <si>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</si>
  <si>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</si>
  <si>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</si>
  <si>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</si>
  <si>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</si>
  <si>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</si>
  <si>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</si>
  <si>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</si>
  <si>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</si>
  <si>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</si>
  <si>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</si>
  <si>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</si>
  <si>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</si>
  <si>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</si>
  <si>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</si>
  <si>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</si>
  <si>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</si>
  <si>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</si>
  <si>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</si>
  <si>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</si>
  <si>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</si>
  <si>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</si>
  <si>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</si>
  <si>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</si>
  <si>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</si>
  <si>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</si>
  <si>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</si>
  <si>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</si>
  <si>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</si>
  <si>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</si>
  <si>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</si>
  <si>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</si>
  <si>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</si>
  <si>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</si>
  <si>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</si>
  <si>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</si>
  <si>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</si>
  <si>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</si>
  <si>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</si>
  <si>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</si>
  <si>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</si>
  <si>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</si>
  <si>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</si>
  <si>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</si>
  <si>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</si>
  <si>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</si>
  <si>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</si>
  <si>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</si>
  <si>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</si>
  <si>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</si>
  <si>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</si>
  <si>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</si>
  <si>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</si>
  <si>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</si>
  <si>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</si>
  <si>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</si>
  <si>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</si>
  <si>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</si>
  <si>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</si>
  <si>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</si>
  <si>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</si>
  <si>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</si>
  <si>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</si>
  <si>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</si>
  <si>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</si>
  <si>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</si>
  <si>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</si>
  <si>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</si>
  <si>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</si>
  <si>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</si>
  <si>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</si>
  <si>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</si>
  <si>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</si>
  <si>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</si>
  <si>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</si>
  <si>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</si>
  <si>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</si>
  <si>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</si>
  <si>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</si>
  <si>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</si>
  <si>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</si>
  <si>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</si>
  <si>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</si>
  <si>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</si>
  <si>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</si>
  <si>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</si>
  <si>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</si>
  <si>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</si>
  <si>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</si>
  <si>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</si>
  <si>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Clinton</t>
  </si>
  <si>
    <t>777 Memorial Drive</t>
  </si>
  <si>
    <t>Breese</t>
  </si>
  <si>
    <t>tschmale@d12bobcats.org</t>
  </si>
  <si>
    <t>Travis Schmale</t>
  </si>
  <si>
    <t>618-526-7128</t>
  </si>
  <si>
    <t>618-526-2787</t>
  </si>
  <si>
    <t>Scheffel Boyle</t>
  </si>
  <si>
    <t>Dale Holtmann</t>
  </si>
  <si>
    <t>222 East Main Street</t>
  </si>
  <si>
    <t>Belleville</t>
  </si>
  <si>
    <t>IL</t>
  </si>
  <si>
    <t>618-277-8100</t>
  </si>
  <si>
    <t>618-277-9307</t>
  </si>
  <si>
    <t>065-026956</t>
  </si>
  <si>
    <t>dale.holtmann@scheffelboyle.com</t>
  </si>
  <si>
    <t>Ron Daniels</t>
  </si>
  <si>
    <t>rdaniels@roe13.org</t>
  </si>
  <si>
    <t>618-244-8040</t>
  </si>
  <si>
    <t>618-241-7868</t>
  </si>
  <si>
    <t>General Obligation Refunding Bonds, Series 2010B</t>
  </si>
  <si>
    <t>General Obligation Working Cash Bonds, Series 2016</t>
  </si>
  <si>
    <t>General Obligation Fire Safety Bonds, Series 2016A</t>
  </si>
  <si>
    <t>General Obligation Refunding Bonds, Series 2019</t>
  </si>
  <si>
    <t>ED-Instruction-Food Services</t>
  </si>
  <si>
    <t>Aramark</t>
  </si>
  <si>
    <t>Kaskaskia Special Education District</t>
  </si>
  <si>
    <t>Page #</t>
  </si>
  <si>
    <t>Account #</t>
  </si>
  <si>
    <t>Bond County Sales Tax</t>
  </si>
  <si>
    <t>Education</t>
  </si>
  <si>
    <t>Miscellaneous Receipts &amp; Reimbursements</t>
  </si>
  <si>
    <t>State Library Grant</t>
  </si>
  <si>
    <t>Transfer from Tort to Operations &amp; Maintenance per 105 ILCS 5/17-2A</t>
  </si>
  <si>
    <t>12 &amp; 13</t>
  </si>
  <si>
    <t>7990 &amp; 8990</t>
  </si>
  <si>
    <t>Operations &amp; Maintenance &amp; Tort</t>
  </si>
  <si>
    <t>Egyptian Area Schools Benefit Trust</t>
  </si>
  <si>
    <t>One of ten required employees and/or Board Members did not file a statement of economic interest for 2020.</t>
  </si>
  <si>
    <t>The filing requirements were not met for fiscal year 2020.</t>
  </si>
  <si>
    <t>This was an oversight by the Board Member, and he failed to file his statement of economic interest as he has in the past.</t>
  </si>
  <si>
    <t>The District should provide additional oversight to the verfication process to ensure that all statements of economic interest are filed in a timely manner.</t>
  </si>
  <si>
    <t>The District will take the auditor's recommendation under consideration.</t>
  </si>
  <si>
    <t>2019-001</t>
  </si>
  <si>
    <t>Resolved</t>
  </si>
  <si>
    <t>District did not follow the bid process.</t>
  </si>
  <si>
    <t>5 ILCS 420/4A-105 Time to File requires that by May 1 of each year, a statement of economic interest must be filed by each person whose position at that time subjects him to the filing requirements.</t>
  </si>
  <si>
    <t>Breese SD 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</si>
</sst>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78" xfId="0" applyFont="1" applyBorder="1" applyAlignment="1">
      <alignment horizontal="center"/>
    </xf>
    <xf numFmtId="0" fontId="56" fillId="0" borderId="0" xfId="0" applyFont="1" applyAlignment="1">
      <alignment horizontal="center"/>
    </xf>
    <xf numFmtId="43" fontId="56" fillId="0" borderId="0" xfId="1" applyFont="1"/>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56" fillId="0" borderId="0" xfId="0" applyFont="1" applyAlignment="1">
      <alignment horizontal="center" wrapText="1"/>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485775</xdr:colOff>
          <xdr:row>9</xdr:row>
          <xdr:rowOff>114300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1504950</xdr:colOff>
          <xdr:row>9</xdr:row>
          <xdr:rowOff>114300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619125</xdr:colOff>
          <xdr:row>3</xdr:row>
          <xdr:rowOff>133350</xdr:rowOff>
        </xdr:from>
        <xdr:to>
          <xdr:col>1</xdr:col>
          <xdr:colOff>1533525</xdr:colOff>
          <xdr:row>8</xdr:row>
          <xdr:rowOff>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2">
        <f>+'AFR20'!E4</f>
        <v>44119</v>
      </c>
      <c r="C1" s="1992"/>
      <c r="D1" s="1993"/>
      <c r="I1" s="2071" t="s">
        <v>402</v>
      </c>
      <c r="J1" s="2072"/>
      <c r="K1" s="2072"/>
      <c r="L1" s="2072"/>
      <c r="M1" s="2072"/>
      <c r="N1" s="2072"/>
      <c r="O1" s="2072"/>
      <c r="P1" s="2072"/>
      <c r="Q1" s="2072"/>
      <c r="R1" s="2072"/>
      <c r="S1" s="2072"/>
    </row>
    <row r="2" spans="1:32" ht="12" customHeight="1" x14ac:dyDescent="0.2">
      <c r="A2" s="1889" t="str">
        <f>"Due to ISBE on "</f>
        <v xml:space="preserve">Due to ISBE on </v>
      </c>
      <c r="B2" s="1994">
        <f>+'AFR20'!F4</f>
        <v>44151</v>
      </c>
      <c r="C2" s="1994"/>
      <c r="D2" s="1995"/>
      <c r="I2" s="2073" t="s">
        <v>2006</v>
      </c>
      <c r="J2" s="2072"/>
      <c r="K2" s="2072"/>
      <c r="L2" s="2072"/>
      <c r="M2" s="2072"/>
      <c r="N2" s="2072"/>
      <c r="O2" s="2072"/>
      <c r="P2" s="2072"/>
      <c r="Q2" s="2072"/>
      <c r="R2" s="2072"/>
      <c r="S2" s="2072"/>
    </row>
    <row r="3" spans="1:32" ht="12" customHeight="1" x14ac:dyDescent="0.2">
      <c r="A3" s="1892" t="str">
        <f>"SD/JA"&amp;MID('AFR20'!E2,3,2)</f>
        <v>SD/JA20</v>
      </c>
      <c r="B3" s="151"/>
      <c r="C3" s="151"/>
      <c r="D3" s="152"/>
      <c r="I3" s="2073" t="s">
        <v>52</v>
      </c>
      <c r="J3" s="2072"/>
      <c r="K3" s="2072"/>
      <c r="L3" s="2072"/>
      <c r="M3" s="2072"/>
      <c r="N3" s="2072"/>
      <c r="O3" s="2072"/>
      <c r="P3" s="2072"/>
      <c r="Q3" s="2072"/>
      <c r="R3" s="2072"/>
      <c r="S3" s="2072"/>
    </row>
    <row r="4" spans="1:32" ht="12" customHeight="1" x14ac:dyDescent="0.2">
      <c r="A4" s="37"/>
      <c r="I4" s="2073" t="s">
        <v>521</v>
      </c>
      <c r="J4" s="2072"/>
      <c r="K4" s="2072"/>
      <c r="L4" s="2072"/>
      <c r="M4" s="2072"/>
      <c r="N4" s="2072"/>
      <c r="O4" s="2072"/>
      <c r="P4" s="2072"/>
      <c r="Q4" s="2072"/>
      <c r="R4" s="2072"/>
      <c r="S4" s="2072"/>
    </row>
    <row r="5" spans="1:32" ht="14.1" customHeight="1" x14ac:dyDescent="0.2">
      <c r="B5" s="101" t="s">
        <v>2021</v>
      </c>
      <c r="C5" s="26" t="s">
        <v>904</v>
      </c>
      <c r="D5" s="81"/>
      <c r="E5" s="81"/>
      <c r="H5" s="38"/>
      <c r="I5" s="2080" t="s">
        <v>675</v>
      </c>
      <c r="J5" s="2025"/>
      <c r="K5" s="2025"/>
      <c r="L5" s="2025"/>
      <c r="M5" s="2025"/>
      <c r="N5" s="2025"/>
      <c r="O5" s="2025"/>
      <c r="P5" s="2025"/>
      <c r="Q5" s="2025"/>
      <c r="R5" s="2025"/>
      <c r="S5" s="2025"/>
      <c r="AF5" s="1885"/>
    </row>
    <row r="6" spans="1:32" ht="14.1" customHeight="1" x14ac:dyDescent="0.2">
      <c r="B6" s="101"/>
      <c r="C6" s="26" t="s">
        <v>905</v>
      </c>
      <c r="D6" s="81"/>
      <c r="E6" s="81"/>
      <c r="I6" s="2079" t="s">
        <v>877</v>
      </c>
      <c r="J6" s="2025"/>
      <c r="K6" s="2025"/>
      <c r="L6" s="2025"/>
      <c r="M6" s="2025"/>
      <c r="N6" s="2025"/>
      <c r="O6" s="2025"/>
      <c r="P6" s="2025"/>
      <c r="Q6" s="2025"/>
      <c r="R6" s="2025"/>
      <c r="S6" s="2025"/>
    </row>
    <row r="7" spans="1:32" ht="12.2" customHeight="1" x14ac:dyDescent="0.2">
      <c r="I7" s="2074" t="str">
        <f>"June 30, "&amp;'AFR20'!E2</f>
        <v>June 30, 2020</v>
      </c>
      <c r="J7" s="2075"/>
      <c r="K7" s="2075"/>
      <c r="L7" s="2075"/>
      <c r="M7" s="2075"/>
      <c r="N7" s="2075"/>
      <c r="O7" s="2075"/>
      <c r="P7" s="2075"/>
      <c r="Q7" s="2075"/>
      <c r="R7" s="2075"/>
      <c r="S7" s="2075"/>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76" t="s">
        <v>669</v>
      </c>
      <c r="J9" s="2077"/>
      <c r="K9" s="2077"/>
      <c r="L9" s="2077"/>
      <c r="M9" s="2077"/>
      <c r="N9" s="2077"/>
      <c r="O9" s="2077"/>
      <c r="P9" s="2077"/>
      <c r="Q9" s="2077"/>
      <c r="R9" s="2077"/>
      <c r="S9" s="2078"/>
      <c r="T9" s="2021" t="s">
        <v>530</v>
      </c>
      <c r="U9" s="2022"/>
      <c r="V9" s="2022"/>
      <c r="W9" s="2022"/>
      <c r="X9" s="2022"/>
      <c r="Y9" s="2022"/>
      <c r="Z9" s="2022"/>
      <c r="AA9" s="2023"/>
    </row>
    <row r="10" spans="1:32" ht="13.5" customHeight="1" x14ac:dyDescent="0.2">
      <c r="A10" s="2030" t="s">
        <v>670</v>
      </c>
      <c r="B10" s="2031"/>
      <c r="C10" s="2031"/>
      <c r="D10" s="2031"/>
      <c r="E10" s="2031"/>
      <c r="F10" s="2031"/>
      <c r="G10" s="2031"/>
      <c r="H10" s="2032"/>
      <c r="I10" s="29"/>
      <c r="J10" s="30"/>
      <c r="K10" s="28"/>
      <c r="R10" s="30"/>
      <c r="S10" s="30"/>
      <c r="T10" s="2024"/>
      <c r="U10" s="2025"/>
      <c r="V10" s="2025"/>
      <c r="W10" s="2025"/>
      <c r="X10" s="2025"/>
      <c r="Y10" s="2025"/>
      <c r="Z10" s="2025"/>
      <c r="AA10" s="2026"/>
    </row>
    <row r="11" spans="1:32" ht="14.25" customHeight="1" x14ac:dyDescent="0.2">
      <c r="A11" s="2033" t="s">
        <v>949</v>
      </c>
      <c r="B11" s="2034"/>
      <c r="C11" s="2034"/>
      <c r="D11" s="2034"/>
      <c r="E11" s="2034"/>
      <c r="F11" s="2034"/>
      <c r="G11" s="2034"/>
      <c r="H11" s="2035"/>
      <c r="I11" s="27"/>
      <c r="J11" s="71"/>
      <c r="K11" s="27"/>
      <c r="O11" s="144" t="s">
        <v>2021</v>
      </c>
      <c r="P11" s="97" t="s">
        <v>199</v>
      </c>
      <c r="Q11" s="30"/>
      <c r="R11" s="28"/>
      <c r="S11" s="27"/>
      <c r="T11" s="2027"/>
      <c r="U11" s="2028"/>
      <c r="V11" s="2028"/>
      <c r="W11" s="2028"/>
      <c r="X11" s="2028"/>
      <c r="Y11" s="2028"/>
      <c r="Z11" s="2028"/>
      <c r="AA11" s="2029"/>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1">
        <v>13014012004</v>
      </c>
      <c r="B13" s="2042"/>
      <c r="C13" s="2042"/>
      <c r="D13" s="2042"/>
      <c r="E13" s="2042"/>
      <c r="F13" s="2042"/>
      <c r="G13" s="2042"/>
      <c r="H13" s="2043"/>
      <c r="I13" s="31"/>
      <c r="J13" s="30"/>
      <c r="K13" s="28"/>
      <c r="L13" s="30"/>
      <c r="M13" s="30"/>
      <c r="N13" s="30"/>
      <c r="O13" s="30"/>
      <c r="P13" s="30"/>
      <c r="Q13" s="30"/>
      <c r="R13" s="30"/>
      <c r="S13" s="30"/>
      <c r="T13" s="2046" t="s">
        <v>2029</v>
      </c>
      <c r="U13" s="2047"/>
      <c r="V13" s="2047"/>
      <c r="W13" s="2047"/>
      <c r="X13" s="2047"/>
      <c r="Y13" s="2048"/>
      <c r="Z13" s="2048"/>
      <c r="AA13" s="2049"/>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39" t="s">
        <v>2022</v>
      </c>
      <c r="B15" s="2044"/>
      <c r="C15" s="2044"/>
      <c r="D15" s="2044"/>
      <c r="E15" s="2044"/>
      <c r="F15" s="2044"/>
      <c r="G15" s="2044"/>
      <c r="H15" s="2045"/>
      <c r="T15" s="2007" t="s">
        <v>2030</v>
      </c>
      <c r="U15" s="2008"/>
      <c r="V15" s="2008"/>
      <c r="W15" s="2008"/>
      <c r="X15" s="2008"/>
      <c r="Y15" s="2050"/>
      <c r="Z15" s="2050"/>
      <c r="AA15" s="2051"/>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1999" t="s">
        <v>2069</v>
      </c>
      <c r="B17" s="2069"/>
      <c r="C17" s="2069"/>
      <c r="D17" s="2069"/>
      <c r="E17" s="2069"/>
      <c r="F17" s="2069"/>
      <c r="G17" s="2069"/>
      <c r="H17" s="2070"/>
      <c r="T17" s="2056" t="s">
        <v>2031</v>
      </c>
      <c r="U17" s="2057"/>
      <c r="V17" s="2057"/>
      <c r="W17" s="2057"/>
      <c r="X17" s="2057"/>
      <c r="Y17" s="2057"/>
      <c r="Z17" s="2057"/>
      <c r="AA17" s="2058"/>
    </row>
    <row r="18" spans="1:27" ht="13.5" customHeight="1" x14ac:dyDescent="0.2">
      <c r="A18" s="82" t="s">
        <v>527</v>
      </c>
      <c r="B18" s="73"/>
      <c r="C18" s="69"/>
      <c r="D18" s="73"/>
      <c r="E18" s="73"/>
      <c r="F18" s="73"/>
      <c r="G18" s="73"/>
      <c r="H18" s="53"/>
      <c r="I18" s="2066" t="s">
        <v>671</v>
      </c>
      <c r="J18" s="2067"/>
      <c r="K18" s="2067"/>
      <c r="L18" s="2067"/>
      <c r="M18" s="2067"/>
      <c r="N18" s="2067"/>
      <c r="O18" s="2067"/>
      <c r="P18" s="2067"/>
      <c r="Q18" s="2067"/>
      <c r="R18" s="2067"/>
      <c r="S18" s="2068"/>
      <c r="T18" s="82" t="s">
        <v>706</v>
      </c>
      <c r="U18" s="48"/>
      <c r="V18" s="69"/>
      <c r="W18" s="47"/>
      <c r="X18" s="82" t="s">
        <v>264</v>
      </c>
      <c r="Y18" s="78"/>
      <c r="Z18" s="154" t="s">
        <v>672</v>
      </c>
      <c r="AA18" s="44"/>
    </row>
    <row r="19" spans="1:27" ht="13.5" customHeight="1" x14ac:dyDescent="0.2">
      <c r="A19" s="2039" t="s">
        <v>2023</v>
      </c>
      <c r="B19" s="2040"/>
      <c r="C19" s="2040"/>
      <c r="D19" s="2040"/>
      <c r="E19" s="2040"/>
      <c r="F19" s="2040"/>
      <c r="G19" s="2040"/>
      <c r="H19" s="2038"/>
      <c r="I19" s="30"/>
      <c r="J19" s="96"/>
      <c r="K19" s="40"/>
      <c r="L19" s="38"/>
      <c r="M19" s="109" t="s">
        <v>312</v>
      </c>
      <c r="P19" s="27"/>
      <c r="Q19" s="27"/>
      <c r="R19" s="27"/>
      <c r="S19" s="31"/>
      <c r="T19" s="2039" t="s">
        <v>2032</v>
      </c>
      <c r="U19" s="2037"/>
      <c r="V19" s="2037"/>
      <c r="W19" s="2038"/>
      <c r="X19" s="2054" t="s">
        <v>2033</v>
      </c>
      <c r="Y19" s="2055"/>
      <c r="Z19" s="2052">
        <v>62220</v>
      </c>
      <c r="AA19" s="2053"/>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6" t="s">
        <v>2024</v>
      </c>
      <c r="B21" s="2037"/>
      <c r="C21" s="2037"/>
      <c r="D21" s="2037"/>
      <c r="E21" s="2037"/>
      <c r="F21" s="2037"/>
      <c r="G21" s="2037"/>
      <c r="H21" s="2038"/>
      <c r="I21" s="2062" t="s">
        <v>673</v>
      </c>
      <c r="J21" s="2025"/>
      <c r="K21" s="2025"/>
      <c r="L21" s="2025"/>
      <c r="M21" s="2025"/>
      <c r="N21" s="2025"/>
      <c r="O21" s="2025"/>
      <c r="P21" s="2025"/>
      <c r="Q21" s="2025"/>
      <c r="R21" s="2025"/>
      <c r="S21" s="2026"/>
      <c r="T21" s="2004" t="s">
        <v>2034</v>
      </c>
      <c r="U21" s="2005"/>
      <c r="V21" s="2005"/>
      <c r="W21" s="2005"/>
      <c r="X21" s="2018" t="s">
        <v>2035</v>
      </c>
      <c r="Y21" s="2019"/>
      <c r="Z21" s="2019"/>
      <c r="AA21" s="2020"/>
    </row>
    <row r="22" spans="1:27" ht="13.5" customHeight="1" x14ac:dyDescent="0.2">
      <c r="A22" s="84" t="s">
        <v>528</v>
      </c>
      <c r="B22" s="56"/>
      <c r="C22" s="56"/>
      <c r="D22" s="56"/>
      <c r="E22" s="56"/>
      <c r="F22" s="56"/>
      <c r="G22" s="56"/>
      <c r="H22" s="57"/>
      <c r="I22" s="2063" t="s">
        <v>1415</v>
      </c>
      <c r="J22" s="2064"/>
      <c r="K22" s="2064"/>
      <c r="L22" s="2064"/>
      <c r="M22" s="2064"/>
      <c r="N22" s="2064"/>
      <c r="O22" s="2064"/>
      <c r="P22" s="2064"/>
      <c r="Q22" s="2064"/>
      <c r="R22" s="2064"/>
      <c r="S22" s="2065"/>
      <c r="T22" s="82" t="s">
        <v>1502</v>
      </c>
      <c r="U22" s="48"/>
      <c r="V22" s="69"/>
      <c r="W22" s="48"/>
      <c r="X22" s="155" t="s">
        <v>1309</v>
      </c>
      <c r="Z22" s="43"/>
      <c r="AA22" s="44"/>
    </row>
    <row r="23" spans="1:27" ht="13.5" customHeight="1" x14ac:dyDescent="0.2">
      <c r="A23" s="2059" t="s">
        <v>2025</v>
      </c>
      <c r="B23" s="2060"/>
      <c r="C23" s="2060"/>
      <c r="D23" s="2060"/>
      <c r="E23" s="2060"/>
      <c r="F23" s="2060"/>
      <c r="G23" s="2060"/>
      <c r="H23" s="2061"/>
      <c r="T23" s="1999" t="s">
        <v>2036</v>
      </c>
      <c r="U23" s="2000"/>
      <c r="V23" s="2000"/>
      <c r="W23" s="2000"/>
      <c r="X23" s="2015">
        <v>44469</v>
      </c>
      <c r="Y23" s="2016"/>
      <c r="Z23" s="2016"/>
      <c r="AA23" s="2017"/>
    </row>
    <row r="24" spans="1:27" ht="14.1" customHeight="1" x14ac:dyDescent="0.2">
      <c r="A24" s="85" t="s">
        <v>672</v>
      </c>
      <c r="B24" s="46"/>
      <c r="C24" s="46"/>
      <c r="D24" s="46"/>
      <c r="E24" s="46"/>
      <c r="F24" s="46"/>
      <c r="G24" s="46"/>
      <c r="H24" s="58"/>
      <c r="J24" s="2101">
        <f>IF(B5="x",IF(AUDITCHECK!D29="AFR form Incomplete.","",IF(AUDITCHECK!D29="Deficit reduction plan is required.","School District must complete a deficit reduction plan in the 2019-2020 Budget",)),"")</f>
        <v>0</v>
      </c>
      <c r="K24" s="2101"/>
      <c r="L24" s="2101"/>
      <c r="M24" s="2101"/>
      <c r="N24" s="2101"/>
      <c r="O24" s="2101"/>
      <c r="P24" s="2101"/>
      <c r="Q24" s="2101"/>
      <c r="R24" s="2101"/>
      <c r="S24" s="2102"/>
      <c r="T24" s="102" t="s">
        <v>528</v>
      </c>
      <c r="U24" s="103"/>
      <c r="V24" s="103"/>
      <c r="W24" s="103"/>
      <c r="X24" s="104"/>
      <c r="Y24" s="104"/>
      <c r="Z24" s="104"/>
      <c r="AA24" s="105"/>
    </row>
    <row r="25" spans="1:27" ht="14.1" customHeight="1" x14ac:dyDescent="0.2">
      <c r="A25" s="2036">
        <v>62230</v>
      </c>
      <c r="B25" s="2037"/>
      <c r="C25" s="2037"/>
      <c r="D25" s="2037"/>
      <c r="E25" s="2037"/>
      <c r="F25" s="2037"/>
      <c r="G25" s="2037"/>
      <c r="H25" s="2038"/>
      <c r="I25" s="110"/>
      <c r="J25" s="2103"/>
      <c r="K25" s="2103"/>
      <c r="L25" s="2103"/>
      <c r="M25" s="2103"/>
      <c r="N25" s="2103"/>
      <c r="O25" s="2103"/>
      <c r="P25" s="2103"/>
      <c r="Q25" s="2103"/>
      <c r="R25" s="2103"/>
      <c r="S25" s="2104"/>
      <c r="T25" s="1996" t="s">
        <v>2037</v>
      </c>
      <c r="U25" s="1997"/>
      <c r="V25" s="1997"/>
      <c r="W25" s="1997"/>
      <c r="X25" s="1997"/>
      <c r="Y25" s="1997"/>
      <c r="Z25" s="1997"/>
      <c r="AA25" s="1998"/>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4" t="s">
        <v>1497</v>
      </c>
      <c r="J27" s="2067"/>
      <c r="K27" s="2067"/>
      <c r="L27" s="2067"/>
      <c r="M27" s="2067"/>
      <c r="N27" s="2067"/>
      <c r="O27" s="2067"/>
      <c r="P27" s="2067"/>
      <c r="Q27" s="2067"/>
      <c r="R27" s="2067"/>
      <c r="S27" s="2068"/>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0"/>
      <c r="Q35" s="2037"/>
      <c r="R35" s="2037"/>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1999" t="s">
        <v>2026</v>
      </c>
      <c r="B38" s="2069"/>
      <c r="C38" s="2069"/>
      <c r="D38" s="2069"/>
      <c r="E38" s="2069"/>
      <c r="F38" s="2037"/>
      <c r="G38" s="2037"/>
      <c r="H38" s="2038"/>
      <c r="I38" s="2088"/>
      <c r="J38" s="2008"/>
      <c r="K38" s="2008"/>
      <c r="L38" s="2008"/>
      <c r="M38" s="2008"/>
      <c r="N38" s="2008"/>
      <c r="O38" s="2008"/>
      <c r="P38" s="2009"/>
      <c r="Q38" s="2009"/>
      <c r="R38" s="2009"/>
      <c r="S38" s="2010"/>
      <c r="T38" s="2007" t="s">
        <v>2038</v>
      </c>
      <c r="U38" s="2008"/>
      <c r="V38" s="2008"/>
      <c r="W38" s="2008"/>
      <c r="X38" s="2009"/>
      <c r="Y38" s="2009"/>
      <c r="Z38" s="2009"/>
      <c r="AA38" s="2010"/>
    </row>
    <row r="39" spans="1:27" ht="12" customHeight="1" x14ac:dyDescent="0.2">
      <c r="A39" s="2092" t="s">
        <v>528</v>
      </c>
      <c r="B39" s="2093"/>
      <c r="C39" s="69"/>
      <c r="D39" s="66"/>
      <c r="E39" s="66"/>
      <c r="F39" s="76"/>
      <c r="G39" s="66"/>
      <c r="H39" s="53"/>
      <c r="I39" s="2092" t="s">
        <v>528</v>
      </c>
      <c r="J39" s="2093"/>
      <c r="K39" s="2093"/>
      <c r="L39" s="2093"/>
      <c r="M39" s="2093"/>
      <c r="N39" s="64"/>
      <c r="O39" s="69"/>
      <c r="P39" s="69"/>
      <c r="Q39" s="75"/>
      <c r="R39" s="69"/>
      <c r="S39" s="53"/>
      <c r="T39" s="69" t="s">
        <v>528</v>
      </c>
      <c r="U39" s="48"/>
      <c r="V39" s="69"/>
      <c r="W39" s="47"/>
      <c r="X39" s="75"/>
      <c r="Y39" s="43"/>
      <c r="Z39" s="43"/>
      <c r="AA39" s="44"/>
    </row>
    <row r="40" spans="1:27" ht="13.5" customHeight="1" x14ac:dyDescent="0.2">
      <c r="A40" s="2095" t="s">
        <v>2025</v>
      </c>
      <c r="B40" s="2096"/>
      <c r="C40" s="2097"/>
      <c r="D40" s="2097"/>
      <c r="E40" s="2097"/>
      <c r="F40" s="2098"/>
      <c r="G40" s="2098"/>
      <c r="H40" s="2099"/>
      <c r="I40" s="2011"/>
      <c r="J40" s="2013"/>
      <c r="K40" s="2013"/>
      <c r="L40" s="2013"/>
      <c r="M40" s="2013"/>
      <c r="N40" s="2013"/>
      <c r="O40" s="2013"/>
      <c r="P40" s="2013"/>
      <c r="Q40" s="2013"/>
      <c r="R40" s="2013"/>
      <c r="S40" s="2014"/>
      <c r="T40" s="2011" t="s">
        <v>2039</v>
      </c>
      <c r="U40" s="2012"/>
      <c r="V40" s="2013"/>
      <c r="W40" s="2013"/>
      <c r="X40" s="2013"/>
      <c r="Y40" s="2013"/>
      <c r="Z40" s="2013"/>
      <c r="AA40" s="2014"/>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85" t="s">
        <v>2027</v>
      </c>
      <c r="B42" s="2086"/>
      <c r="C42" s="2087"/>
      <c r="D42" s="2100" t="s">
        <v>2028</v>
      </c>
      <c r="E42" s="2086"/>
      <c r="F42" s="2086"/>
      <c r="G42" s="2086"/>
      <c r="H42" s="2087"/>
      <c r="I42" s="2006"/>
      <c r="J42" s="2002"/>
      <c r="K42" s="2002"/>
      <c r="L42" s="2002"/>
      <c r="M42" s="2002"/>
      <c r="N42" s="2002"/>
      <c r="O42" s="2003"/>
      <c r="P42" s="2001"/>
      <c r="Q42" s="2002"/>
      <c r="R42" s="2002"/>
      <c r="S42" s="2003"/>
      <c r="T42" s="2006" t="s">
        <v>2040</v>
      </c>
      <c r="U42" s="2002"/>
      <c r="V42" s="2002"/>
      <c r="W42" s="2003"/>
      <c r="X42" s="2001" t="s">
        <v>2041</v>
      </c>
      <c r="Y42" s="2002"/>
      <c r="Z42" s="2002"/>
      <c r="AA42" s="2003"/>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89"/>
      <c r="B44" s="2090"/>
      <c r="C44" s="2090"/>
      <c r="D44" s="2090"/>
      <c r="E44" s="2090"/>
      <c r="F44" s="2090"/>
      <c r="G44" s="2090"/>
      <c r="H44" s="2091"/>
      <c r="I44" s="2081"/>
      <c r="J44" s="2083"/>
      <c r="K44" s="2083"/>
      <c r="L44" s="2083"/>
      <c r="M44" s="2083"/>
      <c r="N44" s="2083"/>
      <c r="O44" s="2083"/>
      <c r="P44" s="2083"/>
      <c r="Q44" s="2083"/>
      <c r="R44" s="2083"/>
      <c r="S44" s="2084"/>
      <c r="T44" s="2081"/>
      <c r="U44" s="2082"/>
      <c r="V44" s="2082"/>
      <c r="W44" s="2082"/>
      <c r="X44" s="2082"/>
      <c r="Y44" s="2082"/>
      <c r="Z44" s="2083"/>
      <c r="AA44" s="2084"/>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G35" sqref="G35"/>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8" t="s">
        <v>1058</v>
      </c>
      <c r="B35" s="2108"/>
      <c r="C35" s="2108"/>
      <c r="D35" s="2108"/>
      <c r="E35" s="2108"/>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5" t="s">
        <v>686</v>
      </c>
      <c r="B40" s="2105"/>
      <c r="C40" s="2105"/>
      <c r="D40" s="2105"/>
      <c r="E40" s="2105"/>
    </row>
    <row r="41" spans="1:5" x14ac:dyDescent="0.2">
      <c r="A41" s="2106" t="s">
        <v>1594</v>
      </c>
      <c r="B41" s="2106"/>
      <c r="C41" s="2106"/>
      <c r="D41" s="2106"/>
      <c r="E41" s="2106"/>
    </row>
    <row r="42" spans="1:5" ht="12.75" customHeight="1" x14ac:dyDescent="0.2">
      <c r="A42" s="2107" t="s">
        <v>1015</v>
      </c>
      <c r="B42" s="2107"/>
      <c r="C42" s="2107"/>
      <c r="D42" s="2107"/>
      <c r="E42" s="2107"/>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G35" sqref="G3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9" t="s">
        <v>1160</v>
      </c>
      <c r="B2" s="2109"/>
      <c r="C2" s="2109"/>
      <c r="D2" s="2109"/>
      <c r="E2" s="2109"/>
      <c r="F2" s="2109"/>
      <c r="G2" s="2109"/>
      <c r="H2" s="2109"/>
      <c r="I2" s="2109"/>
      <c r="J2" s="2109"/>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t="s">
        <v>2021</v>
      </c>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3" t="s">
        <v>1619</v>
      </c>
      <c r="B35" s="2124"/>
      <c r="C35" s="2124"/>
      <c r="D35" s="2124"/>
      <c r="E35" s="2125"/>
      <c r="F35" s="2125"/>
      <c r="G35" s="2125"/>
      <c r="H35" s="2125"/>
      <c r="I35" s="2125"/>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3" t="s">
        <v>310</v>
      </c>
      <c r="B47" s="2126"/>
      <c r="C47" s="2126"/>
      <c r="D47" s="2126"/>
      <c r="E47" s="2127"/>
      <c r="F47" s="2127"/>
      <c r="G47" s="2127"/>
      <c r="H47" s="2127"/>
      <c r="I47" s="2127"/>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0"/>
      <c r="C57" s="2131"/>
      <c r="D57" s="2131"/>
      <c r="E57" s="2131"/>
      <c r="F57" s="2131"/>
      <c r="G57" s="2131"/>
      <c r="H57" s="2131"/>
      <c r="I57" s="2131"/>
      <c r="J57" s="2132"/>
    </row>
    <row r="58" spans="1:10" s="176" customFormat="1" x14ac:dyDescent="0.2">
      <c r="A58" s="248"/>
      <c r="B58" s="2133"/>
      <c r="C58" s="2134"/>
      <c r="D58" s="2134"/>
      <c r="E58" s="2134"/>
      <c r="F58" s="2134"/>
      <c r="G58" s="2134"/>
      <c r="H58" s="2134"/>
      <c r="I58" s="2134"/>
      <c r="J58" s="2135"/>
    </row>
    <row r="59" spans="1:10" s="176" customFormat="1" x14ac:dyDescent="0.2">
      <c r="A59" s="248"/>
      <c r="B59" s="2133"/>
      <c r="C59" s="2134"/>
      <c r="D59" s="2134"/>
      <c r="E59" s="2134"/>
      <c r="F59" s="2134"/>
      <c r="G59" s="2134"/>
      <c r="H59" s="2134"/>
      <c r="I59" s="2134"/>
      <c r="J59" s="2135"/>
    </row>
    <row r="60" spans="1:10" s="176" customFormat="1" x14ac:dyDescent="0.2">
      <c r="A60" s="248"/>
      <c r="B60" s="2133"/>
      <c r="C60" s="2134"/>
      <c r="D60" s="2134"/>
      <c r="E60" s="2134"/>
      <c r="F60" s="2134"/>
      <c r="G60" s="2134"/>
      <c r="H60" s="2134"/>
      <c r="I60" s="2134"/>
      <c r="J60" s="2135"/>
    </row>
    <row r="61" spans="1:10" s="176" customFormat="1" x14ac:dyDescent="0.2">
      <c r="A61" s="248"/>
      <c r="B61" s="2133"/>
      <c r="C61" s="2134"/>
      <c r="D61" s="2134"/>
      <c r="E61" s="2134"/>
      <c r="F61" s="2134"/>
      <c r="G61" s="2134"/>
      <c r="H61" s="2134"/>
      <c r="I61" s="2134"/>
      <c r="J61" s="2135"/>
    </row>
    <row r="62" spans="1:10" s="176" customFormat="1" x14ac:dyDescent="0.2">
      <c r="A62" s="248"/>
      <c r="B62" s="2133"/>
      <c r="C62" s="2134"/>
      <c r="D62" s="2134"/>
      <c r="E62" s="2134"/>
      <c r="F62" s="2134"/>
      <c r="G62" s="2134"/>
      <c r="H62" s="2134"/>
      <c r="I62" s="2134"/>
      <c r="J62" s="2135"/>
    </row>
    <row r="63" spans="1:10" s="176" customFormat="1" x14ac:dyDescent="0.2">
      <c r="A63" s="248"/>
      <c r="B63" s="2133"/>
      <c r="C63" s="2134"/>
      <c r="D63" s="2134"/>
      <c r="E63" s="2134"/>
      <c r="F63" s="2134"/>
      <c r="G63" s="2134"/>
      <c r="H63" s="2134"/>
      <c r="I63" s="2134"/>
      <c r="J63" s="2135"/>
    </row>
    <row r="64" spans="1:10" s="176" customFormat="1" x14ac:dyDescent="0.2">
      <c r="A64" s="248"/>
      <c r="B64" s="2133"/>
      <c r="C64" s="2134"/>
      <c r="D64" s="2134"/>
      <c r="E64" s="2134"/>
      <c r="F64" s="2134"/>
      <c r="G64" s="2134"/>
      <c r="H64" s="2134"/>
      <c r="I64" s="2134"/>
      <c r="J64" s="2135"/>
    </row>
    <row r="65" spans="1:11" s="176" customFormat="1" x14ac:dyDescent="0.2">
      <c r="A65" s="248"/>
      <c r="B65" s="2133"/>
      <c r="C65" s="2134"/>
      <c r="D65" s="2134"/>
      <c r="E65" s="2134"/>
      <c r="F65" s="2134"/>
      <c r="G65" s="2134"/>
      <c r="H65" s="2134"/>
      <c r="I65" s="2134"/>
      <c r="J65" s="2135"/>
    </row>
    <row r="66" spans="1:11" s="176" customFormat="1" x14ac:dyDescent="0.2">
      <c r="A66" s="248"/>
      <c r="B66" s="2133"/>
      <c r="C66" s="2134"/>
      <c r="D66" s="2134"/>
      <c r="E66" s="2134"/>
      <c r="F66" s="2134"/>
      <c r="G66" s="2134"/>
      <c r="H66" s="2134"/>
      <c r="I66" s="2134"/>
      <c r="J66" s="2135"/>
    </row>
    <row r="67" spans="1:11" s="176" customFormat="1" ht="9" customHeight="1" x14ac:dyDescent="0.2">
      <c r="A67" s="249"/>
      <c r="B67" s="2136"/>
      <c r="C67" s="2137"/>
      <c r="D67" s="2137"/>
      <c r="E67" s="2137"/>
      <c r="F67" s="2137"/>
      <c r="G67" s="2137"/>
      <c r="H67" s="2137"/>
      <c r="I67" s="2137"/>
      <c r="J67" s="2138"/>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3" t="s">
        <v>1314</v>
      </c>
      <c r="B70" s="2126"/>
      <c r="C70" s="2126"/>
      <c r="D70" s="2126"/>
      <c r="E70" s="2127"/>
      <c r="F70" s="2127"/>
      <c r="G70" s="2127"/>
      <c r="H70" s="2127"/>
      <c r="I70" s="2127"/>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8" t="s">
        <v>1311</v>
      </c>
      <c r="B83" s="2128"/>
      <c r="C83" s="2128"/>
      <c r="D83" s="2129"/>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39" t="s">
        <v>1992</v>
      </c>
      <c r="B85" s="2139"/>
      <c r="C85" s="2139"/>
      <c r="D85" s="2140"/>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1" t="s">
        <v>1992</v>
      </c>
      <c r="B88" s="2142"/>
      <c r="C88" s="2142"/>
      <c r="D88" s="2143"/>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0"/>
      <c r="C102" s="2111"/>
      <c r="D102" s="2111"/>
      <c r="E102" s="2111"/>
      <c r="F102" s="2111"/>
      <c r="G102" s="2111"/>
      <c r="H102" s="2111"/>
      <c r="I102" s="2112"/>
    </row>
    <row r="103" spans="1:9" s="176" customFormat="1" ht="11.25" customHeight="1" x14ac:dyDescent="0.2">
      <c r="A103" s="294"/>
      <c r="B103" s="2113"/>
      <c r="C103" s="2114"/>
      <c r="D103" s="2114"/>
      <c r="E103" s="2114"/>
      <c r="F103" s="2114"/>
      <c r="G103" s="2114"/>
      <c r="H103" s="2114"/>
      <c r="I103" s="2115"/>
    </row>
    <row r="104" spans="1:9" s="176" customFormat="1" ht="11.25" customHeight="1" x14ac:dyDescent="0.2">
      <c r="A104" s="294"/>
      <c r="B104" s="2113"/>
      <c r="C104" s="2114"/>
      <c r="D104" s="2114"/>
      <c r="E104" s="2114"/>
      <c r="F104" s="2114"/>
      <c r="G104" s="2114"/>
      <c r="H104" s="2114"/>
      <c r="I104" s="2115"/>
    </row>
    <row r="105" spans="1:9" s="176" customFormat="1" x14ac:dyDescent="0.2">
      <c r="A105" s="294"/>
      <c r="B105" s="2113"/>
      <c r="C105" s="2114"/>
      <c r="D105" s="2114"/>
      <c r="E105" s="2114"/>
      <c r="F105" s="2114"/>
      <c r="G105" s="2114"/>
      <c r="H105" s="2114"/>
      <c r="I105" s="2115"/>
    </row>
    <row r="106" spans="1:9" s="176" customFormat="1" ht="11.25" customHeight="1" x14ac:dyDescent="0.2">
      <c r="A106" s="294"/>
      <c r="B106" s="2113"/>
      <c r="C106" s="2114"/>
      <c r="D106" s="2114"/>
      <c r="E106" s="2114"/>
      <c r="F106" s="2114"/>
      <c r="G106" s="2114"/>
      <c r="H106" s="2114"/>
      <c r="I106" s="2115"/>
    </row>
    <row r="107" spans="1:9" s="176" customFormat="1" ht="11.25" customHeight="1" x14ac:dyDescent="0.2">
      <c r="A107" s="294"/>
      <c r="B107" s="2113"/>
      <c r="C107" s="2114"/>
      <c r="D107" s="2114"/>
      <c r="E107" s="2114"/>
      <c r="F107" s="2114"/>
      <c r="G107" s="2114"/>
      <c r="H107" s="2114"/>
      <c r="I107" s="2115"/>
    </row>
    <row r="108" spans="1:9" s="176" customFormat="1" ht="11.25" customHeight="1" x14ac:dyDescent="0.2">
      <c r="A108" s="294"/>
      <c r="B108" s="2113"/>
      <c r="C108" s="2114"/>
      <c r="D108" s="2114"/>
      <c r="E108" s="2114"/>
      <c r="F108" s="2114"/>
      <c r="G108" s="2114"/>
      <c r="H108" s="2114"/>
      <c r="I108" s="2115"/>
    </row>
    <row r="109" spans="1:9" s="176" customFormat="1" ht="11.25" customHeight="1" x14ac:dyDescent="0.2">
      <c r="A109" s="294"/>
      <c r="B109" s="2113"/>
      <c r="C109" s="2114"/>
      <c r="D109" s="2114"/>
      <c r="E109" s="2114"/>
      <c r="F109" s="2114"/>
      <c r="G109" s="2114"/>
      <c r="H109" s="2114"/>
      <c r="I109" s="2115"/>
    </row>
    <row r="110" spans="1:9" s="176" customFormat="1" ht="11.25" customHeight="1" x14ac:dyDescent="0.2">
      <c r="A110" s="294"/>
      <c r="B110" s="2113"/>
      <c r="C110" s="2114"/>
      <c r="D110" s="2114"/>
      <c r="E110" s="2114"/>
      <c r="F110" s="2114"/>
      <c r="G110" s="2114"/>
      <c r="H110" s="2114"/>
      <c r="I110" s="2115"/>
    </row>
    <row r="111" spans="1:9" s="176" customFormat="1" ht="11.25" customHeight="1" x14ac:dyDescent="0.2">
      <c r="A111" s="294"/>
      <c r="B111" s="2113"/>
      <c r="C111" s="2114"/>
      <c r="D111" s="2114"/>
      <c r="E111" s="2114"/>
      <c r="F111" s="2114"/>
      <c r="G111" s="2114"/>
      <c r="H111" s="2114"/>
      <c r="I111" s="2115"/>
    </row>
    <row r="112" spans="1:9" s="176" customFormat="1" ht="11.25" customHeight="1" x14ac:dyDescent="0.2">
      <c r="A112" s="294"/>
      <c r="B112" s="2116"/>
      <c r="C112" s="2117"/>
      <c r="D112" s="2117"/>
      <c r="E112" s="2117"/>
      <c r="F112" s="2117"/>
      <c r="G112" s="2117"/>
      <c r="H112" s="2117"/>
      <c r="I112" s="2118"/>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9" t="s">
        <v>2029</v>
      </c>
      <c r="D114" s="2119"/>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0" t="s">
        <v>1321</v>
      </c>
      <c r="D117" s="2121"/>
      <c r="E117" s="2122"/>
      <c r="F117" s="2122"/>
      <c r="G117" s="2122"/>
      <c r="H117" s="2122"/>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G35" sqref="G3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4" t="s">
        <v>383</v>
      </c>
      <c r="B1" s="2144"/>
      <c r="C1" s="2144"/>
      <c r="D1" s="2144"/>
      <c r="E1" s="2144"/>
      <c r="F1" s="2144"/>
      <c r="G1" s="2144"/>
      <c r="H1" s="2144"/>
      <c r="I1" s="2144"/>
      <c r="J1" s="2144"/>
      <c r="K1" s="2144"/>
      <c r="L1" s="2144"/>
      <c r="M1" s="2144"/>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131311343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9.1999999999999998E-3</v>
      </c>
      <c r="E10" s="333" t="s">
        <v>998</v>
      </c>
      <c r="F10" s="332">
        <v>2.5000000000000001E-3</v>
      </c>
      <c r="G10" s="333" t="s">
        <v>998</v>
      </c>
      <c r="H10" s="332">
        <v>1.1999999999999999E-3</v>
      </c>
      <c r="I10" s="333" t="s">
        <v>999</v>
      </c>
      <c r="J10" s="1473">
        <f>ROUND(D10+F10+H10,5)</f>
        <v>1.29E-2</v>
      </c>
      <c r="K10" s="217"/>
      <c r="L10" s="332">
        <v>5.0000000000000001E-4</v>
      </c>
      <c r="M10" s="217"/>
    </row>
    <row r="11" spans="1:14" ht="7.5" customHeight="1" x14ac:dyDescent="0.2">
      <c r="B11" s="217"/>
      <c r="C11" s="217"/>
      <c r="D11" s="2154" t="str">
        <f>IF(SUM(J10)&lt;=0.0999999,"","Enter the Tax Rates by moving the decimal two places to the left.")</f>
        <v/>
      </c>
      <c r="E11" s="2155"/>
      <c r="F11" s="2155"/>
      <c r="G11" s="2155"/>
      <c r="H11" s="2155"/>
      <c r="I11" s="2155"/>
      <c r="J11" s="2155"/>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3995405</v>
      </c>
      <c r="E16" s="1597"/>
      <c r="F16" s="1596">
        <f>SUM('Acct Summary 7-8'!C17,'Acct Summary 7-8'!D17,'Acct Summary 7-8'!F17)</f>
        <v>3733501</v>
      </c>
      <c r="G16" s="1597"/>
      <c r="H16" s="1596">
        <f>SUM(D16-F16)</f>
        <v>261904</v>
      </c>
      <c r="I16" s="1598"/>
      <c r="J16" s="1596">
        <f>SUM('Acct Summary 7-8'!C81,'Acct Summary 7-8'!D81,'Acct Summary 7-8'!F81,'Acct Summary 7-8'!I81)</f>
        <v>2165130</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9060482.6670000013</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1731000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5"/>
      <c r="C54" s="2146"/>
      <c r="D54" s="2146"/>
      <c r="E54" s="2146"/>
      <c r="F54" s="2146"/>
      <c r="G54" s="2146"/>
      <c r="H54" s="2146"/>
      <c r="I54" s="2146"/>
      <c r="J54" s="2146"/>
      <c r="K54" s="2146"/>
      <c r="L54" s="2147"/>
      <c r="M54" s="357"/>
    </row>
    <row r="55" spans="1:13" ht="12.75" customHeight="1" x14ac:dyDescent="0.2">
      <c r="B55" s="2148"/>
      <c r="C55" s="2149"/>
      <c r="D55" s="2149"/>
      <c r="E55" s="2149"/>
      <c r="F55" s="2149"/>
      <c r="G55" s="2149"/>
      <c r="H55" s="2149"/>
      <c r="I55" s="2149"/>
      <c r="J55" s="2149"/>
      <c r="K55" s="2149"/>
      <c r="L55" s="2150"/>
      <c r="M55" s="357"/>
    </row>
    <row r="56" spans="1:13" ht="12.75" customHeight="1" x14ac:dyDescent="0.2">
      <c r="B56" s="2148"/>
      <c r="C56" s="2149"/>
      <c r="D56" s="2149"/>
      <c r="E56" s="2149"/>
      <c r="F56" s="2149"/>
      <c r="G56" s="2149"/>
      <c r="H56" s="2149"/>
      <c r="I56" s="2149"/>
      <c r="J56" s="2149"/>
      <c r="K56" s="2149"/>
      <c r="L56" s="2150"/>
      <c r="M56" s="217"/>
    </row>
    <row r="57" spans="1:13" ht="12.75" customHeight="1" x14ac:dyDescent="0.2">
      <c r="B57" s="2148"/>
      <c r="C57" s="2149"/>
      <c r="D57" s="2149"/>
      <c r="E57" s="2149"/>
      <c r="F57" s="2149"/>
      <c r="G57" s="2149"/>
      <c r="H57" s="2149"/>
      <c r="I57" s="2149"/>
      <c r="J57" s="2149"/>
      <c r="K57" s="2149"/>
      <c r="L57" s="2150"/>
      <c r="M57" s="217"/>
    </row>
    <row r="58" spans="1:13" x14ac:dyDescent="0.2">
      <c r="B58" s="2151"/>
      <c r="C58" s="2152"/>
      <c r="D58" s="2152"/>
      <c r="E58" s="2152"/>
      <c r="F58" s="2152"/>
      <c r="G58" s="2152"/>
      <c r="H58" s="2152"/>
      <c r="I58" s="2152"/>
      <c r="J58" s="2152"/>
      <c r="K58" s="2152"/>
      <c r="L58" s="2153"/>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6"/>
      <c r="D61" s="2157"/>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E1" zoomScale="110" zoomScaleNormal="110" workbookViewId="0">
      <selection activeCell="G35" sqref="G35"/>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9"/>
      <c r="B1" s="2160"/>
      <c r="C1" s="2160"/>
      <c r="D1" s="361"/>
      <c r="E1" s="361"/>
      <c r="F1" s="361"/>
      <c r="G1" s="361"/>
      <c r="H1" s="361"/>
      <c r="I1" s="361"/>
      <c r="J1" s="361"/>
      <c r="K1" s="361"/>
      <c r="L1" s="361"/>
      <c r="M1" s="361"/>
      <c r="N1" s="361"/>
      <c r="O1" s="2159"/>
      <c r="P1" s="2160"/>
      <c r="Q1" s="2160"/>
    </row>
    <row r="2" spans="1:18" ht="15" x14ac:dyDescent="0.2">
      <c r="A2" s="2163" t="s">
        <v>552</v>
      </c>
      <c r="B2" s="2163"/>
      <c r="C2" s="2163"/>
      <c r="D2" s="2163"/>
      <c r="E2" s="2163"/>
      <c r="F2" s="2163"/>
      <c r="G2" s="2163"/>
      <c r="H2" s="2163"/>
      <c r="I2" s="2163"/>
      <c r="J2" s="2163"/>
      <c r="K2" s="2163"/>
      <c r="L2" s="2163"/>
      <c r="M2" s="2163"/>
      <c r="N2" s="2163"/>
      <c r="O2" s="2163"/>
      <c r="P2" s="2163"/>
      <c r="Q2" s="2163"/>
      <c r="R2" s="2163"/>
    </row>
    <row r="3" spans="1:18" ht="12.75" x14ac:dyDescent="0.2">
      <c r="A3" s="2164" t="s">
        <v>1399</v>
      </c>
      <c r="B3" s="2164"/>
      <c r="C3" s="2164"/>
      <c r="D3" s="2164"/>
      <c r="E3" s="2164"/>
      <c r="F3" s="2164"/>
      <c r="G3" s="2164"/>
      <c r="H3" s="2164"/>
      <c r="I3" s="2164"/>
      <c r="J3" s="2164"/>
      <c r="K3" s="2164"/>
      <c r="L3" s="2164"/>
      <c r="M3" s="2164"/>
      <c r="N3" s="2164"/>
      <c r="O3" s="2164"/>
      <c r="P3" s="2164"/>
      <c r="Q3" s="2164"/>
      <c r="R3" s="2164"/>
    </row>
    <row r="4" spans="1:18" x14ac:dyDescent="0.2">
      <c r="A4" s="2165" t="s">
        <v>1540</v>
      </c>
      <c r="B4" s="2165"/>
      <c r="C4" s="2165"/>
      <c r="D4" s="2165"/>
      <c r="E4" s="2165"/>
      <c r="F4" s="2165"/>
      <c r="G4" s="2165"/>
      <c r="H4" s="2165"/>
      <c r="I4" s="2165"/>
      <c r="J4" s="2165"/>
      <c r="K4" s="2165"/>
      <c r="L4" s="2165"/>
      <c r="M4" s="2165"/>
      <c r="N4" s="2165"/>
      <c r="O4" s="2165"/>
      <c r="P4" s="2165"/>
      <c r="Q4" s="2165"/>
      <c r="R4" s="2165"/>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Breese SD 12</v>
      </c>
      <c r="E7" s="368"/>
      <c r="G7" s="247"/>
      <c r="H7" s="364"/>
      <c r="I7" s="364"/>
      <c r="J7" s="364"/>
      <c r="K7" s="364"/>
      <c r="L7" s="307"/>
      <c r="M7" s="307"/>
      <c r="N7" s="307"/>
      <c r="O7" s="307"/>
      <c r="P7" s="307"/>
    </row>
    <row r="8" spans="1:18" ht="12.75" x14ac:dyDescent="0.2">
      <c r="A8" s="307"/>
      <c r="B8" s="307"/>
      <c r="C8" s="366" t="s">
        <v>1117</v>
      </c>
      <c r="D8" s="369">
        <f>COVER!A13</f>
        <v>13014012004</v>
      </c>
      <c r="E8" s="370"/>
      <c r="G8" s="307"/>
      <c r="H8" s="307"/>
      <c r="I8" s="307"/>
      <c r="J8" s="307"/>
      <c r="K8" s="307"/>
      <c r="L8" s="307"/>
      <c r="M8" s="307"/>
      <c r="N8" s="307"/>
      <c r="O8" s="307"/>
      <c r="P8" s="307"/>
    </row>
    <row r="9" spans="1:18" ht="12.75" x14ac:dyDescent="0.2">
      <c r="A9" s="307"/>
      <c r="B9" s="307"/>
      <c r="C9" s="366" t="s">
        <v>708</v>
      </c>
      <c r="D9" s="371" t="str">
        <f>COVER!A15</f>
        <v>Clinton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2165130</v>
      </c>
      <c r="I12" s="380"/>
      <c r="J12" s="380"/>
      <c r="K12" s="1609">
        <f>TRUNC((H12/H13*100000),5)/100000</f>
        <v>0.54190501329999996</v>
      </c>
      <c r="L12" s="381"/>
      <c r="M12" s="337" t="s">
        <v>1136</v>
      </c>
      <c r="N12" s="337"/>
      <c r="O12" s="1612">
        <v>0.35</v>
      </c>
      <c r="P12" s="213"/>
      <c r="Q12" s="213"/>
    </row>
    <row r="13" spans="1:18" s="382" customFormat="1" ht="12.75" x14ac:dyDescent="0.2">
      <c r="A13" s="213"/>
      <c r="B13" s="377"/>
      <c r="C13" s="2161" t="s">
        <v>1315</v>
      </c>
      <c r="D13" s="2162"/>
      <c r="E13" s="213"/>
      <c r="F13" s="383" t="s">
        <v>788</v>
      </c>
      <c r="G13" s="378"/>
      <c r="H13" s="1601">
        <f>SUM('Acct Summary 7-8'!C8+'Acct Summary 7-8'!D8+'Acct Summary 7-8'!F8+'Acct Summary 7-8'!I8)+H14</f>
        <v>3995405</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3733501</v>
      </c>
      <c r="I17" s="380"/>
      <c r="J17" s="389"/>
      <c r="K17" s="1609">
        <f>TRUNC((H17/H18*100000),5)/100000</f>
        <v>0.93444869789999996</v>
      </c>
      <c r="L17" s="381"/>
      <c r="M17" s="390" t="s">
        <v>1163</v>
      </c>
      <c r="O17" s="1615" t="str">
        <f>IF(AND(O16="2", J20 &gt; 2),"1",IF(AND(O16 = "1", J20 &gt; 2),"2",IF(AND(O16="1", J20 &gt;1),"1","0")))</f>
        <v>0</v>
      </c>
      <c r="P17" s="213"/>
    </row>
    <row r="18" spans="1:18" s="382" customFormat="1" ht="11.25" x14ac:dyDescent="0.2">
      <c r="A18" s="213"/>
      <c r="B18" s="377"/>
      <c r="C18" s="2161" t="s">
        <v>1308</v>
      </c>
      <c r="D18" s="2162"/>
      <c r="E18" s="213"/>
      <c r="F18" s="391" t="s">
        <v>789</v>
      </c>
      <c r="G18" s="378"/>
      <c r="H18" s="1601">
        <f>SUM('Acct Summary 7-8'!C8+'Acct Summary 7-8'!D8+'Acct Summary 7-8'!F8+'Acct Summary 7-8'!I8)+H19</f>
        <v>3995405</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58" t="s">
        <v>1398</v>
      </c>
      <c r="D24" s="2158"/>
      <c r="E24" s="213"/>
      <c r="F24" s="213" t="s">
        <v>442</v>
      </c>
      <c r="G24" s="378"/>
      <c r="H24" s="1601">
        <f>SUM('Assets-Liab 5-6'!C4+'Assets-Liab 5-6'!D4+'Assets-Liab 5-6'!F4+'Assets-Liab 5-6'!I4+'Assets-Liab 5-6'!C5+'Assets-Liab 5-6'!D5+'Assets-Liab 5-6'!F5+'Assets-Liab 5-6'!I5)</f>
        <v>2165130</v>
      </c>
      <c r="I24" s="394"/>
      <c r="J24" s="394"/>
      <c r="K24" s="1605">
        <f>TRUNC(((H24/H25*100000)/100000),2)</f>
        <v>208.77</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10370.83611</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1439828.8759999999</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1731000</v>
      </c>
      <c r="I32" s="392"/>
      <c r="J32" s="392"/>
      <c r="K32" s="1605">
        <f>TRUNC(100-((((H32/H33*100))*100)/100),2)</f>
        <v>80.89</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9060482.6670000013</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selection activeCell="G35" sqref="G35"/>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6"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7"/>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8" t="s">
        <v>967</v>
      </c>
      <c r="B3" s="2169"/>
      <c r="C3" s="1351"/>
      <c r="D3" s="1352"/>
      <c r="E3" s="1352"/>
      <c r="F3" s="1352"/>
      <c r="G3" s="1352"/>
      <c r="H3" s="1352"/>
      <c r="I3" s="1352"/>
      <c r="J3" s="1352"/>
      <c r="K3" s="1352"/>
      <c r="L3" s="1352"/>
      <c r="M3" s="1353"/>
      <c r="N3" s="1354"/>
    </row>
    <row r="4" spans="1:14" ht="13.5" customHeight="1" x14ac:dyDescent="0.2">
      <c r="A4" s="427" t="s">
        <v>1635</v>
      </c>
      <c r="B4" s="428"/>
      <c r="C4" s="1622">
        <v>370629</v>
      </c>
      <c r="D4" s="1623">
        <v>176637</v>
      </c>
      <c r="E4" s="1623">
        <v>17389</v>
      </c>
      <c r="F4" s="1623">
        <v>629106</v>
      </c>
      <c r="G4" s="1623">
        <v>148791</v>
      </c>
      <c r="H4" s="1623">
        <v>17427</v>
      </c>
      <c r="I4" s="1623">
        <v>988758</v>
      </c>
      <c r="J4" s="1624">
        <v>250441</v>
      </c>
      <c r="K4" s="1623">
        <v>238677</v>
      </c>
      <c r="L4" s="1623"/>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370629</v>
      </c>
      <c r="D13" s="1637">
        <f t="shared" ref="D13:L13" si="0">SUM(D4:D12)</f>
        <v>176637</v>
      </c>
      <c r="E13" s="1637">
        <f t="shared" si="0"/>
        <v>17389</v>
      </c>
      <c r="F13" s="1637">
        <f t="shared" si="0"/>
        <v>629106</v>
      </c>
      <c r="G13" s="1637">
        <f t="shared" si="0"/>
        <v>148791</v>
      </c>
      <c r="H13" s="1637">
        <f t="shared" si="0"/>
        <v>17427</v>
      </c>
      <c r="I13" s="1637">
        <f t="shared" si="0"/>
        <v>988758</v>
      </c>
      <c r="J13" s="1637">
        <f t="shared" si="0"/>
        <v>250441</v>
      </c>
      <c r="K13" s="1637">
        <f t="shared" si="0"/>
        <v>238677</v>
      </c>
      <c r="L13" s="1637">
        <f t="shared" si="0"/>
        <v>0</v>
      </c>
      <c r="M13" s="1625"/>
      <c r="N13" s="1626"/>
    </row>
    <row r="14" spans="1:14" ht="18" customHeight="1" thickTop="1" x14ac:dyDescent="0.2">
      <c r="A14" s="2170" t="s">
        <v>146</v>
      </c>
      <c r="B14" s="2171"/>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68360</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8113602</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151121</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956467</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0</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17389</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1713611</v>
      </c>
    </row>
    <row r="23" spans="1:14" ht="13.5" customHeight="1" thickBot="1" x14ac:dyDescent="0.25">
      <c r="A23" s="1475" t="s">
        <v>638</v>
      </c>
      <c r="B23" s="1478"/>
      <c r="C23" s="1625"/>
      <c r="D23" s="1625"/>
      <c r="E23" s="1625"/>
      <c r="F23" s="1625"/>
      <c r="G23" s="1625"/>
      <c r="H23" s="1625"/>
      <c r="I23" s="1625"/>
      <c r="J23" s="1625"/>
      <c r="K23" s="1625"/>
      <c r="L23" s="1625"/>
      <c r="M23" s="1644">
        <f>SUM(M15:M22)</f>
        <v>9289550</v>
      </c>
      <c r="N23" s="1644">
        <f>SUM(N21:N22)</f>
        <v>1731000</v>
      </c>
    </row>
    <row r="24" spans="1:14" ht="18" customHeight="1" thickTop="1" x14ac:dyDescent="0.2">
      <c r="A24" s="2172" t="s">
        <v>594</v>
      </c>
      <c r="B24" s="2173"/>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0</v>
      </c>
      <c r="M34" s="1625"/>
      <c r="N34" s="1635"/>
    </row>
    <row r="35" spans="1:14" ht="18" customHeight="1" thickTop="1" x14ac:dyDescent="0.2">
      <c r="A35" s="2174" t="s">
        <v>526</v>
      </c>
      <c r="B35" s="2175"/>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1731000</v>
      </c>
    </row>
    <row r="37" spans="1:14" ht="13.5" thickBot="1" x14ac:dyDescent="0.25">
      <c r="A37" s="1475" t="s">
        <v>648</v>
      </c>
      <c r="B37" s="1478"/>
      <c r="C37" s="1632"/>
      <c r="D37" s="1632"/>
      <c r="E37" s="1632"/>
      <c r="F37" s="1632"/>
      <c r="G37" s="1632"/>
      <c r="H37" s="1632"/>
      <c r="I37" s="1632"/>
      <c r="J37" s="1632"/>
      <c r="K37" s="1632"/>
      <c r="L37" s="1635"/>
      <c r="M37" s="1625"/>
      <c r="N37" s="1644">
        <f>SUM(N36:N36)</f>
        <v>1731000</v>
      </c>
    </row>
    <row r="38" spans="1:14" s="307" customFormat="1" ht="13.5" customHeight="1" thickTop="1" x14ac:dyDescent="0.2">
      <c r="A38" s="438" t="s">
        <v>417</v>
      </c>
      <c r="B38" s="432">
        <v>714</v>
      </c>
      <c r="C38" s="1623">
        <v>8357</v>
      </c>
      <c r="D38" s="1623"/>
      <c r="E38" s="1623"/>
      <c r="F38" s="1623"/>
      <c r="G38" s="1623">
        <v>2449</v>
      </c>
      <c r="H38" s="1623"/>
      <c r="I38" s="1623"/>
      <c r="J38" s="1624"/>
      <c r="K38" s="1623"/>
      <c r="L38" s="1636"/>
      <c r="M38" s="1654"/>
      <c r="N38" s="1654"/>
    </row>
    <row r="39" spans="1:14" s="307" customFormat="1" ht="13.5" customHeight="1" x14ac:dyDescent="0.2">
      <c r="A39" s="438" t="s">
        <v>339</v>
      </c>
      <c r="B39" s="432">
        <v>730</v>
      </c>
      <c r="C39" s="1623">
        <v>362272</v>
      </c>
      <c r="D39" s="1623">
        <v>176637</v>
      </c>
      <c r="E39" s="1623">
        <v>17389</v>
      </c>
      <c r="F39" s="1623">
        <v>629106</v>
      </c>
      <c r="G39" s="1623">
        <v>146342</v>
      </c>
      <c r="H39" s="1623">
        <v>17427</v>
      </c>
      <c r="I39" s="1623">
        <v>988758</v>
      </c>
      <c r="J39" s="1624">
        <v>250441</v>
      </c>
      <c r="K39" s="1623">
        <v>238677</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9289550</v>
      </c>
      <c r="N40" s="1654"/>
    </row>
    <row r="41" spans="1:14" ht="13.5" customHeight="1" thickBot="1" x14ac:dyDescent="0.25">
      <c r="A41" s="1475" t="s">
        <v>650</v>
      </c>
      <c r="B41" s="1454"/>
      <c r="C41" s="1644">
        <f>(SUM(C34,C37,C38,C39))</f>
        <v>370629</v>
      </c>
      <c r="D41" s="1644">
        <f t="shared" ref="D41:L41" si="2">SUM(D34,D37,D38:D39)</f>
        <v>176637</v>
      </c>
      <c r="E41" s="1644">
        <f t="shared" si="2"/>
        <v>17389</v>
      </c>
      <c r="F41" s="1644">
        <f t="shared" si="2"/>
        <v>629106</v>
      </c>
      <c r="G41" s="1644">
        <f t="shared" si="2"/>
        <v>148791</v>
      </c>
      <c r="H41" s="1644">
        <f t="shared" si="2"/>
        <v>17427</v>
      </c>
      <c r="I41" s="1644">
        <f t="shared" si="2"/>
        <v>988758</v>
      </c>
      <c r="J41" s="1644">
        <f t="shared" si="2"/>
        <v>250441</v>
      </c>
      <c r="K41" s="1644">
        <f t="shared" si="2"/>
        <v>238677</v>
      </c>
      <c r="L41" s="1644">
        <f t="shared" si="2"/>
        <v>0</v>
      </c>
      <c r="M41" s="1644">
        <f>SUM(M40)</f>
        <v>9289550</v>
      </c>
      <c r="N41" s="1644">
        <f>SUM(N37)</f>
        <v>1731000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2020
</oddHeader>
    <oddFooter>&amp;L&amp;8See notes to financial statements.&amp;C&amp;P</oddFooter>
    <firstHeader>&amp;CBASIC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selection activeCell="G35" sqref="G35"/>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4"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5"/>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6" t="s">
        <v>1167</v>
      </c>
      <c r="B3" s="2197"/>
      <c r="C3" s="1356"/>
      <c r="D3" s="1357"/>
      <c r="E3" s="1357"/>
      <c r="F3" s="1357"/>
      <c r="G3" s="1357"/>
      <c r="H3" s="1357"/>
      <c r="I3" s="1357"/>
      <c r="J3" s="1357"/>
      <c r="K3" s="1358"/>
      <c r="L3" s="446"/>
    </row>
    <row r="4" spans="1:13" ht="15.75" customHeight="1" x14ac:dyDescent="0.2">
      <c r="A4" s="1587" t="s">
        <v>1485</v>
      </c>
      <c r="B4" s="1588">
        <v>1000</v>
      </c>
      <c r="C4" s="1656">
        <f>'Revenues 9-14'!C109</f>
        <v>1611043</v>
      </c>
      <c r="D4" s="1656">
        <f>'Revenues 9-14'!D109</f>
        <v>318898</v>
      </c>
      <c r="E4" s="1656">
        <f>'Revenues 9-14'!E109</f>
        <v>542707</v>
      </c>
      <c r="F4" s="1656">
        <f>'Revenues 9-14'!F109</f>
        <v>295831</v>
      </c>
      <c r="G4" s="1656">
        <f>'Revenues 9-14'!G109</f>
        <v>158465</v>
      </c>
      <c r="H4" s="1656">
        <f>'Revenues 9-14'!H109</f>
        <v>7082</v>
      </c>
      <c r="I4" s="1656">
        <f>'Revenues 9-14'!I109</f>
        <v>63780</v>
      </c>
      <c r="J4" s="1656">
        <f>'Revenues 9-14'!J109</f>
        <v>426790</v>
      </c>
      <c r="K4" s="1656">
        <f>'Revenues 9-14'!K109</f>
        <v>63780</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1368103</v>
      </c>
      <c r="D6" s="1657">
        <f>'Revenues 9-14'!D170</f>
        <v>0</v>
      </c>
      <c r="E6" s="1657">
        <f>'Revenues 9-14'!E170</f>
        <v>0</v>
      </c>
      <c r="F6" s="1657">
        <f>'Revenues 9-14'!F170</f>
        <v>48278</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289472</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3268618</v>
      </c>
      <c r="D8" s="1644">
        <f t="shared" ref="D8:K8" si="0">SUM(D4:D7)</f>
        <v>318898</v>
      </c>
      <c r="E8" s="1644">
        <f t="shared" si="0"/>
        <v>542707</v>
      </c>
      <c r="F8" s="1644">
        <f t="shared" si="0"/>
        <v>344109</v>
      </c>
      <c r="G8" s="1644">
        <f t="shared" si="0"/>
        <v>158465</v>
      </c>
      <c r="H8" s="1644">
        <f t="shared" si="0"/>
        <v>7082</v>
      </c>
      <c r="I8" s="1644">
        <f t="shared" si="0"/>
        <v>63780</v>
      </c>
      <c r="J8" s="1644">
        <f t="shared" si="0"/>
        <v>426790</v>
      </c>
      <c r="K8" s="1644">
        <f t="shared" si="0"/>
        <v>63780</v>
      </c>
      <c r="L8" s="325"/>
    </row>
    <row r="9" spans="1:13" ht="15.75" thickTop="1" x14ac:dyDescent="0.2">
      <c r="A9" s="449" t="s">
        <v>1637</v>
      </c>
      <c r="B9" s="450">
        <v>3998</v>
      </c>
      <c r="C9" s="1636">
        <f>26886+1674709</f>
        <v>1701595</v>
      </c>
      <c r="D9" s="1663"/>
      <c r="E9" s="1636"/>
      <c r="F9" s="1636"/>
      <c r="G9" s="1664"/>
      <c r="H9" s="1636"/>
      <c r="I9" s="1659" t="s">
        <v>1161</v>
      </c>
      <c r="J9" s="1633"/>
      <c r="K9" s="1636"/>
      <c r="L9" s="325"/>
    </row>
    <row r="10" spans="1:13" s="452" customFormat="1" ht="13.5" thickBot="1" x14ac:dyDescent="0.25">
      <c r="A10" s="1475" t="s">
        <v>1165</v>
      </c>
      <c r="B10" s="1456"/>
      <c r="C10" s="1644">
        <f>SUM(C8:C9)</f>
        <v>4970213</v>
      </c>
      <c r="D10" s="1644">
        <f t="shared" ref="D10:K10" si="1">SUM(D8:D9)</f>
        <v>318898</v>
      </c>
      <c r="E10" s="1644">
        <f t="shared" si="1"/>
        <v>542707</v>
      </c>
      <c r="F10" s="1644">
        <f t="shared" si="1"/>
        <v>344109</v>
      </c>
      <c r="G10" s="1644">
        <f t="shared" si="1"/>
        <v>158465</v>
      </c>
      <c r="H10" s="1644">
        <f t="shared" si="1"/>
        <v>7082</v>
      </c>
      <c r="I10" s="1644">
        <f t="shared" si="1"/>
        <v>63780</v>
      </c>
      <c r="J10" s="1644">
        <f t="shared" si="1"/>
        <v>426790</v>
      </c>
      <c r="K10" s="1644">
        <f t="shared" si="1"/>
        <v>63780</v>
      </c>
      <c r="L10" s="451"/>
    </row>
    <row r="11" spans="1:13" s="452" customFormat="1" ht="16.7" customHeight="1" thickTop="1" x14ac:dyDescent="0.2">
      <c r="A11" s="2170" t="s">
        <v>1168</v>
      </c>
      <c r="B11" s="2171"/>
      <c r="C11" s="1652"/>
      <c r="D11" s="1653"/>
      <c r="E11" s="1653"/>
      <c r="F11" s="1653"/>
      <c r="G11" s="1653"/>
      <c r="H11" s="1653"/>
      <c r="I11" s="1653"/>
      <c r="J11" s="1653"/>
      <c r="K11" s="1665"/>
      <c r="L11" s="451"/>
    </row>
    <row r="12" spans="1:13" ht="15.75" customHeight="1" x14ac:dyDescent="0.2">
      <c r="A12" s="1359" t="s">
        <v>453</v>
      </c>
      <c r="B12" s="1361">
        <v>1000</v>
      </c>
      <c r="C12" s="1656">
        <f>'Expenditures 15-22'!K33</f>
        <v>2499135</v>
      </c>
      <c r="D12" s="1666" t="s">
        <v>1161</v>
      </c>
      <c r="E12" s="1625" t="s">
        <v>1161</v>
      </c>
      <c r="F12" s="1625" t="s">
        <v>1161</v>
      </c>
      <c r="G12" s="1656">
        <f>'Expenditures 15-22'!K229</f>
        <v>68796</v>
      </c>
      <c r="H12" s="1667"/>
      <c r="I12" s="1625" t="s">
        <v>1161</v>
      </c>
      <c r="J12" s="1625" t="s">
        <v>1161</v>
      </c>
      <c r="K12" s="1667" t="s">
        <v>1161</v>
      </c>
      <c r="L12" s="325"/>
    </row>
    <row r="13" spans="1:13" ht="15.75" customHeight="1" x14ac:dyDescent="0.2">
      <c r="A13" s="1359" t="s">
        <v>454</v>
      </c>
      <c r="B13" s="1361">
        <v>2000</v>
      </c>
      <c r="C13" s="1657">
        <f>'Expenditures 15-22'!K74</f>
        <v>584606</v>
      </c>
      <c r="D13" s="1657">
        <f>'Expenditures 15-22'!K129</f>
        <v>294766</v>
      </c>
      <c r="E13" s="1626" t="s">
        <v>1161</v>
      </c>
      <c r="F13" s="1657">
        <f>'Expenditures 15-22'!K184</f>
        <v>251309</v>
      </c>
      <c r="G13" s="1657">
        <f>'Expenditures 15-22'!K279</f>
        <v>62254</v>
      </c>
      <c r="H13" s="1657">
        <f>'Expenditures 15-22'!K303</f>
        <v>0</v>
      </c>
      <c r="I13" s="1625" t="s">
        <v>1161</v>
      </c>
      <c r="J13" s="1657">
        <f>'Expenditures 15-22'!K330</f>
        <v>385726</v>
      </c>
      <c r="K13" s="1668">
        <f>'Expenditures 15-22'!K352</f>
        <v>24198</v>
      </c>
      <c r="L13" s="325"/>
    </row>
    <row r="14" spans="1:13" ht="15.75" customHeight="1" x14ac:dyDescent="0.2">
      <c r="A14" s="1359" t="s">
        <v>446</v>
      </c>
      <c r="B14" s="1361">
        <v>3000</v>
      </c>
      <c r="C14" s="1657">
        <f>'Expenditures 15-22'!K75</f>
        <v>0</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103685</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557915</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3187426</v>
      </c>
      <c r="D17" s="1644">
        <f t="shared" si="2"/>
        <v>294766</v>
      </c>
      <c r="E17" s="1644">
        <f t="shared" si="2"/>
        <v>557915</v>
      </c>
      <c r="F17" s="1644">
        <f t="shared" si="2"/>
        <v>251309</v>
      </c>
      <c r="G17" s="1644">
        <f t="shared" si="2"/>
        <v>131050</v>
      </c>
      <c r="H17" s="1644">
        <f t="shared" si="2"/>
        <v>0</v>
      </c>
      <c r="I17" s="1625"/>
      <c r="J17" s="1644">
        <f>SUM(J12:J16)</f>
        <v>385726</v>
      </c>
      <c r="K17" s="1644">
        <f>SUM(K12:K16)</f>
        <v>24198</v>
      </c>
      <c r="L17" s="325"/>
    </row>
    <row r="18" spans="1:12" ht="15" customHeight="1" thickTop="1" x14ac:dyDescent="0.2">
      <c r="A18" s="1479" t="s">
        <v>1638</v>
      </c>
      <c r="B18" s="1480">
        <v>4180</v>
      </c>
      <c r="C18" s="1656">
        <f t="shared" ref="C18:H18" si="3">C9</f>
        <v>1701595</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4889021</v>
      </c>
      <c r="D19" s="1644">
        <f t="shared" si="4"/>
        <v>294766</v>
      </c>
      <c r="E19" s="1644">
        <f t="shared" si="4"/>
        <v>557915</v>
      </c>
      <c r="F19" s="1644">
        <f t="shared" si="4"/>
        <v>251309</v>
      </c>
      <c r="G19" s="1644">
        <f t="shared" si="4"/>
        <v>131050</v>
      </c>
      <c r="H19" s="1644">
        <f t="shared" si="4"/>
        <v>0</v>
      </c>
      <c r="I19" s="1625"/>
      <c r="J19" s="1644">
        <f>SUM(J17:J18)</f>
        <v>385726</v>
      </c>
      <c r="K19" s="1644">
        <f>SUM(K17:K18)</f>
        <v>24198</v>
      </c>
      <c r="L19" s="325"/>
    </row>
    <row r="20" spans="1:12" ht="16.5" thickTop="1" thickBot="1" x14ac:dyDescent="0.25">
      <c r="A20" s="2186" t="s">
        <v>1639</v>
      </c>
      <c r="B20" s="2187"/>
      <c r="C20" s="1672">
        <f>C8-C17</f>
        <v>81192</v>
      </c>
      <c r="D20" s="1672">
        <f t="shared" ref="D20:K20" si="5">D8-D17</f>
        <v>24132</v>
      </c>
      <c r="E20" s="1672">
        <f t="shared" si="5"/>
        <v>-15208</v>
      </c>
      <c r="F20" s="1672">
        <f t="shared" si="5"/>
        <v>92800</v>
      </c>
      <c r="G20" s="1672">
        <f t="shared" si="5"/>
        <v>27415</v>
      </c>
      <c r="H20" s="1672">
        <f t="shared" si="5"/>
        <v>7082</v>
      </c>
      <c r="I20" s="1672">
        <f t="shared" si="5"/>
        <v>63780</v>
      </c>
      <c r="J20" s="1672">
        <f t="shared" si="5"/>
        <v>41064</v>
      </c>
      <c r="K20" s="1672">
        <f t="shared" si="5"/>
        <v>39582</v>
      </c>
      <c r="L20" s="325"/>
    </row>
    <row r="21" spans="1:12" ht="16.7" customHeight="1" thickTop="1" x14ac:dyDescent="0.2">
      <c r="A21" s="2198" t="s">
        <v>591</v>
      </c>
      <c r="B21" s="2199"/>
      <c r="C21" s="1652"/>
      <c r="D21" s="1653"/>
      <c r="E21" s="1653"/>
      <c r="F21" s="1653"/>
      <c r="G21" s="1653"/>
      <c r="H21" s="1653"/>
      <c r="I21" s="1653"/>
      <c r="J21" s="1653"/>
      <c r="K21" s="1665"/>
      <c r="L21" s="453"/>
    </row>
    <row r="22" spans="1:12" ht="15.75" customHeight="1" collapsed="1" x14ac:dyDescent="0.2">
      <c r="A22" s="2194" t="s">
        <v>592</v>
      </c>
      <c r="B22" s="2195"/>
      <c r="C22" s="1632"/>
      <c r="D22" s="1632"/>
      <c r="E22" s="1632"/>
      <c r="F22" s="1632"/>
      <c r="G22" s="1632"/>
      <c r="H22" s="1632"/>
      <c r="I22" s="1632"/>
      <c r="J22" s="1632"/>
      <c r="K22" s="1632"/>
      <c r="L22" s="325"/>
    </row>
    <row r="23" spans="1:12" s="433" customFormat="1" ht="15.75" customHeight="1" x14ac:dyDescent="0.2">
      <c r="A23" s="2190" t="s">
        <v>290</v>
      </c>
      <c r="B23" s="2191"/>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2" t="s">
        <v>974</v>
      </c>
      <c r="B32" s="2193"/>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v>100000</v>
      </c>
      <c r="E43" s="1624"/>
      <c r="F43" s="1624"/>
      <c r="G43" s="1624"/>
      <c r="H43" s="1624"/>
      <c r="I43" s="1624"/>
      <c r="J43" s="1624"/>
      <c r="K43" s="1624"/>
      <c r="L43" s="453"/>
    </row>
    <row r="44" spans="1:12" s="433" customFormat="1" ht="13.5" customHeight="1" thickBot="1" x14ac:dyDescent="0.25">
      <c r="A44" s="2200" t="s">
        <v>371</v>
      </c>
      <c r="B44" s="2201"/>
      <c r="C44" s="1674">
        <f>SUM(C24:C43)</f>
        <v>0</v>
      </c>
      <c r="D44" s="1674">
        <f t="shared" ref="D44:K44" si="6">SUM(D24:D43)</f>
        <v>100000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4" t="s">
        <v>108</v>
      </c>
      <c r="B45" s="2195"/>
      <c r="C45" s="1675"/>
      <c r="D45" s="1675"/>
      <c r="E45" s="1675"/>
      <c r="F45" s="1675"/>
      <c r="G45" s="1675"/>
      <c r="H45" s="1675"/>
      <c r="I45" s="1675"/>
      <c r="J45" s="1675"/>
      <c r="K45" s="1675"/>
      <c r="L45" s="325"/>
    </row>
    <row r="46" spans="1:12" s="433" customFormat="1" ht="15.75" customHeight="1" x14ac:dyDescent="0.2">
      <c r="A46" s="2202" t="s">
        <v>109</v>
      </c>
      <c r="B46" s="2203"/>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v>100000</v>
      </c>
      <c r="K75" s="1678"/>
      <c r="L75" s="453"/>
    </row>
    <row r="76" spans="1:12" s="433" customFormat="1" ht="14.25" thickTop="1" thickBot="1" x14ac:dyDescent="0.25">
      <c r="A76" s="2176" t="s">
        <v>437</v>
      </c>
      <c r="B76" s="2177"/>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100000</v>
      </c>
      <c r="K76" s="1674">
        <f t="shared" si="7"/>
        <v>0</v>
      </c>
      <c r="L76" s="453"/>
    </row>
    <row r="77" spans="1:12" ht="14.25" thickTop="1" thickBot="1" x14ac:dyDescent="0.25">
      <c r="A77" s="2178" t="s">
        <v>1169</v>
      </c>
      <c r="B77" s="2179"/>
      <c r="C77" s="1674">
        <f t="shared" ref="C77:K77" si="8">C44-C76</f>
        <v>0</v>
      </c>
      <c r="D77" s="1674">
        <f t="shared" si="8"/>
        <v>100000</v>
      </c>
      <c r="E77" s="1674">
        <f t="shared" si="8"/>
        <v>0</v>
      </c>
      <c r="F77" s="1674">
        <f t="shared" si="8"/>
        <v>0</v>
      </c>
      <c r="G77" s="1674">
        <f t="shared" si="8"/>
        <v>0</v>
      </c>
      <c r="H77" s="1674">
        <f t="shared" si="8"/>
        <v>0</v>
      </c>
      <c r="I77" s="1674">
        <f t="shared" si="8"/>
        <v>0</v>
      </c>
      <c r="J77" s="1674">
        <f t="shared" si="8"/>
        <v>-100000</v>
      </c>
      <c r="K77" s="1674">
        <f t="shared" si="8"/>
        <v>0</v>
      </c>
      <c r="L77" s="325"/>
    </row>
    <row r="78" spans="1:12" ht="21.75" customHeight="1" thickTop="1" thickBot="1" x14ac:dyDescent="0.25">
      <c r="A78" s="2182" t="s">
        <v>593</v>
      </c>
      <c r="B78" s="2183"/>
      <c r="C78" s="1679">
        <f t="shared" ref="C78:K78" si="9">C20+C77</f>
        <v>81192</v>
      </c>
      <c r="D78" s="1679">
        <f t="shared" si="9"/>
        <v>124132</v>
      </c>
      <c r="E78" s="1679">
        <f t="shared" si="9"/>
        <v>-15208</v>
      </c>
      <c r="F78" s="1679">
        <f t="shared" si="9"/>
        <v>92800</v>
      </c>
      <c r="G78" s="1679">
        <f t="shared" si="9"/>
        <v>27415</v>
      </c>
      <c r="H78" s="1679">
        <f t="shared" si="9"/>
        <v>7082</v>
      </c>
      <c r="I78" s="1679">
        <f t="shared" si="9"/>
        <v>63780</v>
      </c>
      <c r="J78" s="1679">
        <f t="shared" si="9"/>
        <v>-58936</v>
      </c>
      <c r="K78" s="1679">
        <f t="shared" si="9"/>
        <v>39582</v>
      </c>
      <c r="L78" s="457"/>
    </row>
    <row r="79" spans="1:12" ht="13.5" thickTop="1" x14ac:dyDescent="0.2">
      <c r="A79" s="1902" t="str">
        <f>"Fund Balances - July 1, "&amp;'AFR20'!E2-1</f>
        <v>Fund Balances - July 1, 2019</v>
      </c>
      <c r="B79" s="458"/>
      <c r="C79" s="1633">
        <v>289437</v>
      </c>
      <c r="D79" s="1680">
        <v>52505</v>
      </c>
      <c r="E79" s="1680">
        <v>32597</v>
      </c>
      <c r="F79" s="1680">
        <v>536306</v>
      </c>
      <c r="G79" s="1680">
        <v>121376</v>
      </c>
      <c r="H79" s="1680">
        <v>10345</v>
      </c>
      <c r="I79" s="1680">
        <v>924978</v>
      </c>
      <c r="J79" s="1680">
        <v>309377</v>
      </c>
      <c r="K79" s="1680">
        <v>199095</v>
      </c>
      <c r="L79" s="325"/>
    </row>
    <row r="80" spans="1:12" x14ac:dyDescent="0.2">
      <c r="A80" s="2188" t="s">
        <v>1775</v>
      </c>
      <c r="B80" s="2189"/>
      <c r="C80" s="1624"/>
      <c r="D80" s="1624"/>
      <c r="E80" s="1624"/>
      <c r="F80" s="1624"/>
      <c r="G80" s="1624"/>
      <c r="H80" s="1624"/>
      <c r="I80" s="1624"/>
      <c r="J80" s="1624"/>
      <c r="K80" s="1624"/>
      <c r="L80" s="325"/>
    </row>
    <row r="81" spans="1:12" ht="13.5" thickBot="1" x14ac:dyDescent="0.25">
      <c r="A81" s="2180" t="str">
        <f>"Fund Balances - June 30, "&amp;'AFR20'!E2</f>
        <v>Fund Balances - June 30, 2020</v>
      </c>
      <c r="B81" s="2181"/>
      <c r="C81" s="1644">
        <f>(SUM(C78:C80))</f>
        <v>370629</v>
      </c>
      <c r="D81" s="1644">
        <f>SUM(D78:D80)</f>
        <v>176637</v>
      </c>
      <c r="E81" s="1644">
        <f t="shared" ref="E81:K81" si="10">SUM(E78:E80)</f>
        <v>17389</v>
      </c>
      <c r="F81" s="1644">
        <f t="shared" si="10"/>
        <v>629106</v>
      </c>
      <c r="G81" s="1644">
        <f t="shared" si="10"/>
        <v>148791</v>
      </c>
      <c r="H81" s="1644">
        <f t="shared" si="10"/>
        <v>17427</v>
      </c>
      <c r="I81" s="1644">
        <f t="shared" si="10"/>
        <v>988758</v>
      </c>
      <c r="J81" s="1644">
        <f t="shared" si="10"/>
        <v>250441</v>
      </c>
      <c r="K81" s="1644">
        <f t="shared" si="10"/>
        <v>238677</v>
      </c>
      <c r="L81" s="325"/>
    </row>
    <row r="82" spans="1:12" ht="0.75" customHeight="1" thickTop="1" thickBot="1" x14ac:dyDescent="0.25">
      <c r="A82" s="459" t="s">
        <v>340</v>
      </c>
      <c r="B82" s="460"/>
      <c r="C82" s="461">
        <f>(C81-C79)</f>
        <v>81192</v>
      </c>
      <c r="D82" s="461">
        <f t="shared" ref="D82:K82" si="11">(D81-D79)</f>
        <v>124132</v>
      </c>
      <c r="E82" s="461">
        <f t="shared" si="11"/>
        <v>-15208</v>
      </c>
      <c r="F82" s="461">
        <f t="shared" si="11"/>
        <v>92800</v>
      </c>
      <c r="G82" s="461">
        <f t="shared" si="11"/>
        <v>27415</v>
      </c>
      <c r="H82" s="461">
        <f t="shared" si="11"/>
        <v>7082</v>
      </c>
      <c r="I82" s="461">
        <f t="shared" si="11"/>
        <v>63780</v>
      </c>
      <c r="J82" s="461">
        <f t="shared" si="11"/>
        <v>-58936</v>
      </c>
      <c r="K82" s="461">
        <f t="shared" si="11"/>
        <v>39582</v>
      </c>
    </row>
    <row r="83" spans="1:12" ht="14.25" hidden="1" thickTop="1" thickBot="1" x14ac:dyDescent="0.25">
      <c r="A83" s="462" t="s">
        <v>341</v>
      </c>
      <c r="B83" s="428"/>
      <c r="C83" s="463">
        <f>C82/C81</f>
        <v>0.21906542661259643</v>
      </c>
      <c r="D83" s="463">
        <f t="shared" ref="D83:K83" si="12">D82/D81</f>
        <v>0.70275197155748792</v>
      </c>
      <c r="E83" s="463">
        <f t="shared" si="12"/>
        <v>-0.87457588130427277</v>
      </c>
      <c r="F83" s="463">
        <f t="shared" si="12"/>
        <v>0.14751091231048505</v>
      </c>
      <c r="G83" s="463">
        <f t="shared" si="12"/>
        <v>0.18425173565605446</v>
      </c>
      <c r="H83" s="463">
        <f t="shared" si="12"/>
        <v>0.4063809031961898</v>
      </c>
      <c r="I83" s="463">
        <f t="shared" si="12"/>
        <v>6.450516708840788E-2</v>
      </c>
      <c r="J83" s="463">
        <f t="shared" si="12"/>
        <v>-0.23532887985593412</v>
      </c>
      <c r="K83" s="463">
        <f t="shared" si="12"/>
        <v>0.16583918852675372</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Header>&amp;CBASIC FINANCIAL STATEMENT
STATEMENT OF REVENUES RECEIVED/REVENUES, EXPENDITURES/DISBURSED/EXPENDITURES, OTHER 
SOURCES (USES) AND CHANGES IN FUND BALANCE
ALL FUNDS - FOR THE YEAR ENDING JUNE 30, 2020</firstHead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selection activeCell="C6" sqref="C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4" t="s">
        <v>1782</v>
      </c>
      <c r="B1" s="416"/>
      <c r="C1" s="417" t="s">
        <v>422</v>
      </c>
      <c r="D1" s="417" t="s">
        <v>423</v>
      </c>
      <c r="E1" s="417" t="s">
        <v>424</v>
      </c>
      <c r="F1" s="417" t="s">
        <v>425</v>
      </c>
      <c r="G1" s="417" t="s">
        <v>426</v>
      </c>
      <c r="H1" s="417" t="s">
        <v>427</v>
      </c>
      <c r="I1" s="417" t="s">
        <v>428</v>
      </c>
      <c r="J1" s="417" t="s">
        <v>429</v>
      </c>
      <c r="K1" s="417" t="s">
        <v>751</v>
      </c>
    </row>
    <row r="2" spans="1:12" ht="36" x14ac:dyDescent="0.2">
      <c r="A2" s="2185"/>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1172932</v>
      </c>
      <c r="D5" s="1636">
        <v>318730</v>
      </c>
      <c r="E5" s="1623">
        <v>542608</v>
      </c>
      <c r="F5" s="1681">
        <v>152995</v>
      </c>
      <c r="G5" s="1623">
        <v>79195</v>
      </c>
      <c r="H5" s="1623"/>
      <c r="I5" s="1623">
        <v>63746</v>
      </c>
      <c r="J5" s="1624">
        <v>426663</v>
      </c>
      <c r="K5" s="1623">
        <v>63746</v>
      </c>
    </row>
    <row r="6" spans="1:12" ht="15" x14ac:dyDescent="0.2">
      <c r="A6" s="427" t="s">
        <v>1646</v>
      </c>
      <c r="B6" s="429">
        <v>1130</v>
      </c>
      <c r="C6" s="1623">
        <v>63746</v>
      </c>
      <c r="D6" s="1623"/>
      <c r="E6" s="1630"/>
      <c r="F6" s="1630"/>
      <c r="G6" s="1625"/>
      <c r="H6" s="1625"/>
      <c r="I6" s="1625"/>
      <c r="J6" s="1625"/>
      <c r="K6" s="1625"/>
    </row>
    <row r="7" spans="1:12" x14ac:dyDescent="0.2">
      <c r="A7" s="427" t="s">
        <v>110</v>
      </c>
      <c r="B7" s="471">
        <v>1140</v>
      </c>
      <c r="C7" s="1623">
        <v>25503</v>
      </c>
      <c r="D7" s="1623"/>
      <c r="E7" s="1625"/>
      <c r="F7" s="1624"/>
      <c r="G7" s="1624"/>
      <c r="H7" s="1624"/>
      <c r="I7" s="1625"/>
      <c r="J7" s="1625"/>
      <c r="K7" s="1625"/>
    </row>
    <row r="8" spans="1:12" x14ac:dyDescent="0.2">
      <c r="A8" s="427" t="s">
        <v>410</v>
      </c>
      <c r="B8" s="429">
        <v>1150</v>
      </c>
      <c r="C8" s="1630"/>
      <c r="D8" s="1630"/>
      <c r="E8" s="1632"/>
      <c r="F8" s="1632"/>
      <c r="G8" s="1636">
        <v>79195</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v>7082</v>
      </c>
      <c r="I11" s="1623"/>
      <c r="J11" s="1624"/>
      <c r="K11" s="1623"/>
      <c r="L11" s="473"/>
    </row>
    <row r="12" spans="1:12" ht="12.75" customHeight="1" thickBot="1" x14ac:dyDescent="0.25">
      <c r="A12" s="1453" t="s">
        <v>29</v>
      </c>
      <c r="B12" s="1454"/>
      <c r="C12" s="1683">
        <f t="shared" ref="C12:K12" si="0">SUM(C5:C11)</f>
        <v>1262181</v>
      </c>
      <c r="D12" s="1683">
        <f t="shared" si="0"/>
        <v>318730</v>
      </c>
      <c r="E12" s="1683">
        <f t="shared" si="0"/>
        <v>542608</v>
      </c>
      <c r="F12" s="1683">
        <f t="shared" si="0"/>
        <v>152995</v>
      </c>
      <c r="G12" s="1683">
        <f t="shared" si="0"/>
        <v>158390</v>
      </c>
      <c r="H12" s="1683">
        <f t="shared" si="0"/>
        <v>7082</v>
      </c>
      <c r="I12" s="1683">
        <f t="shared" si="0"/>
        <v>63746</v>
      </c>
      <c r="J12" s="1683">
        <f t="shared" si="0"/>
        <v>426663</v>
      </c>
      <c r="K12" s="1644">
        <f t="shared" si="0"/>
        <v>63746</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666</v>
      </c>
      <c r="D14" s="1623">
        <v>168</v>
      </c>
      <c r="E14" s="1623">
        <v>99</v>
      </c>
      <c r="F14" s="1623">
        <v>81</v>
      </c>
      <c r="G14" s="1623">
        <v>75</v>
      </c>
      <c r="H14" s="1623"/>
      <c r="I14" s="1623">
        <v>34</v>
      </c>
      <c r="J14" s="1624">
        <v>127</v>
      </c>
      <c r="K14" s="1623">
        <v>34</v>
      </c>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85655</v>
      </c>
      <c r="D16" s="1623"/>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86321</v>
      </c>
      <c r="D18" s="1685">
        <f t="shared" ref="D18:K18" si="1">SUM(D14:D17)</f>
        <v>168</v>
      </c>
      <c r="E18" s="1685">
        <f t="shared" si="1"/>
        <v>99</v>
      </c>
      <c r="F18" s="1685">
        <f t="shared" si="1"/>
        <v>81</v>
      </c>
      <c r="G18" s="1685">
        <f t="shared" si="1"/>
        <v>75</v>
      </c>
      <c r="H18" s="1685">
        <f t="shared" si="1"/>
        <v>0</v>
      </c>
      <c r="I18" s="1685">
        <f t="shared" si="1"/>
        <v>34</v>
      </c>
      <c r="J18" s="1685">
        <f t="shared" si="1"/>
        <v>127</v>
      </c>
      <c r="K18" s="1686">
        <f t="shared" si="1"/>
        <v>34</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v>142755</v>
      </c>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142755</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11320</v>
      </c>
      <c r="D65" s="1623"/>
      <c r="E65" s="1623"/>
      <c r="F65" s="1624"/>
      <c r="G65" s="1623"/>
      <c r="H65" s="1623"/>
      <c r="I65" s="1623"/>
      <c r="J65" s="1624"/>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11320</v>
      </c>
      <c r="D67" s="1644">
        <f t="shared" ref="D67:K67" si="2">SUM(D65:D66)</f>
        <v>0</v>
      </c>
      <c r="E67" s="1644">
        <f t="shared" si="2"/>
        <v>0</v>
      </c>
      <c r="F67" s="1644">
        <f t="shared" si="2"/>
        <v>0</v>
      </c>
      <c r="G67" s="1644">
        <f t="shared" si="2"/>
        <v>0</v>
      </c>
      <c r="H67" s="1644">
        <f t="shared" si="2"/>
        <v>0</v>
      </c>
      <c r="I67" s="1644">
        <f t="shared" si="2"/>
        <v>0</v>
      </c>
      <c r="J67" s="1644">
        <f t="shared" si="2"/>
        <v>0</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69710</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69710</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3361</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v>9285</v>
      </c>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12646</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75237</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75237</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v>79209</v>
      </c>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14419</v>
      </c>
      <c r="D107" s="1623"/>
      <c r="E107" s="1623"/>
      <c r="F107" s="1623"/>
      <c r="G107" s="1623"/>
      <c r="H107" s="1623"/>
      <c r="I107" s="1623"/>
      <c r="J107" s="1624"/>
      <c r="K107" s="1623"/>
    </row>
    <row r="108" spans="1:12" ht="12.75" customHeight="1" thickBot="1" x14ac:dyDescent="0.25">
      <c r="A108" s="1455" t="s">
        <v>484</v>
      </c>
      <c r="B108" s="1457"/>
      <c r="C108" s="1683">
        <f>SUM(C95:C107)</f>
        <v>93628</v>
      </c>
      <c r="D108" s="1683">
        <f t="shared" ref="D108:K108" si="3">SUM(D95:D107)</f>
        <v>0</v>
      </c>
      <c r="E108" s="1683">
        <f t="shared" si="3"/>
        <v>0</v>
      </c>
      <c r="F108" s="1683">
        <f t="shared" si="3"/>
        <v>0</v>
      </c>
      <c r="G108" s="1683">
        <f t="shared" si="3"/>
        <v>0</v>
      </c>
      <c r="H108" s="1683">
        <f t="shared" si="3"/>
        <v>0</v>
      </c>
      <c r="I108" s="1683">
        <f t="shared" si="3"/>
        <v>0</v>
      </c>
      <c r="J108" s="1683">
        <f t="shared" si="3"/>
        <v>0</v>
      </c>
      <c r="K108" s="1644">
        <f t="shared" si="3"/>
        <v>0</v>
      </c>
    </row>
    <row r="109" spans="1:12" ht="14.25" thickTop="1" thickBot="1" x14ac:dyDescent="0.25">
      <c r="A109" s="1458" t="s">
        <v>246</v>
      </c>
      <c r="B109" s="1459" t="s">
        <v>566</v>
      </c>
      <c r="C109" s="1691">
        <f t="shared" ref="C109:K109" si="4">SUM(C12,C18,C40,C63,C67,C75,C82,C93,C108,)</f>
        <v>1611043</v>
      </c>
      <c r="D109" s="1691">
        <f t="shared" si="4"/>
        <v>318898</v>
      </c>
      <c r="E109" s="1691">
        <f t="shared" si="4"/>
        <v>542707</v>
      </c>
      <c r="F109" s="1691">
        <f t="shared" si="4"/>
        <v>295831</v>
      </c>
      <c r="G109" s="1691">
        <f t="shared" si="4"/>
        <v>158465</v>
      </c>
      <c r="H109" s="1691">
        <f t="shared" si="4"/>
        <v>7082</v>
      </c>
      <c r="I109" s="1691">
        <f t="shared" si="4"/>
        <v>63780</v>
      </c>
      <c r="J109" s="1691">
        <f t="shared" si="4"/>
        <v>426790</v>
      </c>
      <c r="K109" s="1679">
        <f t="shared" si="4"/>
        <v>63780</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1183856</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1183856</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0</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1258</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20134</v>
      </c>
      <c r="G152" s="1624"/>
      <c r="H152" s="1625"/>
      <c r="I152" s="1625"/>
      <c r="J152" s="1625"/>
      <c r="K152" s="1625"/>
    </row>
    <row r="153" spans="1:11" ht="12.75" customHeight="1" x14ac:dyDescent="0.2">
      <c r="A153" s="427" t="s">
        <v>1050</v>
      </c>
      <c r="B153" s="478">
        <v>3510</v>
      </c>
      <c r="C153" s="1682"/>
      <c r="D153" s="1623"/>
      <c r="E153" s="1690"/>
      <c r="F153" s="1623">
        <v>28144</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48278</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v>182239</v>
      </c>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750</v>
      </c>
      <c r="D168" s="1705"/>
      <c r="E168" s="1705"/>
      <c r="F168" s="1705"/>
      <c r="G168" s="1706"/>
      <c r="H168" s="1707"/>
      <c r="I168" s="1706"/>
      <c r="J168" s="1706"/>
      <c r="K168" s="1707"/>
    </row>
    <row r="169" spans="1:11" ht="12.75" customHeight="1" thickTop="1" thickBot="1" x14ac:dyDescent="0.25">
      <c r="A169" s="2204" t="s">
        <v>395</v>
      </c>
      <c r="B169" s="2205"/>
      <c r="C169" s="1708">
        <f t="shared" ref="C169:K169" si="6">SUM(C132,C141,C145,C146:C150,C155,C156:C167,C168)</f>
        <v>184247</v>
      </c>
      <c r="D169" s="1708">
        <f t="shared" si="6"/>
        <v>0</v>
      </c>
      <c r="E169" s="1708">
        <f t="shared" si="6"/>
        <v>0</v>
      </c>
      <c r="F169" s="1708">
        <f t="shared" si="6"/>
        <v>48278</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1368103</v>
      </c>
      <c r="D170" s="1691">
        <f t="shared" si="7"/>
        <v>0</v>
      </c>
      <c r="E170" s="1691">
        <f t="shared" si="7"/>
        <v>0</v>
      </c>
      <c r="F170" s="1691">
        <f t="shared" si="7"/>
        <v>48278</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6" t="s">
        <v>1478</v>
      </c>
      <c r="B172" s="2207"/>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0" t="s">
        <v>1649</v>
      </c>
      <c r="B175" s="2211"/>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4" t="s">
        <v>1648</v>
      </c>
      <c r="B176" s="2215"/>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2" t="s">
        <v>780</v>
      </c>
      <c r="B181" s="2213"/>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8" t="s">
        <v>1783</v>
      </c>
      <c r="B182" s="2209"/>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69692</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20229</v>
      </c>
      <c r="D193" s="1625"/>
      <c r="E193" s="1690"/>
      <c r="F193" s="1625"/>
      <c r="G193" s="1714"/>
      <c r="H193" s="1625"/>
      <c r="I193" s="1625"/>
      <c r="J193" s="1625"/>
      <c r="K193" s="1625"/>
    </row>
    <row r="194" spans="1:11" ht="12.75" customHeight="1" x14ac:dyDescent="0.2">
      <c r="A194" s="427" t="s">
        <v>1437</v>
      </c>
      <c r="B194" s="429">
        <v>4225</v>
      </c>
      <c r="C194" s="1682">
        <v>4426</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94347</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87936</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87936</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v>20128</v>
      </c>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20128</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9970</v>
      </c>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46310</v>
      </c>
      <c r="D213" s="1623"/>
      <c r="E213" s="1625"/>
      <c r="F213" s="1623"/>
      <c r="G213" s="1623"/>
      <c r="H213" s="1625"/>
      <c r="I213" s="1625"/>
      <c r="J213" s="1625"/>
      <c r="K213" s="1625"/>
    </row>
    <row r="214" spans="1:11" ht="12.75" customHeight="1" x14ac:dyDescent="0.2">
      <c r="A214" s="427" t="s">
        <v>1047</v>
      </c>
      <c r="B214" s="429">
        <v>4625</v>
      </c>
      <c r="C214" s="1682"/>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56280</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22686</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2636</v>
      </c>
      <c r="D263" s="1701"/>
      <c r="E263" s="1625"/>
      <c r="F263" s="1701"/>
      <c r="G263" s="1701"/>
      <c r="H263" s="1625"/>
      <c r="I263" s="1625"/>
      <c r="J263" s="1625"/>
      <c r="K263" s="1625"/>
    </row>
    <row r="264" spans="1:11" ht="12.75" customHeight="1" thickTop="1" thickBot="1" x14ac:dyDescent="0.25">
      <c r="A264" s="427" t="s">
        <v>374</v>
      </c>
      <c r="B264" s="429">
        <v>4992</v>
      </c>
      <c r="C264" s="1700">
        <v>5459</v>
      </c>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289472</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289472</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3268618</v>
      </c>
      <c r="D268" s="1691">
        <f t="shared" si="12"/>
        <v>318898</v>
      </c>
      <c r="E268" s="1691">
        <f t="shared" si="12"/>
        <v>542707</v>
      </c>
      <c r="F268" s="1691">
        <f t="shared" si="12"/>
        <v>344109</v>
      </c>
      <c r="G268" s="1691">
        <f t="shared" si="12"/>
        <v>158465</v>
      </c>
      <c r="H268" s="1691">
        <f t="shared" si="12"/>
        <v>7082</v>
      </c>
      <c r="I268" s="1691">
        <f t="shared" si="12"/>
        <v>63780</v>
      </c>
      <c r="J268" s="1691">
        <f t="shared" si="12"/>
        <v>426790</v>
      </c>
      <c r="K268" s="1679">
        <f t="shared" si="12"/>
        <v>63780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Header>&amp;CSTATEMENT OF REVENUES RECEIVED/REVENUES
FOR THE YEAR ENDING JUNE 30, 2020</firstHead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selection activeCell="G35" sqref="G35"/>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4"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6"/>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2" t="s">
        <v>294</v>
      </c>
      <c r="B3" s="2223"/>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1301312</v>
      </c>
      <c r="D5" s="1623">
        <v>330498</v>
      </c>
      <c r="E5" s="1623">
        <v>103563</v>
      </c>
      <c r="F5" s="1623">
        <f>37121+34782</f>
        <v>71903</v>
      </c>
      <c r="G5" s="1623">
        <v>12355</v>
      </c>
      <c r="H5" s="1623">
        <f>40+360</f>
        <v>400</v>
      </c>
      <c r="I5" s="1624"/>
      <c r="J5" s="1624"/>
      <c r="K5" s="1722">
        <f>SUM(C5:J5)</f>
        <v>1820031</v>
      </c>
      <c r="L5" s="1623">
        <v>1800307</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v>89367</v>
      </c>
      <c r="D7" s="1624">
        <v>14575</v>
      </c>
      <c r="E7" s="1624">
        <v>3446</v>
      </c>
      <c r="F7" s="1624">
        <v>8252</v>
      </c>
      <c r="G7" s="1624">
        <v>6537</v>
      </c>
      <c r="H7" s="1624"/>
      <c r="I7" s="1624"/>
      <c r="J7" s="1624"/>
      <c r="K7" s="1722">
        <f t="shared" ref="K7:K32" si="0">SUM(C7:J7)</f>
        <v>122177</v>
      </c>
      <c r="L7" s="1623">
        <v>119078</v>
      </c>
    </row>
    <row r="8" spans="1:14" x14ac:dyDescent="0.2">
      <c r="A8" s="1319" t="s">
        <v>163</v>
      </c>
      <c r="B8" s="503">
        <v>1200</v>
      </c>
      <c r="C8" s="1623">
        <v>160657</v>
      </c>
      <c r="D8" s="1623">
        <v>73748</v>
      </c>
      <c r="E8" s="1623">
        <v>46552</v>
      </c>
      <c r="F8" s="1623">
        <v>435</v>
      </c>
      <c r="G8" s="1623"/>
      <c r="H8" s="1623"/>
      <c r="I8" s="1624"/>
      <c r="J8" s="1624"/>
      <c r="K8" s="1722">
        <f t="shared" si="0"/>
        <v>281392</v>
      </c>
      <c r="L8" s="1623">
        <v>280364</v>
      </c>
    </row>
    <row r="9" spans="1:14" x14ac:dyDescent="0.2">
      <c r="A9" s="1319" t="s">
        <v>716</v>
      </c>
      <c r="B9" s="503" t="s">
        <v>962</v>
      </c>
      <c r="C9" s="1624"/>
      <c r="D9" s="1624"/>
      <c r="E9" s="1624"/>
      <c r="F9" s="1624"/>
      <c r="G9" s="1624"/>
      <c r="H9" s="1624"/>
      <c r="I9" s="1624"/>
      <c r="J9" s="1624"/>
      <c r="K9" s="1722">
        <f t="shared" si="0"/>
        <v>0</v>
      </c>
      <c r="L9" s="1623">
        <v>0</v>
      </c>
    </row>
    <row r="10" spans="1:14" x14ac:dyDescent="0.2">
      <c r="A10" s="1319" t="s">
        <v>717</v>
      </c>
      <c r="B10" s="503">
        <v>1250</v>
      </c>
      <c r="C10" s="1623">
        <v>84092</v>
      </c>
      <c r="D10" s="1623">
        <v>10118</v>
      </c>
      <c r="E10" s="1623">
        <v>7497</v>
      </c>
      <c r="F10" s="1623">
        <v>9390</v>
      </c>
      <c r="G10" s="1623">
        <v>570</v>
      </c>
      <c r="H10" s="1623"/>
      <c r="I10" s="1624"/>
      <c r="J10" s="1624"/>
      <c r="K10" s="1722">
        <f t="shared" si="0"/>
        <v>111667</v>
      </c>
      <c r="L10" s="1623">
        <v>110925</v>
      </c>
    </row>
    <row r="11" spans="1:14" x14ac:dyDescent="0.2">
      <c r="A11" s="1319" t="s">
        <v>1122</v>
      </c>
      <c r="B11" s="503" t="s">
        <v>160</v>
      </c>
      <c r="C11" s="1624"/>
      <c r="D11" s="1624"/>
      <c r="E11" s="1624"/>
      <c r="F11" s="1624"/>
      <c r="G11" s="1624"/>
      <c r="H11" s="1624"/>
      <c r="I11" s="1624"/>
      <c r="J11" s="1624"/>
      <c r="K11" s="1722">
        <f t="shared" si="0"/>
        <v>0</v>
      </c>
      <c r="L11" s="1623">
        <v>0</v>
      </c>
    </row>
    <row r="12" spans="1:14" x14ac:dyDescent="0.2">
      <c r="A12" s="1319" t="s">
        <v>956</v>
      </c>
      <c r="B12" s="503">
        <v>1300</v>
      </c>
      <c r="C12" s="1623"/>
      <c r="D12" s="1623"/>
      <c r="E12" s="1623"/>
      <c r="F12" s="1623"/>
      <c r="G12" s="1623"/>
      <c r="H12" s="1623"/>
      <c r="I12" s="1624"/>
      <c r="J12" s="1624"/>
      <c r="K12" s="1722">
        <f t="shared" si="0"/>
        <v>0</v>
      </c>
      <c r="L12" s="1623">
        <v>0</v>
      </c>
    </row>
    <row r="13" spans="1:14" x14ac:dyDescent="0.2">
      <c r="A13" s="1319" t="s">
        <v>718</v>
      </c>
      <c r="B13" s="503">
        <v>1400</v>
      </c>
      <c r="C13" s="1623"/>
      <c r="D13" s="1623"/>
      <c r="E13" s="1623"/>
      <c r="F13" s="1623"/>
      <c r="G13" s="1623"/>
      <c r="H13" s="1623"/>
      <c r="I13" s="1624"/>
      <c r="J13" s="1624"/>
      <c r="K13" s="1722">
        <f t="shared" si="0"/>
        <v>0</v>
      </c>
      <c r="L13" s="1623">
        <v>0</v>
      </c>
    </row>
    <row r="14" spans="1:14" x14ac:dyDescent="0.2">
      <c r="A14" s="1319" t="s">
        <v>957</v>
      </c>
      <c r="B14" s="503">
        <v>1500</v>
      </c>
      <c r="C14" s="1623">
        <v>111210</v>
      </c>
      <c r="D14" s="1623">
        <v>3093</v>
      </c>
      <c r="E14" s="1623">
        <v>8074</v>
      </c>
      <c r="F14" s="1623">
        <v>8913</v>
      </c>
      <c r="G14" s="1623">
        <v>11110</v>
      </c>
      <c r="H14" s="1623">
        <f>2309+225</f>
        <v>2534</v>
      </c>
      <c r="I14" s="1624"/>
      <c r="J14" s="1624"/>
      <c r="K14" s="1722">
        <f t="shared" si="0"/>
        <v>144934</v>
      </c>
      <c r="L14" s="1623">
        <v>227671</v>
      </c>
    </row>
    <row r="15" spans="1:14" x14ac:dyDescent="0.2">
      <c r="A15" s="1319" t="s">
        <v>958</v>
      </c>
      <c r="B15" s="503">
        <v>1600</v>
      </c>
      <c r="C15" s="1623"/>
      <c r="D15" s="1623"/>
      <c r="E15" s="1623"/>
      <c r="F15" s="1623"/>
      <c r="G15" s="1623"/>
      <c r="H15" s="1623"/>
      <c r="I15" s="1624"/>
      <c r="J15" s="1624"/>
      <c r="K15" s="1722">
        <f t="shared" si="0"/>
        <v>0</v>
      </c>
      <c r="L15" s="1623">
        <v>0</v>
      </c>
    </row>
    <row r="16" spans="1:14" x14ac:dyDescent="0.2">
      <c r="A16" s="1319" t="s">
        <v>980</v>
      </c>
      <c r="B16" s="503" t="s">
        <v>421</v>
      </c>
      <c r="C16" s="1623"/>
      <c r="D16" s="1623"/>
      <c r="E16" s="1623"/>
      <c r="F16" s="1623"/>
      <c r="G16" s="1623"/>
      <c r="H16" s="1623"/>
      <c r="I16" s="1624"/>
      <c r="J16" s="1624"/>
      <c r="K16" s="1722">
        <f t="shared" si="0"/>
        <v>0</v>
      </c>
      <c r="L16" s="1623">
        <v>0</v>
      </c>
    </row>
    <row r="17" spans="1:12" x14ac:dyDescent="0.2">
      <c r="A17" s="1319" t="s">
        <v>719</v>
      </c>
      <c r="B17" s="503" t="s">
        <v>161</v>
      </c>
      <c r="C17" s="1624"/>
      <c r="D17" s="1624"/>
      <c r="E17" s="1624"/>
      <c r="F17" s="1624"/>
      <c r="G17" s="1624"/>
      <c r="H17" s="1624"/>
      <c r="I17" s="1624"/>
      <c r="J17" s="1624"/>
      <c r="K17" s="1722">
        <f t="shared" si="0"/>
        <v>0</v>
      </c>
      <c r="L17" s="1623">
        <v>0</v>
      </c>
    </row>
    <row r="18" spans="1:12" x14ac:dyDescent="0.2">
      <c r="A18" s="1319" t="s">
        <v>1080</v>
      </c>
      <c r="B18" s="503">
        <v>1800</v>
      </c>
      <c r="C18" s="1623">
        <v>18877</v>
      </c>
      <c r="D18" s="1623">
        <v>57</v>
      </c>
      <c r="E18" s="1623"/>
      <c r="F18" s="1623"/>
      <c r="G18" s="1623"/>
      <c r="H18" s="1623"/>
      <c r="I18" s="1624"/>
      <c r="J18" s="1624"/>
      <c r="K18" s="1722">
        <f t="shared" si="0"/>
        <v>18934</v>
      </c>
      <c r="L18" s="1623">
        <v>18934</v>
      </c>
    </row>
    <row r="19" spans="1:12" x14ac:dyDescent="0.2">
      <c r="A19" s="1319" t="s">
        <v>133</v>
      </c>
      <c r="B19" s="503">
        <v>1900</v>
      </c>
      <c r="C19" s="1623"/>
      <c r="D19" s="1623"/>
      <c r="E19" s="1623"/>
      <c r="F19" s="1623"/>
      <c r="G19" s="1623"/>
      <c r="H19" s="1623"/>
      <c r="I19" s="1624"/>
      <c r="J19" s="1624"/>
      <c r="K19" s="1722">
        <f t="shared" si="0"/>
        <v>0</v>
      </c>
      <c r="L19" s="1623">
        <v>0</v>
      </c>
    </row>
    <row r="20" spans="1:12" x14ac:dyDescent="0.2">
      <c r="A20" s="1320" t="s">
        <v>733</v>
      </c>
      <c r="B20" s="494" t="s">
        <v>720</v>
      </c>
      <c r="C20" s="1632"/>
      <c r="D20" s="1632"/>
      <c r="E20" s="1632"/>
      <c r="F20" s="1632"/>
      <c r="G20" s="1632"/>
      <c r="H20" s="1629"/>
      <c r="I20" s="1723"/>
      <c r="J20" s="1630"/>
      <c r="K20" s="1722">
        <f t="shared" si="0"/>
        <v>0</v>
      </c>
      <c r="L20" s="1627">
        <v>0</v>
      </c>
    </row>
    <row r="21" spans="1:12" x14ac:dyDescent="0.2">
      <c r="A21" s="1320" t="s">
        <v>734</v>
      </c>
      <c r="B21" s="494" t="s">
        <v>721</v>
      </c>
      <c r="C21" s="1632"/>
      <c r="D21" s="1632"/>
      <c r="E21" s="1632"/>
      <c r="F21" s="1632"/>
      <c r="G21" s="1632"/>
      <c r="H21" s="1629"/>
      <c r="I21" s="1723"/>
      <c r="J21" s="1632"/>
      <c r="K21" s="1722">
        <f t="shared" si="0"/>
        <v>0</v>
      </c>
      <c r="L21" s="1627">
        <v>0</v>
      </c>
    </row>
    <row r="22" spans="1:12" x14ac:dyDescent="0.2">
      <c r="A22" s="1320" t="s">
        <v>735</v>
      </c>
      <c r="B22" s="494" t="s">
        <v>722</v>
      </c>
      <c r="C22" s="1632"/>
      <c r="D22" s="1632"/>
      <c r="E22" s="1632"/>
      <c r="F22" s="1632"/>
      <c r="G22" s="1632"/>
      <c r="H22" s="1629"/>
      <c r="I22" s="1723"/>
      <c r="J22" s="1632"/>
      <c r="K22" s="1722">
        <f t="shared" si="0"/>
        <v>0</v>
      </c>
      <c r="L22" s="1627">
        <v>0</v>
      </c>
    </row>
    <row r="23" spans="1:12" x14ac:dyDescent="0.2">
      <c r="A23" s="1320" t="s">
        <v>736</v>
      </c>
      <c r="B23" s="494" t="s">
        <v>723</v>
      </c>
      <c r="C23" s="1632"/>
      <c r="D23" s="1632"/>
      <c r="E23" s="1632"/>
      <c r="F23" s="1632"/>
      <c r="G23" s="1632"/>
      <c r="H23" s="1629"/>
      <c r="I23" s="1723"/>
      <c r="J23" s="1632"/>
      <c r="K23" s="1722">
        <f t="shared" si="0"/>
        <v>0</v>
      </c>
      <c r="L23" s="1627">
        <v>0</v>
      </c>
    </row>
    <row r="24" spans="1:12" ht="12.75" customHeight="1" x14ac:dyDescent="0.2">
      <c r="A24" s="1320" t="s">
        <v>737</v>
      </c>
      <c r="B24" s="494" t="s">
        <v>724</v>
      </c>
      <c r="C24" s="1632"/>
      <c r="D24" s="1632"/>
      <c r="E24" s="1632"/>
      <c r="F24" s="1632"/>
      <c r="G24" s="1632"/>
      <c r="H24" s="1629"/>
      <c r="I24" s="1723"/>
      <c r="J24" s="1632"/>
      <c r="K24" s="1722">
        <f t="shared" si="0"/>
        <v>0</v>
      </c>
      <c r="L24" s="1627">
        <v>0</v>
      </c>
    </row>
    <row r="25" spans="1:12" ht="12.75" customHeight="1" x14ac:dyDescent="0.2">
      <c r="A25" s="1320" t="s">
        <v>797</v>
      </c>
      <c r="B25" s="494" t="s">
        <v>725</v>
      </c>
      <c r="C25" s="1632"/>
      <c r="D25" s="1632"/>
      <c r="E25" s="1632"/>
      <c r="F25" s="1632"/>
      <c r="G25" s="1632"/>
      <c r="H25" s="1629"/>
      <c r="I25" s="1723"/>
      <c r="J25" s="1632"/>
      <c r="K25" s="1722">
        <f t="shared" si="0"/>
        <v>0</v>
      </c>
      <c r="L25" s="1627">
        <v>0</v>
      </c>
    </row>
    <row r="26" spans="1:12" x14ac:dyDescent="0.2">
      <c r="A26" s="1320" t="s">
        <v>618</v>
      </c>
      <c r="B26" s="494" t="s">
        <v>726</v>
      </c>
      <c r="C26" s="1632"/>
      <c r="D26" s="1632"/>
      <c r="E26" s="1632"/>
      <c r="F26" s="1632"/>
      <c r="G26" s="1632"/>
      <c r="H26" s="1629"/>
      <c r="I26" s="1723"/>
      <c r="J26" s="1632"/>
      <c r="K26" s="1722">
        <f t="shared" si="0"/>
        <v>0</v>
      </c>
      <c r="L26" s="1627">
        <v>0</v>
      </c>
    </row>
    <row r="27" spans="1:12" x14ac:dyDescent="0.2">
      <c r="A27" s="1320" t="s">
        <v>619</v>
      </c>
      <c r="B27" s="494" t="s">
        <v>727</v>
      </c>
      <c r="C27" s="1632"/>
      <c r="D27" s="1632"/>
      <c r="E27" s="1632"/>
      <c r="F27" s="1632"/>
      <c r="G27" s="1632"/>
      <c r="H27" s="1629"/>
      <c r="I27" s="1723"/>
      <c r="J27" s="1632"/>
      <c r="K27" s="1722">
        <f t="shared" si="0"/>
        <v>0</v>
      </c>
      <c r="L27" s="1627">
        <v>0</v>
      </c>
    </row>
    <row r="28" spans="1:12" x14ac:dyDescent="0.2">
      <c r="A28" s="1320" t="s">
        <v>149</v>
      </c>
      <c r="B28" s="494" t="s">
        <v>728</v>
      </c>
      <c r="C28" s="1632"/>
      <c r="D28" s="1632"/>
      <c r="E28" s="1632"/>
      <c r="F28" s="1632"/>
      <c r="G28" s="1632"/>
      <c r="H28" s="1629"/>
      <c r="I28" s="1723"/>
      <c r="J28" s="1632"/>
      <c r="K28" s="1722">
        <f t="shared" si="0"/>
        <v>0</v>
      </c>
      <c r="L28" s="1627">
        <v>0</v>
      </c>
    </row>
    <row r="29" spans="1:12" x14ac:dyDescent="0.2">
      <c r="A29" s="1320" t="s">
        <v>150</v>
      </c>
      <c r="B29" s="494" t="s">
        <v>729</v>
      </c>
      <c r="C29" s="1632"/>
      <c r="D29" s="1632"/>
      <c r="E29" s="1632"/>
      <c r="F29" s="1632"/>
      <c r="G29" s="1632"/>
      <c r="H29" s="1629"/>
      <c r="I29" s="1723"/>
      <c r="J29" s="1632"/>
      <c r="K29" s="1722">
        <f t="shared" si="0"/>
        <v>0</v>
      </c>
      <c r="L29" s="1627">
        <v>0</v>
      </c>
    </row>
    <row r="30" spans="1:12" x14ac:dyDescent="0.2">
      <c r="A30" s="1320" t="s">
        <v>151</v>
      </c>
      <c r="B30" s="494" t="s">
        <v>730</v>
      </c>
      <c r="C30" s="1632"/>
      <c r="D30" s="1632"/>
      <c r="E30" s="1632"/>
      <c r="F30" s="1632"/>
      <c r="G30" s="1632"/>
      <c r="H30" s="1629"/>
      <c r="I30" s="1723"/>
      <c r="J30" s="1632"/>
      <c r="K30" s="1722">
        <f t="shared" si="0"/>
        <v>0</v>
      </c>
      <c r="L30" s="1627">
        <v>0</v>
      </c>
    </row>
    <row r="31" spans="1:12" x14ac:dyDescent="0.2">
      <c r="A31" s="1320" t="s">
        <v>152</v>
      </c>
      <c r="B31" s="494" t="s">
        <v>731</v>
      </c>
      <c r="C31" s="1632"/>
      <c r="D31" s="1632"/>
      <c r="E31" s="1632"/>
      <c r="F31" s="1632"/>
      <c r="G31" s="1632"/>
      <c r="H31" s="1629"/>
      <c r="I31" s="1723"/>
      <c r="J31" s="1632"/>
      <c r="K31" s="1722">
        <f t="shared" si="0"/>
        <v>0</v>
      </c>
      <c r="L31" s="1627">
        <v>0</v>
      </c>
    </row>
    <row r="32" spans="1:12" x14ac:dyDescent="0.2">
      <c r="A32" s="1321" t="s">
        <v>1121</v>
      </c>
      <c r="B32" s="503" t="s">
        <v>732</v>
      </c>
      <c r="C32" s="1632"/>
      <c r="D32" s="1632"/>
      <c r="E32" s="1632"/>
      <c r="F32" s="1632"/>
      <c r="G32" s="1632"/>
      <c r="H32" s="1629"/>
      <c r="I32" s="1723"/>
      <c r="J32" s="1635"/>
      <c r="K32" s="1722">
        <f t="shared" si="0"/>
        <v>0</v>
      </c>
      <c r="L32" s="1627">
        <v>0</v>
      </c>
    </row>
    <row r="33" spans="1:14" ht="12.75" customHeight="1" thickBot="1" x14ac:dyDescent="0.25">
      <c r="A33" s="1429" t="s">
        <v>1652</v>
      </c>
      <c r="B33" s="1430" t="s">
        <v>566</v>
      </c>
      <c r="C33" s="1724">
        <f>SUM(C5:C32)</f>
        <v>1765515</v>
      </c>
      <c r="D33" s="1724">
        <f t="shared" ref="D33:L33" si="1">SUM(D5:D32)</f>
        <v>432089</v>
      </c>
      <c r="E33" s="1724">
        <f t="shared" si="1"/>
        <v>169132</v>
      </c>
      <c r="F33" s="1724">
        <f t="shared" si="1"/>
        <v>98893</v>
      </c>
      <c r="G33" s="1724">
        <f t="shared" si="1"/>
        <v>30572</v>
      </c>
      <c r="H33" s="1724">
        <f t="shared" si="1"/>
        <v>2934</v>
      </c>
      <c r="I33" s="1724">
        <f t="shared" si="1"/>
        <v>0</v>
      </c>
      <c r="J33" s="1724">
        <f t="shared" si="1"/>
        <v>0</v>
      </c>
      <c r="K33" s="1724">
        <f t="shared" si="1"/>
        <v>2499135</v>
      </c>
      <c r="L33" s="1724">
        <f t="shared" si="1"/>
        <v>2557279</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c r="D36" s="1636"/>
      <c r="E36" s="1636"/>
      <c r="F36" s="1636"/>
      <c r="G36" s="1636"/>
      <c r="H36" s="1636"/>
      <c r="I36" s="1624"/>
      <c r="J36" s="1624"/>
      <c r="K36" s="1722">
        <f t="shared" ref="K36:K41" si="2">SUM(C36:J36)</f>
        <v>0</v>
      </c>
      <c r="L36" s="1623">
        <v>0</v>
      </c>
    </row>
    <row r="37" spans="1:14" x14ac:dyDescent="0.2">
      <c r="A37" s="1319" t="s">
        <v>1083</v>
      </c>
      <c r="B37" s="503">
        <v>2120</v>
      </c>
      <c r="C37" s="1623"/>
      <c r="D37" s="1623"/>
      <c r="E37" s="1623">
        <v>18456</v>
      </c>
      <c r="F37" s="1623"/>
      <c r="G37" s="1623"/>
      <c r="H37" s="1623"/>
      <c r="I37" s="1624"/>
      <c r="J37" s="1624"/>
      <c r="K37" s="1722">
        <f t="shared" si="2"/>
        <v>18456</v>
      </c>
      <c r="L37" s="1623">
        <v>17896</v>
      </c>
    </row>
    <row r="38" spans="1:14" x14ac:dyDescent="0.2">
      <c r="A38" s="1319" t="s">
        <v>196</v>
      </c>
      <c r="B38" s="503">
        <v>2130</v>
      </c>
      <c r="C38" s="1623">
        <v>11706</v>
      </c>
      <c r="D38" s="1623">
        <v>8757</v>
      </c>
      <c r="E38" s="1623">
        <v>467</v>
      </c>
      <c r="F38" s="1623">
        <v>851</v>
      </c>
      <c r="G38" s="1623"/>
      <c r="H38" s="1623">
        <v>130</v>
      </c>
      <c r="I38" s="1624"/>
      <c r="J38" s="1624"/>
      <c r="K38" s="1722">
        <f t="shared" si="2"/>
        <v>21911</v>
      </c>
      <c r="L38" s="1623">
        <v>21097</v>
      </c>
    </row>
    <row r="39" spans="1:14" x14ac:dyDescent="0.2">
      <c r="A39" s="1319" t="s">
        <v>197</v>
      </c>
      <c r="B39" s="503">
        <v>2140</v>
      </c>
      <c r="C39" s="1623"/>
      <c r="D39" s="1623"/>
      <c r="E39" s="1623"/>
      <c r="F39" s="1623"/>
      <c r="G39" s="1623"/>
      <c r="H39" s="1623"/>
      <c r="I39" s="1624"/>
      <c r="J39" s="1624"/>
      <c r="K39" s="1722">
        <f t="shared" si="2"/>
        <v>0</v>
      </c>
      <c r="L39" s="1623">
        <v>0</v>
      </c>
    </row>
    <row r="40" spans="1:14" x14ac:dyDescent="0.2">
      <c r="A40" s="1319" t="s">
        <v>198</v>
      </c>
      <c r="B40" s="503">
        <v>2150</v>
      </c>
      <c r="C40" s="1623">
        <v>57429</v>
      </c>
      <c r="D40" s="1623">
        <v>9181</v>
      </c>
      <c r="E40" s="1623"/>
      <c r="F40" s="1623"/>
      <c r="G40" s="1623"/>
      <c r="H40" s="1623"/>
      <c r="I40" s="1624"/>
      <c r="J40" s="1624"/>
      <c r="K40" s="1722">
        <f t="shared" si="2"/>
        <v>66610</v>
      </c>
      <c r="L40" s="1623">
        <v>66496</v>
      </c>
    </row>
    <row r="41" spans="1:14" x14ac:dyDescent="0.2">
      <c r="A41" s="1319" t="s">
        <v>1653</v>
      </c>
      <c r="B41" s="503">
        <v>2190</v>
      </c>
      <c r="C41" s="1623"/>
      <c r="D41" s="1623"/>
      <c r="E41" s="1623"/>
      <c r="F41" s="1623"/>
      <c r="G41" s="1623"/>
      <c r="H41" s="1623"/>
      <c r="I41" s="1624"/>
      <c r="J41" s="1624"/>
      <c r="K41" s="1722">
        <f t="shared" si="2"/>
        <v>0</v>
      </c>
      <c r="L41" s="1623">
        <v>0</v>
      </c>
    </row>
    <row r="42" spans="1:14" ht="12.75" customHeight="1" thickBot="1" x14ac:dyDescent="0.25">
      <c r="A42" s="1429" t="s">
        <v>556</v>
      </c>
      <c r="B42" s="1430" t="s">
        <v>711</v>
      </c>
      <c r="C42" s="1724">
        <f>SUM(C36:C41)</f>
        <v>69135</v>
      </c>
      <c r="D42" s="1724">
        <f t="shared" ref="D42:L42" si="3">SUM(D36:D41)</f>
        <v>17938</v>
      </c>
      <c r="E42" s="1724">
        <f t="shared" si="3"/>
        <v>18923</v>
      </c>
      <c r="F42" s="1724">
        <f t="shared" si="3"/>
        <v>851</v>
      </c>
      <c r="G42" s="1724">
        <f t="shared" si="3"/>
        <v>0</v>
      </c>
      <c r="H42" s="1724">
        <f t="shared" si="3"/>
        <v>130</v>
      </c>
      <c r="I42" s="1724">
        <f t="shared" si="3"/>
        <v>0</v>
      </c>
      <c r="J42" s="1724">
        <f t="shared" si="3"/>
        <v>0</v>
      </c>
      <c r="K42" s="1724">
        <f t="shared" si="3"/>
        <v>106977</v>
      </c>
      <c r="L42" s="1724">
        <f t="shared" si="3"/>
        <v>105489</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c r="D44" s="1636"/>
      <c r="E44" s="1636"/>
      <c r="F44" s="1636">
        <v>149</v>
      </c>
      <c r="G44" s="1636"/>
      <c r="H44" s="1636">
        <v>6066</v>
      </c>
      <c r="I44" s="1624"/>
      <c r="J44" s="1624"/>
      <c r="K44" s="1728">
        <f>SUM(C44:J44)</f>
        <v>6215</v>
      </c>
      <c r="L44" s="1636">
        <v>6216</v>
      </c>
    </row>
    <row r="45" spans="1:14" x14ac:dyDescent="0.2">
      <c r="A45" s="1319" t="s">
        <v>810</v>
      </c>
      <c r="B45" s="503">
        <v>2220</v>
      </c>
      <c r="C45" s="1623">
        <v>24205</v>
      </c>
      <c r="D45" s="1623">
        <v>8757</v>
      </c>
      <c r="E45" s="1623">
        <v>379</v>
      </c>
      <c r="F45" s="1623">
        <v>2403</v>
      </c>
      <c r="G45" s="1623"/>
      <c r="H45" s="1623"/>
      <c r="I45" s="1624"/>
      <c r="J45" s="1624"/>
      <c r="K45" s="1728">
        <f>SUM(C45:J45)</f>
        <v>35744</v>
      </c>
      <c r="L45" s="1623">
        <v>35586</v>
      </c>
    </row>
    <row r="46" spans="1:14" x14ac:dyDescent="0.2">
      <c r="A46" s="1319" t="s">
        <v>811</v>
      </c>
      <c r="B46" s="503">
        <v>2230</v>
      </c>
      <c r="C46" s="1623"/>
      <c r="D46" s="1623"/>
      <c r="E46" s="1623"/>
      <c r="F46" s="1623"/>
      <c r="G46" s="1623"/>
      <c r="H46" s="1623"/>
      <c r="I46" s="1624"/>
      <c r="J46" s="1624"/>
      <c r="K46" s="1728">
        <f>SUM(C46:J46)</f>
        <v>0</v>
      </c>
      <c r="L46" s="1623">
        <v>0</v>
      </c>
    </row>
    <row r="47" spans="1:14" ht="12.75" customHeight="1" thickBot="1" x14ac:dyDescent="0.25">
      <c r="A47" s="1429" t="s">
        <v>557</v>
      </c>
      <c r="B47" s="1430" t="s">
        <v>32</v>
      </c>
      <c r="C47" s="1724">
        <f>SUM(C44:C46)</f>
        <v>24205</v>
      </c>
      <c r="D47" s="1724">
        <f t="shared" ref="D47:K47" si="4">SUM(D44:D46)</f>
        <v>8757</v>
      </c>
      <c r="E47" s="1724">
        <f t="shared" si="4"/>
        <v>379</v>
      </c>
      <c r="F47" s="1724">
        <f t="shared" si="4"/>
        <v>2552</v>
      </c>
      <c r="G47" s="1724">
        <f t="shared" si="4"/>
        <v>0</v>
      </c>
      <c r="H47" s="1724">
        <f t="shared" si="4"/>
        <v>6066</v>
      </c>
      <c r="I47" s="1724">
        <f t="shared" si="4"/>
        <v>0</v>
      </c>
      <c r="J47" s="1724">
        <f t="shared" si="4"/>
        <v>0</v>
      </c>
      <c r="K47" s="1724">
        <f t="shared" si="4"/>
        <v>41959</v>
      </c>
      <c r="L47" s="1724">
        <f>SUM(L44:L46)</f>
        <v>41802</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2233</v>
      </c>
      <c r="D49" s="1636"/>
      <c r="E49" s="1636">
        <v>13845</v>
      </c>
      <c r="F49" s="1636">
        <v>2870</v>
      </c>
      <c r="G49" s="1636"/>
      <c r="H49" s="1636">
        <v>4567</v>
      </c>
      <c r="I49" s="1624"/>
      <c r="J49" s="1624"/>
      <c r="K49" s="1728">
        <f>SUM(C49:J49)</f>
        <v>23515</v>
      </c>
      <c r="L49" s="1636">
        <v>22352</v>
      </c>
    </row>
    <row r="50" spans="1:14" x14ac:dyDescent="0.2">
      <c r="A50" s="1319" t="s">
        <v>813</v>
      </c>
      <c r="B50" s="503">
        <v>2320</v>
      </c>
      <c r="C50" s="1623">
        <v>47586</v>
      </c>
      <c r="D50" s="1623">
        <v>8757</v>
      </c>
      <c r="E50" s="1623">
        <v>1211</v>
      </c>
      <c r="F50" s="1623">
        <v>2259</v>
      </c>
      <c r="G50" s="1623"/>
      <c r="H50" s="1623"/>
      <c r="I50" s="1624"/>
      <c r="J50" s="1624"/>
      <c r="K50" s="1728">
        <f>SUM(C50:J50)</f>
        <v>59813</v>
      </c>
      <c r="L50" s="1623">
        <v>54620</v>
      </c>
    </row>
    <row r="51" spans="1:14" x14ac:dyDescent="0.2">
      <c r="A51" s="1319" t="s">
        <v>42</v>
      </c>
      <c r="B51" s="503">
        <v>2330</v>
      </c>
      <c r="C51" s="1623"/>
      <c r="D51" s="1623"/>
      <c r="E51" s="1623"/>
      <c r="F51" s="1623"/>
      <c r="G51" s="1623"/>
      <c r="H51" s="1623"/>
      <c r="I51" s="1624"/>
      <c r="J51" s="1624"/>
      <c r="K51" s="1728">
        <f>SUM(C51:J51)</f>
        <v>0</v>
      </c>
      <c r="L51" s="1623">
        <v>0</v>
      </c>
    </row>
    <row r="52" spans="1:14" ht="22.5" x14ac:dyDescent="0.2">
      <c r="A52" s="1320" t="s">
        <v>295</v>
      </c>
      <c r="B52" s="511" t="s">
        <v>363</v>
      </c>
      <c r="C52" s="1629"/>
      <c r="D52" s="1629"/>
      <c r="E52" s="1629"/>
      <c r="F52" s="1629"/>
      <c r="G52" s="1629"/>
      <c r="H52" s="1629"/>
      <c r="I52" s="1629"/>
      <c r="J52" s="1629"/>
      <c r="K52" s="1728">
        <f>SUM(C52:J52)</f>
        <v>0</v>
      </c>
      <c r="L52" s="1629">
        <v>0</v>
      </c>
    </row>
    <row r="53" spans="1:14" ht="12.75" customHeight="1" thickBot="1" x14ac:dyDescent="0.25">
      <c r="A53" s="1429" t="s">
        <v>712</v>
      </c>
      <c r="B53" s="1430" t="s">
        <v>33</v>
      </c>
      <c r="C53" s="1724">
        <f>SUM(C49:C52)</f>
        <v>49819</v>
      </c>
      <c r="D53" s="1724">
        <f t="shared" ref="D53:L53" si="5">SUM(D49:D52)</f>
        <v>8757</v>
      </c>
      <c r="E53" s="1724">
        <f t="shared" si="5"/>
        <v>15056</v>
      </c>
      <c r="F53" s="1724">
        <f t="shared" si="5"/>
        <v>5129</v>
      </c>
      <c r="G53" s="1724">
        <f t="shared" si="5"/>
        <v>0</v>
      </c>
      <c r="H53" s="1724">
        <f t="shared" si="5"/>
        <v>4567</v>
      </c>
      <c r="I53" s="1724">
        <f t="shared" si="5"/>
        <v>0</v>
      </c>
      <c r="J53" s="1724">
        <f t="shared" si="5"/>
        <v>0</v>
      </c>
      <c r="K53" s="1724">
        <f t="shared" si="5"/>
        <v>83328</v>
      </c>
      <c r="L53" s="1724">
        <f t="shared" si="5"/>
        <v>76972</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143157</v>
      </c>
      <c r="D55" s="1636">
        <v>36348</v>
      </c>
      <c r="E55" s="1636">
        <v>2031</v>
      </c>
      <c r="F55" s="1636">
        <v>908</v>
      </c>
      <c r="G55" s="1636"/>
      <c r="H55" s="1636">
        <v>829</v>
      </c>
      <c r="I55" s="1624"/>
      <c r="J55" s="1624"/>
      <c r="K55" s="1728">
        <f>SUM(C55:J55)</f>
        <v>183273</v>
      </c>
      <c r="L55" s="1636">
        <v>181242</v>
      </c>
    </row>
    <row r="56" spans="1:14" ht="12.75" customHeight="1" x14ac:dyDescent="0.2">
      <c r="A56" s="1323" t="s">
        <v>373</v>
      </c>
      <c r="B56" s="512">
        <v>2490</v>
      </c>
      <c r="C56" s="1623"/>
      <c r="D56" s="1623"/>
      <c r="E56" s="1623"/>
      <c r="F56" s="1623"/>
      <c r="G56" s="1623"/>
      <c r="H56" s="1623"/>
      <c r="I56" s="1624"/>
      <c r="J56" s="1624"/>
      <c r="K56" s="1728">
        <f>SUM(C56:J56)</f>
        <v>0</v>
      </c>
      <c r="L56" s="1623">
        <v>0</v>
      </c>
    </row>
    <row r="57" spans="1:14" s="321" customFormat="1" ht="12.75" customHeight="1" thickBot="1" x14ac:dyDescent="0.25">
      <c r="A57" s="1429" t="s">
        <v>261</v>
      </c>
      <c r="B57" s="1431" t="s">
        <v>34</v>
      </c>
      <c r="C57" s="1729">
        <f>SUM(C55:C56)</f>
        <v>143157</v>
      </c>
      <c r="D57" s="1729">
        <f t="shared" ref="D57:K57" si="6">SUM(D55:D56)</f>
        <v>36348</v>
      </c>
      <c r="E57" s="1729">
        <f t="shared" si="6"/>
        <v>2031</v>
      </c>
      <c r="F57" s="1729">
        <f t="shared" si="6"/>
        <v>908</v>
      </c>
      <c r="G57" s="1729">
        <f t="shared" si="6"/>
        <v>0</v>
      </c>
      <c r="H57" s="1729">
        <f t="shared" si="6"/>
        <v>829</v>
      </c>
      <c r="I57" s="1729">
        <f t="shared" si="6"/>
        <v>0</v>
      </c>
      <c r="J57" s="1729">
        <f t="shared" si="6"/>
        <v>0</v>
      </c>
      <c r="K57" s="1729">
        <f t="shared" si="6"/>
        <v>183273</v>
      </c>
      <c r="L57" s="1724">
        <f>SUM(L55:L56)</f>
        <v>181242</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v>47261</v>
      </c>
      <c r="D59" s="1636">
        <v>60</v>
      </c>
      <c r="E59" s="1636">
        <v>2493</v>
      </c>
      <c r="F59" s="1636">
        <v>499</v>
      </c>
      <c r="G59" s="1636"/>
      <c r="H59" s="1636"/>
      <c r="I59" s="1624"/>
      <c r="J59" s="1624"/>
      <c r="K59" s="1728">
        <f t="shared" ref="K59:K64" si="7">SUM(C59:J59)</f>
        <v>50313</v>
      </c>
      <c r="L59" s="1636">
        <v>50316</v>
      </c>
      <c r="M59" s="501"/>
      <c r="N59" s="501"/>
    </row>
    <row r="60" spans="1:14" s="321" customFormat="1" x14ac:dyDescent="0.2">
      <c r="A60" s="1319" t="s">
        <v>460</v>
      </c>
      <c r="B60" s="503">
        <v>2520</v>
      </c>
      <c r="C60" s="1623"/>
      <c r="D60" s="1623"/>
      <c r="E60" s="1623"/>
      <c r="F60" s="1623"/>
      <c r="G60" s="1623"/>
      <c r="H60" s="1623"/>
      <c r="I60" s="1624"/>
      <c r="J60" s="1624"/>
      <c r="K60" s="1728">
        <f t="shared" si="7"/>
        <v>0</v>
      </c>
      <c r="L60" s="1623">
        <v>0</v>
      </c>
      <c r="M60" s="501"/>
      <c r="N60" s="501"/>
    </row>
    <row r="61" spans="1:14" s="321" customFormat="1" x14ac:dyDescent="0.2">
      <c r="A61" s="1319" t="s">
        <v>195</v>
      </c>
      <c r="B61" s="503">
        <v>2540</v>
      </c>
      <c r="C61" s="1623"/>
      <c r="D61" s="1623"/>
      <c r="E61" s="1623"/>
      <c r="F61" s="1623">
        <v>16839</v>
      </c>
      <c r="G61" s="1623"/>
      <c r="H61" s="1623"/>
      <c r="I61" s="1624"/>
      <c r="J61" s="1624"/>
      <c r="K61" s="1728">
        <f t="shared" si="7"/>
        <v>16839</v>
      </c>
      <c r="L61" s="1623">
        <v>15353</v>
      </c>
      <c r="M61" s="501"/>
      <c r="N61" s="501"/>
    </row>
    <row r="62" spans="1:14" s="321" customFormat="1" x14ac:dyDescent="0.2">
      <c r="A62" s="1319" t="s">
        <v>947</v>
      </c>
      <c r="B62" s="503">
        <v>2550</v>
      </c>
      <c r="C62" s="1623"/>
      <c r="D62" s="1623"/>
      <c r="E62" s="1623">
        <v>642</v>
      </c>
      <c r="F62" s="1623"/>
      <c r="G62" s="1623"/>
      <c r="H62" s="1623"/>
      <c r="I62" s="1624"/>
      <c r="J62" s="1624"/>
      <c r="K62" s="1728">
        <f t="shared" si="7"/>
        <v>642</v>
      </c>
      <c r="L62" s="1623">
        <v>0</v>
      </c>
      <c r="M62" s="501"/>
      <c r="N62" s="501"/>
    </row>
    <row r="63" spans="1:14" s="501" customFormat="1" x14ac:dyDescent="0.2">
      <c r="A63" s="1319" t="s">
        <v>100</v>
      </c>
      <c r="B63" s="503">
        <v>2560</v>
      </c>
      <c r="C63" s="1623">
        <v>103</v>
      </c>
      <c r="D63" s="1623"/>
      <c r="E63" s="1623">
        <v>99669</v>
      </c>
      <c r="F63" s="1623">
        <v>1503</v>
      </c>
      <c r="G63" s="1623"/>
      <c r="H63" s="1623"/>
      <c r="I63" s="1624"/>
      <c r="J63" s="1624"/>
      <c r="K63" s="1728">
        <f t="shared" si="7"/>
        <v>101275</v>
      </c>
      <c r="L63" s="1623">
        <v>96411</v>
      </c>
    </row>
    <row r="64" spans="1:14" s="501" customFormat="1" x14ac:dyDescent="0.2">
      <c r="A64" s="1324" t="s">
        <v>101</v>
      </c>
      <c r="B64" s="513">
        <v>2570</v>
      </c>
      <c r="C64" s="1636"/>
      <c r="D64" s="1636"/>
      <c r="E64" s="1636"/>
      <c r="F64" s="1636"/>
      <c r="G64" s="1636"/>
      <c r="H64" s="1636"/>
      <c r="I64" s="1624"/>
      <c r="J64" s="1624"/>
      <c r="K64" s="1728">
        <f t="shared" si="7"/>
        <v>0</v>
      </c>
      <c r="L64" s="1636">
        <v>0</v>
      </c>
    </row>
    <row r="65" spans="1:14" s="321" customFormat="1" ht="12.75" customHeight="1" thickBot="1" x14ac:dyDescent="0.25">
      <c r="A65" s="1429" t="s">
        <v>714</v>
      </c>
      <c r="B65" s="1430" t="s">
        <v>35</v>
      </c>
      <c r="C65" s="1724">
        <f>SUM(C59:C64)</f>
        <v>47364</v>
      </c>
      <c r="D65" s="1724">
        <f t="shared" ref="D65:L65" si="8">SUM(D59:D64)</f>
        <v>60</v>
      </c>
      <c r="E65" s="1724">
        <f t="shared" si="8"/>
        <v>102804</v>
      </c>
      <c r="F65" s="1724">
        <f t="shared" si="8"/>
        <v>18841</v>
      </c>
      <c r="G65" s="1724">
        <f t="shared" si="8"/>
        <v>0</v>
      </c>
      <c r="H65" s="1724">
        <f t="shared" si="8"/>
        <v>0</v>
      </c>
      <c r="I65" s="1724">
        <f t="shared" si="8"/>
        <v>0</v>
      </c>
      <c r="J65" s="1724">
        <f t="shared" si="8"/>
        <v>0</v>
      </c>
      <c r="K65" s="1724">
        <f t="shared" si="8"/>
        <v>169069</v>
      </c>
      <c r="L65" s="1724">
        <f t="shared" si="8"/>
        <v>162080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v>0</v>
      </c>
      <c r="M67" s="501"/>
      <c r="N67" s="501"/>
    </row>
    <row r="68" spans="1:14" s="321" customFormat="1" x14ac:dyDescent="0.2">
      <c r="A68" s="1319" t="s">
        <v>603</v>
      </c>
      <c r="B68" s="503">
        <v>2620</v>
      </c>
      <c r="C68" s="1623"/>
      <c r="D68" s="1623"/>
      <c r="E68" s="1623"/>
      <c r="F68" s="1623"/>
      <c r="G68" s="1623"/>
      <c r="H68" s="1623"/>
      <c r="I68" s="1624"/>
      <c r="J68" s="1624"/>
      <c r="K68" s="1728">
        <f>SUM(C68:J68)</f>
        <v>0</v>
      </c>
      <c r="L68" s="1623">
        <v>0</v>
      </c>
      <c r="M68" s="501"/>
      <c r="N68" s="501"/>
    </row>
    <row r="69" spans="1:14" s="321" customFormat="1" x14ac:dyDescent="0.2">
      <c r="A69" s="1319" t="s">
        <v>1054</v>
      </c>
      <c r="B69" s="503">
        <v>2630</v>
      </c>
      <c r="C69" s="1623"/>
      <c r="D69" s="1623"/>
      <c r="E69" s="1623"/>
      <c r="F69" s="1623"/>
      <c r="G69" s="1623"/>
      <c r="H69" s="1623"/>
      <c r="I69" s="1624"/>
      <c r="J69" s="1624"/>
      <c r="K69" s="1728">
        <f>SUM(C69:J69)</f>
        <v>0</v>
      </c>
      <c r="L69" s="1623">
        <v>0</v>
      </c>
      <c r="M69" s="501"/>
      <c r="N69" s="501"/>
    </row>
    <row r="70" spans="1:14" s="321" customFormat="1" x14ac:dyDescent="0.2">
      <c r="A70" s="1319" t="s">
        <v>400</v>
      </c>
      <c r="B70" s="503">
        <v>2640</v>
      </c>
      <c r="C70" s="1623"/>
      <c r="D70" s="1623"/>
      <c r="E70" s="1623"/>
      <c r="F70" s="1623"/>
      <c r="G70" s="1623"/>
      <c r="H70" s="1623"/>
      <c r="I70" s="1624"/>
      <c r="J70" s="1624"/>
      <c r="K70" s="1728">
        <f>SUM(C70:J70)</f>
        <v>0</v>
      </c>
      <c r="L70" s="1623">
        <v>0</v>
      </c>
      <c r="M70" s="501"/>
      <c r="N70" s="501"/>
    </row>
    <row r="71" spans="1:14" s="321" customFormat="1" x14ac:dyDescent="0.2">
      <c r="A71" s="1319" t="s">
        <v>401</v>
      </c>
      <c r="B71" s="503">
        <v>2660</v>
      </c>
      <c r="C71" s="1623"/>
      <c r="D71" s="1623"/>
      <c r="E71" s="1623"/>
      <c r="F71" s="1623"/>
      <c r="G71" s="1623"/>
      <c r="H71" s="1623"/>
      <c r="I71" s="1624"/>
      <c r="J71" s="1624"/>
      <c r="K71" s="1728">
        <f>SUM(C71:J71)</f>
        <v>0</v>
      </c>
      <c r="L71" s="1623">
        <v>0</v>
      </c>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v>0</v>
      </c>
      <c r="M73" s="501"/>
      <c r="N73" s="501"/>
    </row>
    <row r="74" spans="1:14" ht="12.75" customHeight="1" thickTop="1" thickBot="1" x14ac:dyDescent="0.25">
      <c r="A74" s="1429" t="s">
        <v>806</v>
      </c>
      <c r="B74" s="1433">
        <v>2000</v>
      </c>
      <c r="C74" s="1731">
        <f>SUM(C42,C47,C53,C57,C65,C72,C73)</f>
        <v>333680</v>
      </c>
      <c r="D74" s="1731">
        <f t="shared" ref="D74:K74" si="10">SUM(D42,D47,D53,D57,D65,D72,D73)</f>
        <v>71860</v>
      </c>
      <c r="E74" s="1731">
        <f t="shared" si="10"/>
        <v>139193</v>
      </c>
      <c r="F74" s="1731">
        <f t="shared" si="10"/>
        <v>28281</v>
      </c>
      <c r="G74" s="1731">
        <f t="shared" si="10"/>
        <v>0</v>
      </c>
      <c r="H74" s="1731">
        <f t="shared" si="10"/>
        <v>11592</v>
      </c>
      <c r="I74" s="1731">
        <f t="shared" si="10"/>
        <v>0</v>
      </c>
      <c r="J74" s="1731">
        <f t="shared" si="10"/>
        <v>0</v>
      </c>
      <c r="K74" s="1731">
        <f t="shared" si="10"/>
        <v>584606</v>
      </c>
      <c r="L74" s="1731">
        <f>SUM(L42,L47,L53,L57,L65,L72,L73)</f>
        <v>567585</v>
      </c>
    </row>
    <row r="75" spans="1:14" s="254" customFormat="1" ht="15.75" customHeight="1" thickTop="1" thickBot="1" x14ac:dyDescent="0.25">
      <c r="A75" s="1393" t="s">
        <v>47</v>
      </c>
      <c r="B75" s="1394" t="s">
        <v>571</v>
      </c>
      <c r="C75" s="1699"/>
      <c r="D75" s="1699"/>
      <c r="E75" s="1699"/>
      <c r="F75" s="1699"/>
      <c r="G75" s="1699"/>
      <c r="H75" s="1699"/>
      <c r="I75" s="1677"/>
      <c r="J75" s="1677"/>
      <c r="K75" s="1724">
        <f>SUM(C75:J75)</f>
        <v>0</v>
      </c>
      <c r="L75" s="1701">
        <v>0</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v>0</v>
      </c>
    </row>
    <row r="79" spans="1:14" x14ac:dyDescent="0.2">
      <c r="A79" s="1319" t="s">
        <v>301</v>
      </c>
      <c r="B79" s="503">
        <v>4120</v>
      </c>
      <c r="C79" s="1723"/>
      <c r="D79" s="1723"/>
      <c r="E79" s="1623"/>
      <c r="F79" s="1723"/>
      <c r="G79" s="1723"/>
      <c r="H79" s="1623">
        <v>103685</v>
      </c>
      <c r="I79" s="1632"/>
      <c r="J79" s="1632"/>
      <c r="K79" s="1722">
        <f t="shared" si="11"/>
        <v>103685</v>
      </c>
      <c r="L79" s="1623">
        <v>96106</v>
      </c>
    </row>
    <row r="80" spans="1:14" x14ac:dyDescent="0.2">
      <c r="A80" s="1319" t="s">
        <v>302</v>
      </c>
      <c r="B80" s="503">
        <v>4130</v>
      </c>
      <c r="C80" s="1723"/>
      <c r="D80" s="1723"/>
      <c r="E80" s="1623"/>
      <c r="F80" s="1723"/>
      <c r="G80" s="1723"/>
      <c r="H80" s="1623"/>
      <c r="I80" s="1632"/>
      <c r="J80" s="1632"/>
      <c r="K80" s="1722">
        <f t="shared" si="11"/>
        <v>0</v>
      </c>
      <c r="L80" s="1623">
        <v>0</v>
      </c>
    </row>
    <row r="81" spans="1:12" x14ac:dyDescent="0.2">
      <c r="A81" s="1319" t="s">
        <v>692</v>
      </c>
      <c r="B81" s="503">
        <v>4140</v>
      </c>
      <c r="C81" s="1723"/>
      <c r="D81" s="1723"/>
      <c r="E81" s="1623"/>
      <c r="F81" s="1723"/>
      <c r="G81" s="1723"/>
      <c r="H81" s="1623"/>
      <c r="I81" s="1632"/>
      <c r="J81" s="1632"/>
      <c r="K81" s="1722">
        <f t="shared" si="11"/>
        <v>0</v>
      </c>
      <c r="L81" s="1623">
        <v>0</v>
      </c>
    </row>
    <row r="82" spans="1:12" x14ac:dyDescent="0.2">
      <c r="A82" s="1319" t="s">
        <v>86</v>
      </c>
      <c r="B82" s="503">
        <v>4170</v>
      </c>
      <c r="C82" s="1723"/>
      <c r="D82" s="1723"/>
      <c r="E82" s="1623"/>
      <c r="F82" s="1723"/>
      <c r="G82" s="1723"/>
      <c r="H82" s="1623"/>
      <c r="I82" s="1632"/>
      <c r="J82" s="1632"/>
      <c r="K82" s="1722">
        <f t="shared" si="11"/>
        <v>0</v>
      </c>
      <c r="L82" s="1623">
        <v>0</v>
      </c>
    </row>
    <row r="83" spans="1:12" x14ac:dyDescent="0.2">
      <c r="A83" s="1323" t="s">
        <v>693</v>
      </c>
      <c r="B83" s="512">
        <v>4190</v>
      </c>
      <c r="C83" s="1723"/>
      <c r="D83" s="1723"/>
      <c r="E83" s="1623"/>
      <c r="F83" s="1723"/>
      <c r="G83" s="1723"/>
      <c r="H83" s="1623"/>
      <c r="I83" s="1632"/>
      <c r="J83" s="1632"/>
      <c r="K83" s="1722">
        <f t="shared" si="11"/>
        <v>0</v>
      </c>
      <c r="L83" s="1623">
        <v>0</v>
      </c>
    </row>
    <row r="84" spans="1:12" ht="13.5" thickBot="1" x14ac:dyDescent="0.25">
      <c r="A84" s="1429" t="s">
        <v>1471</v>
      </c>
      <c r="B84" s="1434">
        <v>4100</v>
      </c>
      <c r="C84" s="1723"/>
      <c r="D84" s="1723"/>
      <c r="E84" s="1724">
        <f>SUM(E78:E83)</f>
        <v>0</v>
      </c>
      <c r="F84" s="1723"/>
      <c r="G84" s="1723"/>
      <c r="H84" s="1724">
        <f>SUM(H78:H83)</f>
        <v>103685</v>
      </c>
      <c r="I84" s="1632"/>
      <c r="J84" s="1632"/>
      <c r="K84" s="1724">
        <f>SUM(K78:K83)</f>
        <v>103685</v>
      </c>
      <c r="L84" s="1724">
        <f>SUM(L78:L83)</f>
        <v>96106</v>
      </c>
    </row>
    <row r="85" spans="1:12" ht="12.75" customHeight="1" thickTop="1" thickBot="1" x14ac:dyDescent="0.25">
      <c r="A85" s="1326" t="s">
        <v>253</v>
      </c>
      <c r="B85" s="517">
        <v>4210</v>
      </c>
      <c r="C85" s="1723"/>
      <c r="D85" s="1723"/>
      <c r="E85" s="1733"/>
      <c r="F85" s="1723"/>
      <c r="G85" s="1723"/>
      <c r="H85" s="1680"/>
      <c r="I85" s="1632"/>
      <c r="J85" s="1632"/>
      <c r="K85" s="1731">
        <f>H85</f>
        <v>0</v>
      </c>
      <c r="L85" s="1676">
        <v>0</v>
      </c>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v>0</v>
      </c>
    </row>
    <row r="87" spans="1:12" ht="14.25" thickTop="1" thickBot="1" x14ac:dyDescent="0.25">
      <c r="A87" s="1328" t="s">
        <v>695</v>
      </c>
      <c r="B87" s="519">
        <v>4230</v>
      </c>
      <c r="C87" s="1723"/>
      <c r="D87" s="1723"/>
      <c r="E87" s="1734"/>
      <c r="F87" s="1723"/>
      <c r="G87" s="1723"/>
      <c r="H87" s="1624"/>
      <c r="I87" s="1632"/>
      <c r="J87" s="1632"/>
      <c r="K87" s="1731">
        <f t="shared" si="12"/>
        <v>0</v>
      </c>
      <c r="L87" s="1676">
        <v>0</v>
      </c>
    </row>
    <row r="88" spans="1:12" ht="12.75" customHeight="1" thickTop="1" thickBot="1" x14ac:dyDescent="0.25">
      <c r="A88" s="1328" t="s">
        <v>760</v>
      </c>
      <c r="B88" s="519">
        <v>4240</v>
      </c>
      <c r="C88" s="1723"/>
      <c r="D88" s="1723"/>
      <c r="E88" s="1734"/>
      <c r="F88" s="1723"/>
      <c r="G88" s="1723"/>
      <c r="H88" s="1624"/>
      <c r="I88" s="1632"/>
      <c r="J88" s="1632"/>
      <c r="K88" s="1731">
        <f t="shared" si="12"/>
        <v>0</v>
      </c>
      <c r="L88" s="1676">
        <v>0</v>
      </c>
    </row>
    <row r="89" spans="1:12" ht="12.75" customHeight="1" thickTop="1" thickBot="1" x14ac:dyDescent="0.25">
      <c r="A89" s="1328" t="s">
        <v>696</v>
      </c>
      <c r="B89" s="519">
        <v>4270</v>
      </c>
      <c r="C89" s="1723"/>
      <c r="D89" s="1723"/>
      <c r="E89" s="1734"/>
      <c r="F89" s="1723"/>
      <c r="G89" s="1723"/>
      <c r="H89" s="1624"/>
      <c r="I89" s="1632"/>
      <c r="J89" s="1632"/>
      <c r="K89" s="1731">
        <f t="shared" si="12"/>
        <v>0</v>
      </c>
      <c r="L89" s="1676">
        <v>0</v>
      </c>
    </row>
    <row r="90" spans="1:12" ht="12.75" customHeight="1" thickTop="1" thickBot="1" x14ac:dyDescent="0.25">
      <c r="A90" s="1328" t="s">
        <v>681</v>
      </c>
      <c r="B90" s="519">
        <v>4280</v>
      </c>
      <c r="C90" s="1723"/>
      <c r="D90" s="1723"/>
      <c r="E90" s="1734"/>
      <c r="F90" s="1723"/>
      <c r="G90" s="1723"/>
      <c r="H90" s="1624"/>
      <c r="I90" s="1632"/>
      <c r="J90" s="1632"/>
      <c r="K90" s="1731">
        <f t="shared" si="12"/>
        <v>0</v>
      </c>
      <c r="L90" s="1676">
        <v>0</v>
      </c>
    </row>
    <row r="91" spans="1:12" ht="12.75" customHeight="1" thickTop="1" thickBot="1" x14ac:dyDescent="0.25">
      <c r="A91" s="1328" t="s">
        <v>682</v>
      </c>
      <c r="B91" s="519">
        <v>4290</v>
      </c>
      <c r="C91" s="1723"/>
      <c r="D91" s="1723"/>
      <c r="E91" s="1734"/>
      <c r="F91" s="1723"/>
      <c r="G91" s="1723"/>
      <c r="H91" s="1624"/>
      <c r="I91" s="1632"/>
      <c r="J91" s="1632"/>
      <c r="K91" s="1731">
        <f t="shared" si="12"/>
        <v>0</v>
      </c>
      <c r="L91" s="1676">
        <v>0</v>
      </c>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v>0</v>
      </c>
    </row>
    <row r="94" spans="1:12" ht="12.75" customHeight="1" thickTop="1" thickBot="1" x14ac:dyDescent="0.25">
      <c r="A94" s="1328" t="s">
        <v>684</v>
      </c>
      <c r="B94" s="519">
        <v>4320</v>
      </c>
      <c r="C94" s="1723"/>
      <c r="D94" s="1723"/>
      <c r="E94" s="1734"/>
      <c r="F94" s="1723"/>
      <c r="G94" s="1723"/>
      <c r="H94" s="1624"/>
      <c r="I94" s="1632"/>
      <c r="J94" s="1632"/>
      <c r="K94" s="1731">
        <f t="shared" si="12"/>
        <v>0</v>
      </c>
      <c r="L94" s="1676">
        <v>0</v>
      </c>
    </row>
    <row r="95" spans="1:12" ht="15" customHeight="1" thickTop="1" thickBot="1" x14ac:dyDescent="0.25">
      <c r="A95" s="1328" t="s">
        <v>1474</v>
      </c>
      <c r="B95" s="519">
        <v>4330</v>
      </c>
      <c r="C95" s="1723"/>
      <c r="D95" s="1723"/>
      <c r="E95" s="1734"/>
      <c r="F95" s="1723"/>
      <c r="G95" s="1723"/>
      <c r="H95" s="1624"/>
      <c r="I95" s="1632"/>
      <c r="J95" s="1632"/>
      <c r="K95" s="1731">
        <f t="shared" si="12"/>
        <v>0</v>
      </c>
      <c r="L95" s="1676">
        <v>0</v>
      </c>
    </row>
    <row r="96" spans="1:12" ht="14.25" thickTop="1" thickBot="1" x14ac:dyDescent="0.25">
      <c r="A96" s="1328" t="s">
        <v>685</v>
      </c>
      <c r="B96" s="519">
        <v>4340</v>
      </c>
      <c r="C96" s="1723"/>
      <c r="D96" s="1723"/>
      <c r="E96" s="1734"/>
      <c r="F96" s="1723"/>
      <c r="G96" s="1723"/>
      <c r="H96" s="1624"/>
      <c r="I96" s="1632"/>
      <c r="J96" s="1632"/>
      <c r="K96" s="1731">
        <f t="shared" si="12"/>
        <v>0</v>
      </c>
      <c r="L96" s="1676">
        <v>0</v>
      </c>
    </row>
    <row r="97" spans="1:14" ht="12.75" customHeight="1" thickTop="1" thickBot="1" x14ac:dyDescent="0.25">
      <c r="A97" s="1328" t="s">
        <v>758</v>
      </c>
      <c r="B97" s="519">
        <v>4370</v>
      </c>
      <c r="C97" s="1723"/>
      <c r="D97" s="1723"/>
      <c r="E97" s="1734"/>
      <c r="F97" s="1723"/>
      <c r="G97" s="1723"/>
      <c r="H97" s="1624"/>
      <c r="I97" s="1632"/>
      <c r="J97" s="1632"/>
      <c r="K97" s="1731">
        <f t="shared" si="12"/>
        <v>0</v>
      </c>
      <c r="L97" s="1676">
        <v>0</v>
      </c>
    </row>
    <row r="98" spans="1:14" ht="14.25" thickTop="1" thickBot="1" x14ac:dyDescent="0.25">
      <c r="A98" s="1328" t="s">
        <v>759</v>
      </c>
      <c r="B98" s="519">
        <v>4380</v>
      </c>
      <c r="C98" s="1723"/>
      <c r="D98" s="1723"/>
      <c r="E98" s="1736"/>
      <c r="F98" s="1723"/>
      <c r="G98" s="1723"/>
      <c r="H98" s="1624"/>
      <c r="I98" s="1632"/>
      <c r="J98" s="1632"/>
      <c r="K98" s="1731">
        <f t="shared" si="12"/>
        <v>0</v>
      </c>
      <c r="L98" s="1676">
        <v>0</v>
      </c>
    </row>
    <row r="99" spans="1:14" ht="14.25" thickTop="1" thickBot="1" x14ac:dyDescent="0.25">
      <c r="A99" s="1328" t="s">
        <v>364</v>
      </c>
      <c r="B99" s="519">
        <v>4390</v>
      </c>
      <c r="C99" s="1723"/>
      <c r="D99" s="1723"/>
      <c r="E99" s="1678"/>
      <c r="F99" s="1723"/>
      <c r="G99" s="1723"/>
      <c r="H99" s="1624"/>
      <c r="I99" s="1632"/>
      <c r="J99" s="1632"/>
      <c r="K99" s="1731">
        <f>SUM(E99,H99)</f>
        <v>0</v>
      </c>
      <c r="L99" s="1676">
        <v>0</v>
      </c>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v>0</v>
      </c>
    </row>
    <row r="102" spans="1:14" ht="12.75" customHeight="1" thickTop="1" thickBot="1" x14ac:dyDescent="0.25">
      <c r="A102" s="1429" t="s">
        <v>1473</v>
      </c>
      <c r="B102" s="1434">
        <v>4000</v>
      </c>
      <c r="C102" s="1723"/>
      <c r="D102" s="1723"/>
      <c r="E102" s="1731">
        <f>SUM(E84,E92,E100,E101)</f>
        <v>0</v>
      </c>
      <c r="F102" s="1723"/>
      <c r="G102" s="1723"/>
      <c r="H102" s="1731">
        <f>SUM(H84,H92,H100,H101)</f>
        <v>103685</v>
      </c>
      <c r="I102" s="1632"/>
      <c r="J102" s="1632"/>
      <c r="K102" s="1731">
        <f>SUM(K84,K92,K100,K101)</f>
        <v>103685</v>
      </c>
      <c r="L102" s="1731">
        <f>SUM(L84,L92,L100,L101)</f>
        <v>96106</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v>0</v>
      </c>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v>0</v>
      </c>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v>0</v>
      </c>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v>0</v>
      </c>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v>0</v>
      </c>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v>0</v>
      </c>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v>0</v>
      </c>
      <c r="M113" s="502"/>
      <c r="N113" s="502"/>
    </row>
    <row r="114" spans="1:14" ht="12.75" customHeight="1" thickTop="1" thickBot="1" x14ac:dyDescent="0.25">
      <c r="A114" s="1429" t="s">
        <v>48</v>
      </c>
      <c r="B114" s="1437"/>
      <c r="C114" s="1724">
        <f>SUM(C33,C74,C75,C102,C112,C113)</f>
        <v>2099195</v>
      </c>
      <c r="D114" s="1724">
        <f t="shared" ref="D114:K114" si="13">SUM(D33,D74,D75,D102,D112,D113)</f>
        <v>503949</v>
      </c>
      <c r="E114" s="1724">
        <f t="shared" si="13"/>
        <v>308325</v>
      </c>
      <c r="F114" s="1724">
        <f t="shared" si="13"/>
        <v>127174</v>
      </c>
      <c r="G114" s="1724">
        <f t="shared" si="13"/>
        <v>30572</v>
      </c>
      <c r="H114" s="1724">
        <f>SUM(H33,H74,H75,H102,H112,H113)</f>
        <v>118211</v>
      </c>
      <c r="I114" s="1724">
        <f t="shared" si="13"/>
        <v>0</v>
      </c>
      <c r="J114" s="1724">
        <f t="shared" si="13"/>
        <v>0</v>
      </c>
      <c r="K114" s="1724">
        <f t="shared" si="13"/>
        <v>3187426</v>
      </c>
      <c r="L114" s="1724">
        <f>SUM(L33,L74,L75,L102,L112,L113)</f>
        <v>3220970</v>
      </c>
    </row>
    <row r="115" spans="1:14" ht="13.5" thickTop="1" x14ac:dyDescent="0.2">
      <c r="A115" s="2241" t="s">
        <v>989</v>
      </c>
      <c r="B115" s="2242"/>
      <c r="C115" s="1725"/>
      <c r="D115" s="1725"/>
      <c r="E115" s="1725"/>
      <c r="F115" s="1725"/>
      <c r="G115" s="1725"/>
      <c r="H115" s="1725"/>
      <c r="I115" s="1725"/>
      <c r="J115" s="1725"/>
      <c r="K115" s="1739">
        <f>'Revenues 9-14'!C268-'Expenditures 15-22'!K114</f>
        <v>81192</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19" t="s">
        <v>293</v>
      </c>
      <c r="B117" s="2220"/>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v>0</v>
      </c>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v>0</v>
      </c>
    </row>
    <row r="123" spans="1:14" ht="14.25" thickTop="1" thickBot="1" x14ac:dyDescent="0.25">
      <c r="A123" s="1319" t="s">
        <v>4</v>
      </c>
      <c r="B123" s="503">
        <v>2530</v>
      </c>
      <c r="C123" s="1623"/>
      <c r="D123" s="1623"/>
      <c r="E123" s="1623"/>
      <c r="F123" s="1623"/>
      <c r="G123" s="1623"/>
      <c r="H123" s="1623"/>
      <c r="I123" s="1624"/>
      <c r="J123" s="1624"/>
      <c r="K123" s="1724">
        <f>SUM(C123:J123)</f>
        <v>0</v>
      </c>
      <c r="L123" s="1623">
        <v>0</v>
      </c>
    </row>
    <row r="124" spans="1:14" ht="14.25" thickTop="1" thickBot="1" x14ac:dyDescent="0.25">
      <c r="A124" s="1319" t="s">
        <v>195</v>
      </c>
      <c r="B124" s="503">
        <v>2540</v>
      </c>
      <c r="C124" s="1623">
        <v>101683</v>
      </c>
      <c r="D124" s="1623">
        <v>35028</v>
      </c>
      <c r="E124" s="1623">
        <v>50744</v>
      </c>
      <c r="F124" s="1623">
        <v>107311</v>
      </c>
      <c r="G124" s="1623"/>
      <c r="H124" s="1623"/>
      <c r="I124" s="1624"/>
      <c r="J124" s="1624"/>
      <c r="K124" s="1724">
        <f>SUM(C124:J124)</f>
        <v>294766</v>
      </c>
      <c r="L124" s="1623">
        <v>282898</v>
      </c>
    </row>
    <row r="125" spans="1:14" ht="14.25" thickTop="1" thickBot="1" x14ac:dyDescent="0.25">
      <c r="A125" s="1319" t="s">
        <v>947</v>
      </c>
      <c r="B125" s="503">
        <v>2550</v>
      </c>
      <c r="C125" s="1623"/>
      <c r="D125" s="1623"/>
      <c r="E125" s="1623"/>
      <c r="F125" s="1623"/>
      <c r="G125" s="1623"/>
      <c r="H125" s="1623"/>
      <c r="I125" s="1624"/>
      <c r="J125" s="1624"/>
      <c r="K125" s="1724">
        <f>SUM(C125:J125)</f>
        <v>0</v>
      </c>
      <c r="L125" s="1623">
        <v>0</v>
      </c>
    </row>
    <row r="126" spans="1:14" ht="14.25" thickTop="1" thickBot="1" x14ac:dyDescent="0.25">
      <c r="A126" s="1319" t="s">
        <v>100</v>
      </c>
      <c r="B126" s="503">
        <v>2560</v>
      </c>
      <c r="C126" s="1744"/>
      <c r="D126" s="1744"/>
      <c r="E126" s="1744"/>
      <c r="F126" s="1744"/>
      <c r="G126" s="1623"/>
      <c r="H126" s="1744"/>
      <c r="I126" s="1629"/>
      <c r="J126" s="1723"/>
      <c r="K126" s="1724">
        <f>SUM(C126:J126)</f>
        <v>0</v>
      </c>
      <c r="L126" s="1623">
        <v>0</v>
      </c>
    </row>
    <row r="127" spans="1:14" ht="12.75" customHeight="1" thickTop="1" thickBot="1" x14ac:dyDescent="0.25">
      <c r="A127" s="1429" t="s">
        <v>714</v>
      </c>
      <c r="B127" s="1430" t="s">
        <v>35</v>
      </c>
      <c r="C127" s="1724">
        <f>SUM(C122:C126)</f>
        <v>101683</v>
      </c>
      <c r="D127" s="1724">
        <f t="shared" ref="D127:L127" si="14">SUM(D122:D126)</f>
        <v>35028</v>
      </c>
      <c r="E127" s="1724">
        <f t="shared" si="14"/>
        <v>50744</v>
      </c>
      <c r="F127" s="1724">
        <f t="shared" si="14"/>
        <v>107311</v>
      </c>
      <c r="G127" s="1724">
        <f t="shared" si="14"/>
        <v>0</v>
      </c>
      <c r="H127" s="1724">
        <f t="shared" si="14"/>
        <v>0</v>
      </c>
      <c r="I127" s="1724">
        <f t="shared" si="14"/>
        <v>0</v>
      </c>
      <c r="J127" s="1724">
        <f t="shared" si="14"/>
        <v>0</v>
      </c>
      <c r="K127" s="1724">
        <f t="shared" si="14"/>
        <v>294766</v>
      </c>
      <c r="L127" s="1724">
        <f t="shared" si="14"/>
        <v>282898</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v>0</v>
      </c>
    </row>
    <row r="129" spans="1:14" ht="12.75" customHeight="1" thickBot="1" x14ac:dyDescent="0.25">
      <c r="A129" s="1438" t="s">
        <v>806</v>
      </c>
      <c r="B129" s="1439" t="s">
        <v>565</v>
      </c>
      <c r="C129" s="1731">
        <f>SUM(C120,C127,C128)</f>
        <v>101683</v>
      </c>
      <c r="D129" s="1731">
        <f t="shared" ref="D129:L129" si="15">SUM(D120,D127,D128)</f>
        <v>35028</v>
      </c>
      <c r="E129" s="1731">
        <f t="shared" si="15"/>
        <v>50744</v>
      </c>
      <c r="F129" s="1731">
        <f t="shared" si="15"/>
        <v>107311</v>
      </c>
      <c r="G129" s="1731">
        <f t="shared" si="15"/>
        <v>0</v>
      </c>
      <c r="H129" s="1731">
        <f t="shared" si="15"/>
        <v>0</v>
      </c>
      <c r="I129" s="1731">
        <f t="shared" si="15"/>
        <v>0</v>
      </c>
      <c r="J129" s="1731">
        <f t="shared" si="15"/>
        <v>0</v>
      </c>
      <c r="K129" s="1731">
        <f t="shared" si="15"/>
        <v>294766</v>
      </c>
      <c r="L129" s="1731">
        <f t="shared" si="15"/>
        <v>282898</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v>0</v>
      </c>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v>0</v>
      </c>
      <c r="M133" s="201"/>
      <c r="N133" s="201"/>
    </row>
    <row r="134" spans="1:14" x14ac:dyDescent="0.2">
      <c r="A134" s="1319" t="s">
        <v>301</v>
      </c>
      <c r="B134" s="503">
        <v>4120</v>
      </c>
      <c r="C134" s="1723"/>
      <c r="D134" s="1723"/>
      <c r="E134" s="1633"/>
      <c r="F134" s="1723"/>
      <c r="G134" s="1723"/>
      <c r="H134" s="1636"/>
      <c r="I134" s="1632"/>
      <c r="J134" s="1723"/>
      <c r="K134" s="1728">
        <f>SUM(E134,H134)</f>
        <v>0</v>
      </c>
      <c r="L134" s="1636">
        <v>0</v>
      </c>
    </row>
    <row r="135" spans="1:14" x14ac:dyDescent="0.2">
      <c r="A135" s="1319" t="s">
        <v>692</v>
      </c>
      <c r="B135" s="503">
        <v>4140</v>
      </c>
      <c r="C135" s="1723"/>
      <c r="D135" s="1723"/>
      <c r="E135" s="1624"/>
      <c r="F135" s="1723"/>
      <c r="G135" s="1723"/>
      <c r="H135" s="1623"/>
      <c r="I135" s="1632"/>
      <c r="J135" s="1723"/>
      <c r="K135" s="1728">
        <f>SUM(E135,H135)</f>
        <v>0</v>
      </c>
      <c r="L135" s="1623">
        <v>0</v>
      </c>
    </row>
    <row r="136" spans="1:14" x14ac:dyDescent="0.2">
      <c r="A136" s="1323" t="s">
        <v>693</v>
      </c>
      <c r="B136" s="512">
        <v>4190</v>
      </c>
      <c r="C136" s="1723"/>
      <c r="D136" s="1723"/>
      <c r="E136" s="1624"/>
      <c r="F136" s="1723"/>
      <c r="G136" s="1723"/>
      <c r="H136" s="1623"/>
      <c r="I136" s="1632"/>
      <c r="J136" s="1723"/>
      <c r="K136" s="1728">
        <f>SUM(E136,H136)</f>
        <v>0</v>
      </c>
      <c r="L136" s="1623">
        <v>0</v>
      </c>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v>0</v>
      </c>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v>0</v>
      </c>
    </row>
    <row r="143" spans="1:14" x14ac:dyDescent="0.2">
      <c r="A143" s="1319" t="s">
        <v>88</v>
      </c>
      <c r="B143" s="503">
        <v>5120</v>
      </c>
      <c r="C143" s="1723"/>
      <c r="D143" s="1723"/>
      <c r="E143" s="1723"/>
      <c r="F143" s="1723"/>
      <c r="G143" s="1723"/>
      <c r="H143" s="1623"/>
      <c r="I143" s="1625"/>
      <c r="J143" s="1723"/>
      <c r="K143" s="1728">
        <f>SUM(H143)</f>
        <v>0</v>
      </c>
      <c r="L143" s="1623">
        <v>0</v>
      </c>
    </row>
    <row r="144" spans="1:14" ht="12.75" customHeight="1" x14ac:dyDescent="0.2">
      <c r="A144" s="1319" t="s">
        <v>1162</v>
      </c>
      <c r="B144" s="512" t="s">
        <v>613</v>
      </c>
      <c r="C144" s="1723"/>
      <c r="D144" s="1723"/>
      <c r="E144" s="1723"/>
      <c r="F144" s="1723"/>
      <c r="G144" s="1723"/>
      <c r="H144" s="1623"/>
      <c r="I144" s="1625"/>
      <c r="J144" s="1723"/>
      <c r="K144" s="1728">
        <f>SUM(H144)</f>
        <v>0</v>
      </c>
      <c r="L144" s="1623">
        <v>0</v>
      </c>
    </row>
    <row r="145" spans="1:14" x14ac:dyDescent="0.2">
      <c r="A145" s="1319" t="s">
        <v>89</v>
      </c>
      <c r="B145" s="503" t="s">
        <v>585</v>
      </c>
      <c r="C145" s="1723"/>
      <c r="D145" s="1723"/>
      <c r="E145" s="1723"/>
      <c r="F145" s="1723"/>
      <c r="G145" s="1723"/>
      <c r="H145" s="1623"/>
      <c r="I145" s="1625"/>
      <c r="J145" s="1723"/>
      <c r="K145" s="1728">
        <f>SUM(H145)</f>
        <v>0</v>
      </c>
      <c r="L145" s="1623">
        <v>0</v>
      </c>
    </row>
    <row r="146" spans="1:14" ht="12.75" customHeight="1" x14ac:dyDescent="0.2">
      <c r="A146" s="1319" t="s">
        <v>615</v>
      </c>
      <c r="B146" s="503" t="s">
        <v>614</v>
      </c>
      <c r="C146" s="1723"/>
      <c r="D146" s="1723"/>
      <c r="E146" s="1723"/>
      <c r="F146" s="1723"/>
      <c r="G146" s="1723"/>
      <c r="H146" s="1623"/>
      <c r="I146" s="1625"/>
      <c r="J146" s="1723"/>
      <c r="K146" s="1728">
        <f>SUM(H146)</f>
        <v>0</v>
      </c>
      <c r="L146" s="1623">
        <v>0</v>
      </c>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v>0</v>
      </c>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v>0</v>
      </c>
    </row>
    <row r="151" spans="1:14" ht="12.75" customHeight="1" thickTop="1" thickBot="1" x14ac:dyDescent="0.25">
      <c r="A151" s="2231" t="s">
        <v>616</v>
      </c>
      <c r="B151" s="2213"/>
      <c r="C151" s="1724">
        <f>SUM(C129,C130,C139,C149,C150)</f>
        <v>101683</v>
      </c>
      <c r="D151" s="1724">
        <f t="shared" ref="D151:K151" si="16">SUM(D129,D130,D139,D149,D150)</f>
        <v>35028</v>
      </c>
      <c r="E151" s="1724">
        <f t="shared" si="16"/>
        <v>50744</v>
      </c>
      <c r="F151" s="1724">
        <f t="shared" si="16"/>
        <v>107311</v>
      </c>
      <c r="G151" s="1724">
        <f t="shared" si="16"/>
        <v>0</v>
      </c>
      <c r="H151" s="1724">
        <f t="shared" si="16"/>
        <v>0</v>
      </c>
      <c r="I151" s="1724">
        <f t="shared" si="16"/>
        <v>0</v>
      </c>
      <c r="J151" s="1724">
        <f t="shared" si="16"/>
        <v>0</v>
      </c>
      <c r="K151" s="1724">
        <f t="shared" si="16"/>
        <v>294766</v>
      </c>
      <c r="L151" s="1724">
        <f>SUM(L129,L130,L139,L149,L150)</f>
        <v>282898</v>
      </c>
    </row>
    <row r="152" spans="1:14" ht="12.75" customHeight="1" thickTop="1" x14ac:dyDescent="0.2">
      <c r="A152" s="2234" t="s">
        <v>1170</v>
      </c>
      <c r="B152" s="2235"/>
      <c r="C152" s="1725"/>
      <c r="D152" s="1725"/>
      <c r="E152" s="1725"/>
      <c r="F152" s="1725"/>
      <c r="G152" s="1725"/>
      <c r="H152" s="1725"/>
      <c r="I152" s="1725"/>
      <c r="J152" s="1723"/>
      <c r="K152" s="1739">
        <f>'Revenues 9-14'!D268-'Expenditures 15-22'!K151</f>
        <v>24132</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19" t="s">
        <v>617</v>
      </c>
      <c r="B154" s="2221"/>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v>0</v>
      </c>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v>0</v>
      </c>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v>0</v>
      </c>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v>0</v>
      </c>
    </row>
    <row r="164" spans="1:14" x14ac:dyDescent="0.2">
      <c r="A164" s="1319" t="s">
        <v>88</v>
      </c>
      <c r="B164" s="503">
        <v>5120</v>
      </c>
      <c r="C164" s="1723"/>
      <c r="D164" s="1723"/>
      <c r="E164" s="1723"/>
      <c r="F164" s="1723"/>
      <c r="G164" s="1723"/>
      <c r="H164" s="1623"/>
      <c r="I164" s="1723"/>
      <c r="J164" s="1723"/>
      <c r="K164" s="1722">
        <f>SUM(C164:J164)</f>
        <v>0</v>
      </c>
      <c r="L164" s="1623">
        <v>0</v>
      </c>
    </row>
    <row r="165" spans="1:14" ht="12.75" customHeight="1" x14ac:dyDescent="0.2">
      <c r="A165" s="1319" t="s">
        <v>1162</v>
      </c>
      <c r="B165" s="503" t="s">
        <v>613</v>
      </c>
      <c r="C165" s="1723"/>
      <c r="D165" s="1723"/>
      <c r="E165" s="1723"/>
      <c r="F165" s="1723"/>
      <c r="G165" s="1723"/>
      <c r="H165" s="1623"/>
      <c r="I165" s="1723"/>
      <c r="J165" s="1723"/>
      <c r="K165" s="1722">
        <f>SUM(C165:J165)</f>
        <v>0</v>
      </c>
      <c r="L165" s="1623">
        <v>0</v>
      </c>
    </row>
    <row r="166" spans="1:14" x14ac:dyDescent="0.2">
      <c r="A166" s="1319" t="s">
        <v>89</v>
      </c>
      <c r="B166" s="512" t="s">
        <v>585</v>
      </c>
      <c r="C166" s="1723"/>
      <c r="D166" s="1723"/>
      <c r="E166" s="1723"/>
      <c r="F166" s="1723"/>
      <c r="G166" s="1723"/>
      <c r="H166" s="1623"/>
      <c r="I166" s="1723"/>
      <c r="J166" s="1723"/>
      <c r="K166" s="1722">
        <f>SUM(C166:J166)</f>
        <v>0</v>
      </c>
      <c r="L166" s="1623">
        <v>0</v>
      </c>
    </row>
    <row r="167" spans="1:14" ht="12.75" customHeight="1" x14ac:dyDescent="0.2">
      <c r="A167" s="1319" t="s">
        <v>615</v>
      </c>
      <c r="B167" s="503" t="s">
        <v>614</v>
      </c>
      <c r="C167" s="1723"/>
      <c r="D167" s="1723"/>
      <c r="E167" s="1723"/>
      <c r="F167" s="1723"/>
      <c r="G167" s="1723"/>
      <c r="H167" s="1623"/>
      <c r="I167" s="1723"/>
      <c r="J167" s="1723"/>
      <c r="K167" s="1722">
        <f>SUM(C167:J167)</f>
        <v>0</v>
      </c>
      <c r="L167" s="1623">
        <v>0</v>
      </c>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84915</v>
      </c>
      <c r="I169" s="1723"/>
      <c r="J169" s="1723"/>
      <c r="K169" s="1722">
        <f>SUM(C169:H169)</f>
        <v>84915</v>
      </c>
      <c r="L169" s="1745">
        <v>78328</v>
      </c>
    </row>
    <row r="170" spans="1:14" ht="33.75" customHeight="1" x14ac:dyDescent="0.2">
      <c r="A170" s="543" t="s">
        <v>1654</v>
      </c>
      <c r="B170" s="545" t="s">
        <v>31</v>
      </c>
      <c r="C170" s="1723"/>
      <c r="D170" s="1723"/>
      <c r="E170" s="1723"/>
      <c r="F170" s="1723"/>
      <c r="G170" s="1723"/>
      <c r="H170" s="1696">
        <v>473000</v>
      </c>
      <c r="I170" s="1723"/>
      <c r="J170" s="1723"/>
      <c r="K170" s="1722">
        <f>SUM(C170:J170)</f>
        <v>473000</v>
      </c>
      <c r="L170" s="1696">
        <v>473000</v>
      </c>
    </row>
    <row r="171" spans="1:14" ht="15.75" customHeight="1" x14ac:dyDescent="0.2">
      <c r="A171" s="507" t="s">
        <v>761</v>
      </c>
      <c r="B171" s="546" t="s">
        <v>84</v>
      </c>
      <c r="C171" s="1723"/>
      <c r="D171" s="1723"/>
      <c r="E171" s="1623"/>
      <c r="F171" s="1723"/>
      <c r="G171" s="1723"/>
      <c r="H171" s="1696"/>
      <c r="I171" s="1632"/>
      <c r="J171" s="1723"/>
      <c r="K171" s="1722">
        <f>SUM(C171:J171)</f>
        <v>0</v>
      </c>
      <c r="L171" s="1696">
        <v>0</v>
      </c>
    </row>
    <row r="172" spans="1:14" ht="12.75" customHeight="1" thickBot="1" x14ac:dyDescent="0.25">
      <c r="A172" s="1429" t="s">
        <v>633</v>
      </c>
      <c r="B172" s="1430" t="s">
        <v>489</v>
      </c>
      <c r="C172" s="1723"/>
      <c r="D172" s="1723"/>
      <c r="E172" s="1731">
        <f>SUM(E168,E169,E170,E171)</f>
        <v>0</v>
      </c>
      <c r="F172" s="1723"/>
      <c r="G172" s="1723"/>
      <c r="H172" s="1731">
        <f>SUM(H168,H169,H170,H171)</f>
        <v>557915</v>
      </c>
      <c r="I172" s="1734"/>
      <c r="J172" s="1723"/>
      <c r="K172" s="1731">
        <f>SUM(K168,K169,K170,K171)</f>
        <v>557915</v>
      </c>
      <c r="L172" s="1731">
        <f>SUM(L168,L169,L170,L171)</f>
        <v>551328</v>
      </c>
    </row>
    <row r="173" spans="1:14" ht="15.75" customHeight="1" thickTop="1" thickBot="1" x14ac:dyDescent="0.25">
      <c r="A173" s="1402" t="s">
        <v>85</v>
      </c>
      <c r="B173" s="1394" t="s">
        <v>856</v>
      </c>
      <c r="C173" s="1723"/>
      <c r="D173" s="1723"/>
      <c r="E173" s="1726"/>
      <c r="F173" s="1723"/>
      <c r="G173" s="1723"/>
      <c r="H173" s="1727"/>
      <c r="I173" s="1734"/>
      <c r="J173" s="1723"/>
      <c r="K173" s="1726"/>
      <c r="L173" s="1701">
        <v>0</v>
      </c>
    </row>
    <row r="174" spans="1:14" ht="12.75" customHeight="1" thickTop="1" thickBot="1" x14ac:dyDescent="0.25">
      <c r="A174" s="1440" t="s">
        <v>90</v>
      </c>
      <c r="B174" s="1441"/>
      <c r="C174" s="1723"/>
      <c r="D174" s="1723"/>
      <c r="E174" s="1731">
        <f>SUM(E172,E173)</f>
        <v>0</v>
      </c>
      <c r="F174" s="1723"/>
      <c r="G174" s="1723"/>
      <c r="H174" s="1731">
        <f>SUM(H160,H172,H173)</f>
        <v>557915</v>
      </c>
      <c r="I174" s="1734"/>
      <c r="J174" s="1723"/>
      <c r="K174" s="1731">
        <f>SUM(K160,K172,K173)</f>
        <v>557915</v>
      </c>
      <c r="L174" s="1731">
        <f>SUM(L160,L172,L173)</f>
        <v>551328</v>
      </c>
    </row>
    <row r="175" spans="1:14" ht="13.5" thickTop="1" x14ac:dyDescent="0.2">
      <c r="A175" s="2241" t="s">
        <v>989</v>
      </c>
      <c r="B175" s="2242"/>
      <c r="C175" s="1723"/>
      <c r="D175" s="1723"/>
      <c r="E175" s="1723"/>
      <c r="F175" s="1723"/>
      <c r="G175" s="1723"/>
      <c r="H175" s="1725"/>
      <c r="I175" s="1723"/>
      <c r="J175" s="1723"/>
      <c r="K175" s="1739">
        <f>'Revenues 9-14'!E268-'Expenditures 15-22'!K174</f>
        <v>-15208</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v>0</v>
      </c>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96132</v>
      </c>
      <c r="D182" s="1623">
        <v>8844</v>
      </c>
      <c r="E182" s="1623">
        <v>109390</v>
      </c>
      <c r="F182" s="1623">
        <v>36943</v>
      </c>
      <c r="G182" s="1623"/>
      <c r="H182" s="1623"/>
      <c r="I182" s="1624"/>
      <c r="J182" s="1624"/>
      <c r="K182" s="1722">
        <f>SUM(C182:J182)</f>
        <v>251309</v>
      </c>
      <c r="L182" s="1623">
        <v>249694</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v>0</v>
      </c>
    </row>
    <row r="184" spans="1:14" ht="12.75" customHeight="1" thickTop="1" thickBot="1" x14ac:dyDescent="0.25">
      <c r="A184" s="1442" t="s">
        <v>806</v>
      </c>
      <c r="B184" s="1430" t="s">
        <v>565</v>
      </c>
      <c r="C184" s="1731">
        <f>SUM(C180,C182,C183)</f>
        <v>96132</v>
      </c>
      <c r="D184" s="1731">
        <f t="shared" ref="D184:J184" si="17">SUM(D180,D182,D183)</f>
        <v>8844</v>
      </c>
      <c r="E184" s="1731">
        <f t="shared" si="17"/>
        <v>109390</v>
      </c>
      <c r="F184" s="1731">
        <f t="shared" si="17"/>
        <v>36943</v>
      </c>
      <c r="G184" s="1731">
        <f t="shared" si="17"/>
        <v>0</v>
      </c>
      <c r="H184" s="1731">
        <f t="shared" si="17"/>
        <v>0</v>
      </c>
      <c r="I184" s="1731">
        <f t="shared" si="17"/>
        <v>0</v>
      </c>
      <c r="J184" s="1731">
        <f t="shared" si="17"/>
        <v>0</v>
      </c>
      <c r="K184" s="1731">
        <f>SUM(K180,K182,K183)</f>
        <v>251309</v>
      </c>
      <c r="L184" s="1731">
        <f>SUM(L180, L182:L183)</f>
        <v>249694</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v>0</v>
      </c>
    </row>
    <row r="189" spans="1:14" x14ac:dyDescent="0.2">
      <c r="A189" s="1319" t="s">
        <v>301</v>
      </c>
      <c r="B189" s="503">
        <v>4120</v>
      </c>
      <c r="C189" s="1723"/>
      <c r="D189" s="1723"/>
      <c r="E189" s="1623"/>
      <c r="F189" s="1723"/>
      <c r="G189" s="1723"/>
      <c r="H189" s="1623"/>
      <c r="I189" s="1632"/>
      <c r="J189" s="1723"/>
      <c r="K189" s="1722">
        <f t="shared" si="18"/>
        <v>0</v>
      </c>
      <c r="L189" s="1623">
        <v>0</v>
      </c>
    </row>
    <row r="190" spans="1:14" x14ac:dyDescent="0.2">
      <c r="A190" s="1319" t="s">
        <v>302</v>
      </c>
      <c r="B190" s="512">
        <v>4130</v>
      </c>
      <c r="C190" s="1723"/>
      <c r="D190" s="1723"/>
      <c r="E190" s="1623"/>
      <c r="F190" s="1723"/>
      <c r="G190" s="1723"/>
      <c r="H190" s="1623"/>
      <c r="I190" s="1632"/>
      <c r="J190" s="1723"/>
      <c r="K190" s="1722">
        <f t="shared" si="18"/>
        <v>0</v>
      </c>
      <c r="L190" s="1623">
        <v>0</v>
      </c>
    </row>
    <row r="191" spans="1:14" x14ac:dyDescent="0.2">
      <c r="A191" s="1319" t="s">
        <v>692</v>
      </c>
      <c r="B191" s="503">
        <v>4140</v>
      </c>
      <c r="C191" s="1723"/>
      <c r="D191" s="1723"/>
      <c r="E191" s="1623"/>
      <c r="F191" s="1723"/>
      <c r="G191" s="1723"/>
      <c r="H191" s="1623"/>
      <c r="I191" s="1632"/>
      <c r="J191" s="1723"/>
      <c r="K191" s="1722">
        <f t="shared" si="18"/>
        <v>0</v>
      </c>
      <c r="L191" s="1623">
        <v>0</v>
      </c>
    </row>
    <row r="192" spans="1:14" x14ac:dyDescent="0.2">
      <c r="A192" s="1319" t="s">
        <v>86</v>
      </c>
      <c r="B192" s="503">
        <v>4170</v>
      </c>
      <c r="C192" s="1723"/>
      <c r="D192" s="1723"/>
      <c r="E192" s="1623"/>
      <c r="F192" s="1723"/>
      <c r="G192" s="1723"/>
      <c r="H192" s="1623"/>
      <c r="I192" s="1632"/>
      <c r="J192" s="1723"/>
      <c r="K192" s="1722">
        <f t="shared" si="18"/>
        <v>0</v>
      </c>
      <c r="L192" s="1623">
        <v>0</v>
      </c>
    </row>
    <row r="193" spans="1:14" x14ac:dyDescent="0.2">
      <c r="A193" s="1323" t="s">
        <v>693</v>
      </c>
      <c r="B193" s="512">
        <v>4190</v>
      </c>
      <c r="C193" s="1723"/>
      <c r="D193" s="1723"/>
      <c r="E193" s="1623"/>
      <c r="F193" s="1723"/>
      <c r="G193" s="1723"/>
      <c r="H193" s="1623"/>
      <c r="I193" s="1632"/>
      <c r="J193" s="1723"/>
      <c r="K193" s="1722">
        <f t="shared" si="18"/>
        <v>0</v>
      </c>
      <c r="L193" s="1623">
        <v>0</v>
      </c>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v>0</v>
      </c>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v>0</v>
      </c>
    </row>
    <row r="200" spans="1:14" x14ac:dyDescent="0.2">
      <c r="A200" s="1319" t="s">
        <v>88</v>
      </c>
      <c r="B200" s="503">
        <v>5120</v>
      </c>
      <c r="C200" s="1723"/>
      <c r="D200" s="1723"/>
      <c r="E200" s="1723"/>
      <c r="F200" s="1723"/>
      <c r="G200" s="1723"/>
      <c r="H200" s="1623"/>
      <c r="I200" s="1723"/>
      <c r="J200" s="1723"/>
      <c r="K200" s="1722">
        <f>SUM(H200)</f>
        <v>0</v>
      </c>
      <c r="L200" s="1623">
        <v>0</v>
      </c>
    </row>
    <row r="201" spans="1:14" ht="12.75" customHeight="1" x14ac:dyDescent="0.2">
      <c r="A201" s="1319" t="s">
        <v>1162</v>
      </c>
      <c r="B201" s="512" t="s">
        <v>613</v>
      </c>
      <c r="C201" s="1723"/>
      <c r="D201" s="1723"/>
      <c r="E201" s="1723"/>
      <c r="F201" s="1723"/>
      <c r="G201" s="1723"/>
      <c r="H201" s="1623"/>
      <c r="I201" s="1723"/>
      <c r="J201" s="1723"/>
      <c r="K201" s="1722">
        <f>SUM(H201)</f>
        <v>0</v>
      </c>
      <c r="L201" s="1623">
        <v>0</v>
      </c>
    </row>
    <row r="202" spans="1:14" x14ac:dyDescent="0.2">
      <c r="A202" s="1319" t="s">
        <v>89</v>
      </c>
      <c r="B202" s="503" t="s">
        <v>585</v>
      </c>
      <c r="C202" s="1723"/>
      <c r="D202" s="1723"/>
      <c r="E202" s="1723"/>
      <c r="F202" s="1723"/>
      <c r="G202" s="1723"/>
      <c r="H202" s="1623"/>
      <c r="I202" s="1723"/>
      <c r="J202" s="1723"/>
      <c r="K202" s="1722">
        <f>SUM(H202)</f>
        <v>0</v>
      </c>
      <c r="L202" s="1623">
        <v>0</v>
      </c>
    </row>
    <row r="203" spans="1:14" x14ac:dyDescent="0.2">
      <c r="A203" s="1331" t="s">
        <v>615</v>
      </c>
      <c r="B203" s="503" t="s">
        <v>614</v>
      </c>
      <c r="C203" s="1723"/>
      <c r="D203" s="1723"/>
      <c r="E203" s="1723"/>
      <c r="F203" s="1723"/>
      <c r="G203" s="1723"/>
      <c r="H203" s="1627"/>
      <c r="I203" s="1723"/>
      <c r="J203" s="1723"/>
      <c r="K203" s="1722">
        <f>SUM(H203)</f>
        <v>0</v>
      </c>
      <c r="L203" s="1627">
        <v>0</v>
      </c>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v>0</v>
      </c>
    </row>
    <row r="206" spans="1:14" ht="30" customHeight="1" x14ac:dyDescent="0.2">
      <c r="A206" s="555" t="s">
        <v>1655</v>
      </c>
      <c r="B206" s="546" t="s">
        <v>31</v>
      </c>
      <c r="C206" s="1723"/>
      <c r="D206" s="1723"/>
      <c r="E206" s="1723"/>
      <c r="F206" s="1723"/>
      <c r="G206" s="1723"/>
      <c r="H206" s="1623"/>
      <c r="I206" s="1723"/>
      <c r="J206" s="1723"/>
      <c r="K206" s="1722">
        <f>SUM(H206)</f>
        <v>0</v>
      </c>
      <c r="L206" s="1623">
        <v>0</v>
      </c>
    </row>
    <row r="207" spans="1:14" ht="15.75" customHeight="1" x14ac:dyDescent="0.2">
      <c r="A207" s="507" t="s">
        <v>761</v>
      </c>
      <c r="B207" s="546" t="s">
        <v>84</v>
      </c>
      <c r="C207" s="1723"/>
      <c r="D207" s="1723"/>
      <c r="E207" s="1723"/>
      <c r="F207" s="1723"/>
      <c r="G207" s="1723"/>
      <c r="H207" s="1624"/>
      <c r="I207" s="1723"/>
      <c r="J207" s="1723"/>
      <c r="K207" s="1722">
        <f>H207</f>
        <v>0</v>
      </c>
      <c r="L207" s="1623">
        <v>0</v>
      </c>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v>0</v>
      </c>
    </row>
    <row r="210" spans="1:14" ht="12.75" customHeight="1" thickTop="1" thickBot="1" x14ac:dyDescent="0.25">
      <c r="A210" s="1443" t="s">
        <v>275</v>
      </c>
      <c r="B210" s="1444"/>
      <c r="C210" s="1724">
        <f>SUM(C184,C185)</f>
        <v>96132</v>
      </c>
      <c r="D210" s="1724">
        <f>SUM(D184,D185)</f>
        <v>8844</v>
      </c>
      <c r="E210" s="1724">
        <f>SUM(E184,E185,E196)</f>
        <v>109390</v>
      </c>
      <c r="F210" s="1724">
        <f>SUM(F184,F185)</f>
        <v>36943</v>
      </c>
      <c r="G210" s="1724">
        <f>SUM(G184,G185)</f>
        <v>0</v>
      </c>
      <c r="H210" s="1724">
        <f>SUM(H184,H185,H196,H208,H209)</f>
        <v>0</v>
      </c>
      <c r="I210" s="1724">
        <f>SUM(I184,I185)</f>
        <v>0</v>
      </c>
      <c r="J210" s="1724">
        <f>SUM(J184,J185)</f>
        <v>0</v>
      </c>
      <c r="K210" s="1722">
        <f>SUM(K184,K185,K196,K208,K209)</f>
        <v>251309</v>
      </c>
      <c r="L210" s="1724">
        <f>SUM(L184,L185,L196,L208,L209)</f>
        <v>249694</v>
      </c>
    </row>
    <row r="211" spans="1:14" ht="13.5" thickTop="1" x14ac:dyDescent="0.2">
      <c r="A211" s="2241" t="s">
        <v>989</v>
      </c>
      <c r="B211" s="2242"/>
      <c r="C211" s="1725"/>
      <c r="D211" s="1725"/>
      <c r="E211" s="1725"/>
      <c r="F211" s="1725"/>
      <c r="G211" s="1725"/>
      <c r="H211" s="1725"/>
      <c r="I211" s="1723"/>
      <c r="J211" s="1723"/>
      <c r="K211" s="1739">
        <f>'Revenues 9-14'!F268-'Expenditures 15-22'!K210</f>
        <v>92800</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6" t="s">
        <v>959</v>
      </c>
      <c r="B213" s="2237"/>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37650</v>
      </c>
      <c r="E215" s="1723"/>
      <c r="F215" s="1723"/>
      <c r="G215" s="1723"/>
      <c r="H215" s="1723"/>
      <c r="I215" s="1723"/>
      <c r="J215" s="1723"/>
      <c r="K215" s="1722">
        <f>D215</f>
        <v>37650</v>
      </c>
      <c r="L215" s="1623">
        <v>37602</v>
      </c>
    </row>
    <row r="216" spans="1:14" x14ac:dyDescent="0.2">
      <c r="A216" s="1319" t="s">
        <v>162</v>
      </c>
      <c r="B216" s="503" t="s">
        <v>961</v>
      </c>
      <c r="C216" s="1723"/>
      <c r="D216" s="1624">
        <v>4581</v>
      </c>
      <c r="E216" s="1723"/>
      <c r="F216" s="1723"/>
      <c r="G216" s="1723"/>
      <c r="H216" s="1723"/>
      <c r="I216" s="1723"/>
      <c r="J216" s="1723"/>
      <c r="K216" s="1722">
        <f t="shared" ref="K216:K228" si="19">D216</f>
        <v>4581</v>
      </c>
      <c r="L216" s="1623">
        <v>4796</v>
      </c>
    </row>
    <row r="217" spans="1:14" x14ac:dyDescent="0.2">
      <c r="A217" s="1319" t="s">
        <v>163</v>
      </c>
      <c r="B217" s="503">
        <v>1200</v>
      </c>
      <c r="C217" s="1723"/>
      <c r="D217" s="1623">
        <f>5729+756</f>
        <v>6485</v>
      </c>
      <c r="E217" s="1723"/>
      <c r="F217" s="1723"/>
      <c r="G217" s="1723"/>
      <c r="H217" s="1723"/>
      <c r="I217" s="1723"/>
      <c r="J217" s="1723"/>
      <c r="K217" s="1722">
        <f t="shared" si="19"/>
        <v>6485</v>
      </c>
      <c r="L217" s="1623">
        <v>6162</v>
      </c>
    </row>
    <row r="218" spans="1:14" x14ac:dyDescent="0.2">
      <c r="A218" s="1319" t="s">
        <v>276</v>
      </c>
      <c r="B218" s="503" t="s">
        <v>962</v>
      </c>
      <c r="C218" s="1723"/>
      <c r="D218" s="1624"/>
      <c r="E218" s="1723"/>
      <c r="F218" s="1723"/>
      <c r="G218" s="1723"/>
      <c r="H218" s="1723"/>
      <c r="I218" s="1723"/>
      <c r="J218" s="1723"/>
      <c r="K218" s="1722">
        <f t="shared" si="19"/>
        <v>0</v>
      </c>
      <c r="L218" s="1623">
        <v>0</v>
      </c>
    </row>
    <row r="219" spans="1:14" x14ac:dyDescent="0.2">
      <c r="A219" s="1319" t="s">
        <v>277</v>
      </c>
      <c r="B219" s="503">
        <v>1250</v>
      </c>
      <c r="C219" s="1723"/>
      <c r="D219" s="1623">
        <v>14209</v>
      </c>
      <c r="E219" s="1723"/>
      <c r="F219" s="1723"/>
      <c r="G219" s="1723"/>
      <c r="H219" s="1723"/>
      <c r="I219" s="1723"/>
      <c r="J219" s="1723"/>
      <c r="K219" s="1722">
        <f t="shared" si="19"/>
        <v>14209</v>
      </c>
      <c r="L219" s="1623">
        <v>14181</v>
      </c>
    </row>
    <row r="220" spans="1:14" x14ac:dyDescent="0.2">
      <c r="A220" s="1319" t="s">
        <v>278</v>
      </c>
      <c r="B220" s="503" t="s">
        <v>160</v>
      </c>
      <c r="C220" s="1723"/>
      <c r="D220" s="1624"/>
      <c r="E220" s="1723"/>
      <c r="F220" s="1723"/>
      <c r="G220" s="1723"/>
      <c r="H220" s="1723"/>
      <c r="I220" s="1723"/>
      <c r="J220" s="1723"/>
      <c r="K220" s="1722">
        <f t="shared" si="19"/>
        <v>0</v>
      </c>
      <c r="L220" s="1623">
        <v>0</v>
      </c>
    </row>
    <row r="221" spans="1:14" x14ac:dyDescent="0.2">
      <c r="A221" s="1319" t="s">
        <v>956</v>
      </c>
      <c r="B221" s="503">
        <v>1300</v>
      </c>
      <c r="C221" s="1723"/>
      <c r="D221" s="1623"/>
      <c r="E221" s="1723"/>
      <c r="F221" s="1723"/>
      <c r="G221" s="1723"/>
      <c r="H221" s="1723"/>
      <c r="I221" s="1723"/>
      <c r="J221" s="1723"/>
      <c r="K221" s="1722">
        <f t="shared" si="19"/>
        <v>0</v>
      </c>
      <c r="L221" s="1623">
        <v>0</v>
      </c>
    </row>
    <row r="222" spans="1:14" x14ac:dyDescent="0.2">
      <c r="A222" s="1319" t="s">
        <v>718</v>
      </c>
      <c r="B222" s="503">
        <v>1400</v>
      </c>
      <c r="C222" s="1723"/>
      <c r="D222" s="1623"/>
      <c r="E222" s="1723"/>
      <c r="F222" s="1723"/>
      <c r="G222" s="1723"/>
      <c r="H222" s="1723"/>
      <c r="I222" s="1723"/>
      <c r="J222" s="1723"/>
      <c r="K222" s="1722">
        <f t="shared" si="19"/>
        <v>0</v>
      </c>
      <c r="L222" s="1623">
        <v>0</v>
      </c>
    </row>
    <row r="223" spans="1:14" x14ac:dyDescent="0.2">
      <c r="A223" s="1319" t="s">
        <v>957</v>
      </c>
      <c r="B223" s="503">
        <v>1500</v>
      </c>
      <c r="C223" s="1723"/>
      <c r="D223" s="1623">
        <v>2635</v>
      </c>
      <c r="E223" s="1723"/>
      <c r="F223" s="1723"/>
      <c r="G223" s="1723"/>
      <c r="H223" s="1723"/>
      <c r="I223" s="1723"/>
      <c r="J223" s="1723"/>
      <c r="K223" s="1722">
        <f t="shared" si="19"/>
        <v>2635</v>
      </c>
      <c r="L223" s="1623">
        <v>2633</v>
      </c>
    </row>
    <row r="224" spans="1:14" x14ac:dyDescent="0.2">
      <c r="A224" s="1319" t="s">
        <v>958</v>
      </c>
      <c r="B224" s="503">
        <v>1600</v>
      </c>
      <c r="C224" s="1723"/>
      <c r="D224" s="1623"/>
      <c r="E224" s="1723"/>
      <c r="F224" s="1723"/>
      <c r="G224" s="1723"/>
      <c r="H224" s="1723"/>
      <c r="I224" s="1723"/>
      <c r="J224" s="1723"/>
      <c r="K224" s="1722">
        <f t="shared" si="19"/>
        <v>0</v>
      </c>
      <c r="L224" s="1623">
        <v>0</v>
      </c>
    </row>
    <row r="225" spans="1:12" x14ac:dyDescent="0.2">
      <c r="A225" s="1319" t="s">
        <v>980</v>
      </c>
      <c r="B225" s="503">
        <v>1650</v>
      </c>
      <c r="C225" s="1723"/>
      <c r="D225" s="1623"/>
      <c r="E225" s="1723"/>
      <c r="F225" s="1723"/>
      <c r="G225" s="1723"/>
      <c r="H225" s="1723"/>
      <c r="I225" s="1723"/>
      <c r="J225" s="1723"/>
      <c r="K225" s="1722">
        <f t="shared" si="19"/>
        <v>0</v>
      </c>
      <c r="L225" s="1623">
        <v>0</v>
      </c>
    </row>
    <row r="226" spans="1:12" x14ac:dyDescent="0.2">
      <c r="A226" s="1319" t="s">
        <v>719</v>
      </c>
      <c r="B226" s="503" t="s">
        <v>161</v>
      </c>
      <c r="C226" s="1723"/>
      <c r="D226" s="1624"/>
      <c r="E226" s="1723"/>
      <c r="F226" s="1723"/>
      <c r="G226" s="1723"/>
      <c r="H226" s="1723"/>
      <c r="I226" s="1723"/>
      <c r="J226" s="1723"/>
      <c r="K226" s="1722">
        <f t="shared" si="19"/>
        <v>0</v>
      </c>
      <c r="L226" s="1623">
        <v>0</v>
      </c>
    </row>
    <row r="227" spans="1:12" x14ac:dyDescent="0.2">
      <c r="A227" s="1319" t="s">
        <v>1080</v>
      </c>
      <c r="B227" s="503">
        <v>1800</v>
      </c>
      <c r="C227" s="1723"/>
      <c r="D227" s="1623">
        <v>3236</v>
      </c>
      <c r="E227" s="1723"/>
      <c r="F227" s="1723"/>
      <c r="G227" s="1723"/>
      <c r="H227" s="1723"/>
      <c r="I227" s="1723"/>
      <c r="J227" s="1723"/>
      <c r="K227" s="1722">
        <f t="shared" si="19"/>
        <v>3236</v>
      </c>
      <c r="L227" s="1623">
        <v>3235</v>
      </c>
    </row>
    <row r="228" spans="1:12" x14ac:dyDescent="0.2">
      <c r="A228" s="1319" t="s">
        <v>1081</v>
      </c>
      <c r="B228" s="503">
        <v>1900</v>
      </c>
      <c r="C228" s="1723"/>
      <c r="D228" s="1623"/>
      <c r="E228" s="1723"/>
      <c r="F228" s="1723"/>
      <c r="G228" s="1723"/>
      <c r="H228" s="1723"/>
      <c r="I228" s="1723"/>
      <c r="J228" s="1723"/>
      <c r="K228" s="1722">
        <f t="shared" si="19"/>
        <v>0</v>
      </c>
      <c r="L228" s="1623">
        <v>0</v>
      </c>
    </row>
    <row r="229" spans="1:12" ht="12.75" customHeight="1" thickBot="1" x14ac:dyDescent="0.25">
      <c r="A229" s="1429" t="s">
        <v>710</v>
      </c>
      <c r="B229" s="1432" t="s">
        <v>566</v>
      </c>
      <c r="C229" s="1723"/>
      <c r="D229" s="1724">
        <f>SUM(D215:D228)</f>
        <v>68796</v>
      </c>
      <c r="E229" s="1723"/>
      <c r="F229" s="1723"/>
      <c r="G229" s="1723"/>
      <c r="H229" s="1723"/>
      <c r="I229" s="1723"/>
      <c r="J229" s="1723"/>
      <c r="K229" s="1724">
        <f>SUM(K215:K228)</f>
        <v>68796</v>
      </c>
      <c r="L229" s="1724">
        <f>SUM(L215:L228)</f>
        <v>68609</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c r="E232" s="1723"/>
      <c r="F232" s="1723"/>
      <c r="G232" s="1723"/>
      <c r="H232" s="1723"/>
      <c r="I232" s="1723"/>
      <c r="J232" s="1723"/>
      <c r="K232" s="1722">
        <f t="shared" ref="K232:K237" si="20">D232</f>
        <v>0</v>
      </c>
      <c r="L232" s="1623">
        <v>0</v>
      </c>
    </row>
    <row r="233" spans="1:12" x14ac:dyDescent="0.2">
      <c r="A233" s="1319" t="s">
        <v>1083</v>
      </c>
      <c r="B233" s="503">
        <v>2120</v>
      </c>
      <c r="C233" s="1723"/>
      <c r="D233" s="1623"/>
      <c r="E233" s="1723"/>
      <c r="F233" s="1723"/>
      <c r="G233" s="1723"/>
      <c r="H233" s="1723"/>
      <c r="I233" s="1723"/>
      <c r="J233" s="1723"/>
      <c r="K233" s="1722">
        <f t="shared" si="20"/>
        <v>0</v>
      </c>
      <c r="L233" s="1623">
        <v>0</v>
      </c>
    </row>
    <row r="234" spans="1:12" x14ac:dyDescent="0.2">
      <c r="A234" s="1319" t="s">
        <v>196</v>
      </c>
      <c r="B234" s="503">
        <v>2130</v>
      </c>
      <c r="C234" s="1723"/>
      <c r="D234" s="1623">
        <v>3927</v>
      </c>
      <c r="E234" s="1723"/>
      <c r="F234" s="1723"/>
      <c r="G234" s="1723"/>
      <c r="H234" s="1723"/>
      <c r="I234" s="1723"/>
      <c r="J234" s="1723"/>
      <c r="K234" s="1722">
        <f t="shared" si="20"/>
        <v>3927</v>
      </c>
      <c r="L234" s="1623">
        <v>3896</v>
      </c>
    </row>
    <row r="235" spans="1:12" x14ac:dyDescent="0.2">
      <c r="A235" s="1319" t="s">
        <v>197</v>
      </c>
      <c r="B235" s="503">
        <v>2140</v>
      </c>
      <c r="C235" s="1723"/>
      <c r="D235" s="1623"/>
      <c r="E235" s="1723"/>
      <c r="F235" s="1723"/>
      <c r="G235" s="1723"/>
      <c r="H235" s="1723"/>
      <c r="I235" s="1723"/>
      <c r="J235" s="1723"/>
      <c r="K235" s="1722">
        <f t="shared" si="20"/>
        <v>0</v>
      </c>
      <c r="L235" s="1623">
        <v>0</v>
      </c>
    </row>
    <row r="236" spans="1:12" x14ac:dyDescent="0.2">
      <c r="A236" s="1319" t="s">
        <v>198</v>
      </c>
      <c r="B236" s="503">
        <v>2150</v>
      </c>
      <c r="C236" s="1723"/>
      <c r="D236" s="1623">
        <v>938</v>
      </c>
      <c r="E236" s="1723"/>
      <c r="F236" s="1723"/>
      <c r="G236" s="1723"/>
      <c r="H236" s="1723"/>
      <c r="I236" s="1723"/>
      <c r="J236" s="1723"/>
      <c r="K236" s="1722">
        <f t="shared" si="20"/>
        <v>938</v>
      </c>
      <c r="L236" s="1623">
        <v>936</v>
      </c>
    </row>
    <row r="237" spans="1:12" x14ac:dyDescent="0.2">
      <c r="A237" s="1319" t="s">
        <v>164</v>
      </c>
      <c r="B237" s="503">
        <v>2190</v>
      </c>
      <c r="C237" s="1723"/>
      <c r="D237" s="1623"/>
      <c r="E237" s="1723"/>
      <c r="F237" s="1723"/>
      <c r="G237" s="1723"/>
      <c r="H237" s="1723"/>
      <c r="I237" s="1723"/>
      <c r="J237" s="1723"/>
      <c r="K237" s="1722">
        <f t="shared" si="20"/>
        <v>0</v>
      </c>
      <c r="L237" s="1623">
        <v>0</v>
      </c>
    </row>
    <row r="238" spans="1:12" ht="12.75" customHeight="1" thickBot="1" x14ac:dyDescent="0.25">
      <c r="A238" s="1429" t="s">
        <v>556</v>
      </c>
      <c r="B238" s="1432" t="s">
        <v>711</v>
      </c>
      <c r="C238" s="1723"/>
      <c r="D238" s="1724">
        <f>SUM(D232:D237)</f>
        <v>4865</v>
      </c>
      <c r="E238" s="1723"/>
      <c r="F238" s="1723"/>
      <c r="G238" s="1723"/>
      <c r="H238" s="1723"/>
      <c r="I238" s="1723"/>
      <c r="J238" s="1723"/>
      <c r="K238" s="1724">
        <f>SUM(K232:K237)</f>
        <v>4865</v>
      </c>
      <c r="L238" s="1724">
        <f>SUM(L232:L237)</f>
        <v>4832</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v>0</v>
      </c>
    </row>
    <row r="241" spans="1:12" x14ac:dyDescent="0.2">
      <c r="A241" s="1319" t="s">
        <v>810</v>
      </c>
      <c r="B241" s="503">
        <v>2220</v>
      </c>
      <c r="C241" s="1723"/>
      <c r="D241" s="1623">
        <v>3327</v>
      </c>
      <c r="E241" s="1723"/>
      <c r="F241" s="1723"/>
      <c r="G241" s="1723"/>
      <c r="H241" s="1723"/>
      <c r="I241" s="1723"/>
      <c r="J241" s="1723"/>
      <c r="K241" s="1728">
        <f>D241</f>
        <v>3327</v>
      </c>
      <c r="L241" s="1623">
        <v>3377</v>
      </c>
    </row>
    <row r="242" spans="1:12" x14ac:dyDescent="0.2">
      <c r="A242" s="1319" t="s">
        <v>811</v>
      </c>
      <c r="B242" s="503">
        <v>2230</v>
      </c>
      <c r="C242" s="1723"/>
      <c r="D242" s="1623"/>
      <c r="E242" s="1723"/>
      <c r="F242" s="1723"/>
      <c r="G242" s="1723"/>
      <c r="H242" s="1723"/>
      <c r="I242" s="1723"/>
      <c r="J242" s="1723"/>
      <c r="K242" s="1728">
        <f>D242</f>
        <v>0</v>
      </c>
      <c r="L242" s="1623">
        <v>0</v>
      </c>
    </row>
    <row r="243" spans="1:12" ht="12.75" customHeight="1" thickBot="1" x14ac:dyDescent="0.25">
      <c r="A243" s="1445" t="s">
        <v>557</v>
      </c>
      <c r="B243" s="1446">
        <v>2200</v>
      </c>
      <c r="C243" s="1723"/>
      <c r="D243" s="1724">
        <f>SUM(D240:D242)</f>
        <v>3327</v>
      </c>
      <c r="E243" s="1723"/>
      <c r="F243" s="1723"/>
      <c r="G243" s="1723"/>
      <c r="H243" s="1723"/>
      <c r="I243" s="1723"/>
      <c r="J243" s="1723"/>
      <c r="K243" s="1724">
        <f>SUM(K240:K242)</f>
        <v>3327</v>
      </c>
      <c r="L243" s="1724">
        <f>SUM(L240:L242)</f>
        <v>3377</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194</v>
      </c>
      <c r="E245" s="1723"/>
      <c r="F245" s="1723"/>
      <c r="G245" s="1723"/>
      <c r="H245" s="1723"/>
      <c r="I245" s="1723"/>
      <c r="J245" s="1723"/>
      <c r="K245" s="1728">
        <f>D245</f>
        <v>194</v>
      </c>
      <c r="L245" s="1636">
        <v>190</v>
      </c>
    </row>
    <row r="246" spans="1:12" x14ac:dyDescent="0.2">
      <c r="A246" s="1319" t="s">
        <v>813</v>
      </c>
      <c r="B246" s="503">
        <v>2320</v>
      </c>
      <c r="C246" s="1723"/>
      <c r="D246" s="1623">
        <v>3798</v>
      </c>
      <c r="E246" s="1723"/>
      <c r="F246" s="1723"/>
      <c r="G246" s="1723"/>
      <c r="H246" s="1723"/>
      <c r="I246" s="1723"/>
      <c r="J246" s="1723"/>
      <c r="K246" s="1728">
        <f t="shared" ref="K246:K256" si="21">D246</f>
        <v>3798</v>
      </c>
      <c r="L246" s="1623">
        <v>3711</v>
      </c>
    </row>
    <row r="247" spans="1:12" x14ac:dyDescent="0.2">
      <c r="A247" s="1319" t="s">
        <v>814</v>
      </c>
      <c r="B247" s="503">
        <v>2330</v>
      </c>
      <c r="C247" s="1723"/>
      <c r="D247" s="1623"/>
      <c r="E247" s="1723"/>
      <c r="F247" s="1723"/>
      <c r="G247" s="1723"/>
      <c r="H247" s="1723"/>
      <c r="I247" s="1723"/>
      <c r="J247" s="1723"/>
      <c r="K247" s="1728">
        <f t="shared" si="21"/>
        <v>0</v>
      </c>
      <c r="L247" s="1623">
        <v>0</v>
      </c>
    </row>
    <row r="248" spans="1:12" x14ac:dyDescent="0.2">
      <c r="A248" s="1320" t="s">
        <v>296</v>
      </c>
      <c r="B248" s="494" t="s">
        <v>279</v>
      </c>
      <c r="C248" s="1723"/>
      <c r="D248" s="1629"/>
      <c r="E248" s="1723"/>
      <c r="F248" s="1723"/>
      <c r="G248" s="1723"/>
      <c r="H248" s="1723"/>
      <c r="I248" s="1723"/>
      <c r="J248" s="1723"/>
      <c r="K248" s="1728">
        <f t="shared" si="21"/>
        <v>0</v>
      </c>
      <c r="L248" s="1623">
        <v>0</v>
      </c>
    </row>
    <row r="249" spans="1:12" x14ac:dyDescent="0.2">
      <c r="A249" s="1321" t="s">
        <v>1785</v>
      </c>
      <c r="B249" s="557" t="s">
        <v>280</v>
      </c>
      <c r="C249" s="1723"/>
      <c r="D249" s="1629"/>
      <c r="E249" s="1723"/>
      <c r="F249" s="1723"/>
      <c r="G249" s="1723"/>
      <c r="H249" s="1723"/>
      <c r="I249" s="1723"/>
      <c r="J249" s="1723"/>
      <c r="K249" s="1728">
        <f t="shared" si="21"/>
        <v>0</v>
      </c>
      <c r="L249" s="1623">
        <v>0</v>
      </c>
    </row>
    <row r="250" spans="1:12" x14ac:dyDescent="0.2">
      <c r="A250" s="1320" t="s">
        <v>1786</v>
      </c>
      <c r="B250" s="494" t="s">
        <v>281</v>
      </c>
      <c r="C250" s="1723"/>
      <c r="D250" s="1629"/>
      <c r="E250" s="1723"/>
      <c r="F250" s="1723"/>
      <c r="G250" s="1723"/>
      <c r="H250" s="1723"/>
      <c r="I250" s="1723"/>
      <c r="J250" s="1723"/>
      <c r="K250" s="1728">
        <f t="shared" si="21"/>
        <v>0</v>
      </c>
      <c r="L250" s="1623">
        <v>0</v>
      </c>
    </row>
    <row r="251" spans="1:12" x14ac:dyDescent="0.2">
      <c r="A251" s="1320" t="s">
        <v>236</v>
      </c>
      <c r="B251" s="494" t="s">
        <v>282</v>
      </c>
      <c r="C251" s="1723"/>
      <c r="D251" s="1629"/>
      <c r="E251" s="1723"/>
      <c r="F251" s="1723"/>
      <c r="G251" s="1723"/>
      <c r="H251" s="1723"/>
      <c r="I251" s="1723"/>
      <c r="J251" s="1723"/>
      <c r="K251" s="1728">
        <f t="shared" si="21"/>
        <v>0</v>
      </c>
      <c r="L251" s="1623">
        <v>0</v>
      </c>
    </row>
    <row r="252" spans="1:12" x14ac:dyDescent="0.2">
      <c r="A252" s="1320" t="s">
        <v>697</v>
      </c>
      <c r="B252" s="494" t="s">
        <v>283</v>
      </c>
      <c r="C252" s="1723"/>
      <c r="D252" s="1629"/>
      <c r="E252" s="1723"/>
      <c r="F252" s="1723"/>
      <c r="G252" s="1723"/>
      <c r="H252" s="1723"/>
      <c r="I252" s="1723"/>
      <c r="J252" s="1723"/>
      <c r="K252" s="1728">
        <f t="shared" si="21"/>
        <v>0</v>
      </c>
      <c r="L252" s="1623">
        <v>0</v>
      </c>
    </row>
    <row r="253" spans="1:12" x14ac:dyDescent="0.2">
      <c r="A253" s="1320" t="s">
        <v>237</v>
      </c>
      <c r="B253" s="494" t="s">
        <v>284</v>
      </c>
      <c r="C253" s="1723"/>
      <c r="D253" s="1629"/>
      <c r="E253" s="1723"/>
      <c r="F253" s="1723"/>
      <c r="G253" s="1723"/>
      <c r="H253" s="1723"/>
      <c r="I253" s="1723"/>
      <c r="J253" s="1723"/>
      <c r="K253" s="1728">
        <f t="shared" si="21"/>
        <v>0</v>
      </c>
      <c r="L253" s="1623">
        <v>0</v>
      </c>
    </row>
    <row r="254" spans="1:12" ht="22.5" x14ac:dyDescent="0.2">
      <c r="A254" s="1320" t="s">
        <v>1022</v>
      </c>
      <c r="B254" s="557" t="s">
        <v>285</v>
      </c>
      <c r="C254" s="1723"/>
      <c r="D254" s="1629"/>
      <c r="E254" s="1723"/>
      <c r="F254" s="1723"/>
      <c r="G254" s="1723"/>
      <c r="H254" s="1723"/>
      <c r="I254" s="1723"/>
      <c r="J254" s="1723"/>
      <c r="K254" s="1728">
        <f t="shared" si="21"/>
        <v>0</v>
      </c>
      <c r="L254" s="1623">
        <v>0</v>
      </c>
    </row>
    <row r="255" spans="1:12" x14ac:dyDescent="0.2">
      <c r="A255" s="1320" t="s">
        <v>1023</v>
      </c>
      <c r="B255" s="494" t="s">
        <v>286</v>
      </c>
      <c r="C255" s="1723"/>
      <c r="D255" s="1629"/>
      <c r="E255" s="1723"/>
      <c r="F255" s="1723"/>
      <c r="G255" s="1723"/>
      <c r="H255" s="1723"/>
      <c r="I255" s="1723"/>
      <c r="J255" s="1723"/>
      <c r="K255" s="1728">
        <f t="shared" si="21"/>
        <v>0</v>
      </c>
      <c r="L255" s="1623">
        <v>0</v>
      </c>
    </row>
    <row r="256" spans="1:12" x14ac:dyDescent="0.2">
      <c r="A256" s="1320" t="s">
        <v>965</v>
      </c>
      <c r="B256" s="503" t="s">
        <v>287</v>
      </c>
      <c r="C256" s="1723"/>
      <c r="D256" s="1629"/>
      <c r="E256" s="1723"/>
      <c r="F256" s="1723"/>
      <c r="G256" s="1723"/>
      <c r="H256" s="1723"/>
      <c r="I256" s="1723"/>
      <c r="J256" s="1723"/>
      <c r="K256" s="1728">
        <f t="shared" si="21"/>
        <v>0</v>
      </c>
      <c r="L256" s="1623">
        <v>0</v>
      </c>
    </row>
    <row r="257" spans="1:14" ht="12.75" customHeight="1" thickBot="1" x14ac:dyDescent="0.25">
      <c r="A257" s="1429" t="s">
        <v>712</v>
      </c>
      <c r="B257" s="1447">
        <v>2300</v>
      </c>
      <c r="C257" s="1723"/>
      <c r="D257" s="1724">
        <f>SUM(D245:D256)</f>
        <v>3992</v>
      </c>
      <c r="E257" s="1723"/>
      <c r="F257" s="1723"/>
      <c r="G257" s="1723"/>
      <c r="H257" s="1723"/>
      <c r="I257" s="1723"/>
      <c r="J257" s="1723"/>
      <c r="K257" s="1724">
        <f>SUM(K245:K256)</f>
        <v>3992</v>
      </c>
      <c r="L257" s="1724">
        <f>SUM(L245:L256)</f>
        <v>3901</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7644</v>
      </c>
      <c r="E259" s="1723"/>
      <c r="F259" s="1723"/>
      <c r="G259" s="1723"/>
      <c r="H259" s="1723"/>
      <c r="I259" s="1723"/>
      <c r="J259" s="1723"/>
      <c r="K259" s="1728">
        <f>D259</f>
        <v>7644</v>
      </c>
      <c r="L259" s="1636">
        <v>7665</v>
      </c>
    </row>
    <row r="260" spans="1:14" s="493" customFormat="1" x14ac:dyDescent="0.2">
      <c r="A260" s="1337" t="s">
        <v>1784</v>
      </c>
      <c r="B260" s="512">
        <v>2490</v>
      </c>
      <c r="C260" s="1723"/>
      <c r="D260" s="1623"/>
      <c r="E260" s="1723"/>
      <c r="F260" s="1723"/>
      <c r="G260" s="1723"/>
      <c r="H260" s="1723"/>
      <c r="I260" s="1723"/>
      <c r="J260" s="1723"/>
      <c r="K260" s="1728">
        <f>D260</f>
        <v>0</v>
      </c>
      <c r="L260" s="1623">
        <v>0</v>
      </c>
      <c r="M260" s="205"/>
      <c r="N260" s="205"/>
    </row>
    <row r="261" spans="1:14" ht="12.75" customHeight="1" thickBot="1" x14ac:dyDescent="0.25">
      <c r="A261" s="1443" t="s">
        <v>261</v>
      </c>
      <c r="B261" s="1448" t="s">
        <v>34</v>
      </c>
      <c r="C261" s="1723"/>
      <c r="D261" s="1724">
        <f>SUM(D259:D260)</f>
        <v>7644</v>
      </c>
      <c r="E261" s="1723"/>
      <c r="F261" s="1723"/>
      <c r="G261" s="1723"/>
      <c r="H261" s="1723"/>
      <c r="I261" s="1723"/>
      <c r="J261" s="1723"/>
      <c r="K261" s="1724">
        <f>SUM(K259:K260)</f>
        <v>7644</v>
      </c>
      <c r="L261" s="1724">
        <f>SUM(L259:L260)</f>
        <v>7665</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v>7177</v>
      </c>
      <c r="E263" s="1723"/>
      <c r="F263" s="1723"/>
      <c r="G263" s="1723"/>
      <c r="H263" s="1723"/>
      <c r="I263" s="1723"/>
      <c r="J263" s="1723"/>
      <c r="K263" s="1728">
        <f>D263</f>
        <v>7177</v>
      </c>
      <c r="L263" s="1636">
        <v>7184</v>
      </c>
    </row>
    <row r="264" spans="1:14" x14ac:dyDescent="0.2">
      <c r="A264" s="1319" t="s">
        <v>460</v>
      </c>
      <c r="B264" s="559">
        <v>2520</v>
      </c>
      <c r="C264" s="1723"/>
      <c r="D264" s="1623"/>
      <c r="E264" s="1723"/>
      <c r="F264" s="1723"/>
      <c r="G264" s="1723"/>
      <c r="H264" s="1723"/>
      <c r="I264" s="1723"/>
      <c r="J264" s="1723"/>
      <c r="K264" s="1728">
        <f t="shared" ref="K264:K269" si="22">D264</f>
        <v>0</v>
      </c>
      <c r="L264" s="1623">
        <v>0</v>
      </c>
    </row>
    <row r="265" spans="1:14" x14ac:dyDescent="0.2">
      <c r="A265" s="1319" t="s">
        <v>4</v>
      </c>
      <c r="B265" s="503">
        <v>2530</v>
      </c>
      <c r="C265" s="1723"/>
      <c r="D265" s="1623"/>
      <c r="E265" s="1723"/>
      <c r="F265" s="1723"/>
      <c r="G265" s="1723"/>
      <c r="H265" s="1723"/>
      <c r="I265" s="1723"/>
      <c r="J265" s="1723"/>
      <c r="K265" s="1728">
        <f t="shared" si="22"/>
        <v>0</v>
      </c>
      <c r="L265" s="1623">
        <v>0</v>
      </c>
    </row>
    <row r="266" spans="1:14" x14ac:dyDescent="0.2">
      <c r="A266" s="1319" t="s">
        <v>195</v>
      </c>
      <c r="B266" s="503">
        <v>2540</v>
      </c>
      <c r="C266" s="1723"/>
      <c r="D266" s="1623">
        <v>22502</v>
      </c>
      <c r="E266" s="1723"/>
      <c r="F266" s="1723"/>
      <c r="G266" s="1723"/>
      <c r="H266" s="1723"/>
      <c r="I266" s="1723"/>
      <c r="J266" s="1723"/>
      <c r="K266" s="1728">
        <f t="shared" si="22"/>
        <v>22502</v>
      </c>
      <c r="L266" s="1623">
        <v>22450</v>
      </c>
    </row>
    <row r="267" spans="1:14" x14ac:dyDescent="0.2">
      <c r="A267" s="1319" t="s">
        <v>947</v>
      </c>
      <c r="B267" s="503">
        <v>2550</v>
      </c>
      <c r="C267" s="1723"/>
      <c r="D267" s="1623">
        <v>12747</v>
      </c>
      <c r="E267" s="1723"/>
      <c r="F267" s="1723"/>
      <c r="G267" s="1723"/>
      <c r="H267" s="1723"/>
      <c r="I267" s="1723"/>
      <c r="J267" s="1723"/>
      <c r="K267" s="1728">
        <f t="shared" si="22"/>
        <v>12747</v>
      </c>
      <c r="L267" s="1623">
        <v>13157</v>
      </c>
    </row>
    <row r="268" spans="1:14" x14ac:dyDescent="0.2">
      <c r="A268" s="1319" t="s">
        <v>100</v>
      </c>
      <c r="B268" s="503">
        <v>2560</v>
      </c>
      <c r="C268" s="1723"/>
      <c r="D268" s="1623"/>
      <c r="E268" s="1723"/>
      <c r="F268" s="1723"/>
      <c r="G268" s="1723"/>
      <c r="H268" s="1723"/>
      <c r="I268" s="1723"/>
      <c r="J268" s="1723"/>
      <c r="K268" s="1728">
        <f t="shared" si="22"/>
        <v>0</v>
      </c>
      <c r="L268" s="1623">
        <v>0</v>
      </c>
    </row>
    <row r="269" spans="1:14" x14ac:dyDescent="0.2">
      <c r="A269" s="1319" t="s">
        <v>101</v>
      </c>
      <c r="B269" s="503">
        <v>2570</v>
      </c>
      <c r="C269" s="1723"/>
      <c r="D269" s="1623"/>
      <c r="E269" s="1723"/>
      <c r="F269" s="1723"/>
      <c r="G269" s="1723"/>
      <c r="H269" s="1723"/>
      <c r="I269" s="1723"/>
      <c r="J269" s="1723"/>
      <c r="K269" s="1728">
        <f t="shared" si="22"/>
        <v>0</v>
      </c>
      <c r="L269" s="1623">
        <v>0</v>
      </c>
    </row>
    <row r="270" spans="1:14" ht="12.75" customHeight="1" thickBot="1" x14ac:dyDescent="0.25">
      <c r="A270" s="1429" t="s">
        <v>714</v>
      </c>
      <c r="B270" s="1432" t="s">
        <v>35</v>
      </c>
      <c r="C270" s="1723"/>
      <c r="D270" s="1724">
        <f>SUM(D263:D269)</f>
        <v>42426</v>
      </c>
      <c r="E270" s="1723"/>
      <c r="F270" s="1723"/>
      <c r="G270" s="1723"/>
      <c r="H270" s="1723"/>
      <c r="I270" s="1723"/>
      <c r="J270" s="1723"/>
      <c r="K270" s="1724">
        <f>SUM(K263:K269)</f>
        <v>42426</v>
      </c>
      <c r="L270" s="1724">
        <f>SUM(L263:L269)</f>
        <v>42791</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v>0</v>
      </c>
    </row>
    <row r="273" spans="1:12" x14ac:dyDescent="0.2">
      <c r="A273" s="1319" t="s">
        <v>603</v>
      </c>
      <c r="B273" s="512">
        <v>2620</v>
      </c>
      <c r="C273" s="1723"/>
      <c r="D273" s="1623"/>
      <c r="E273" s="1723"/>
      <c r="F273" s="1723"/>
      <c r="G273" s="1723"/>
      <c r="H273" s="1723"/>
      <c r="I273" s="1723"/>
      <c r="J273" s="1723"/>
      <c r="K273" s="1728">
        <f>D273</f>
        <v>0</v>
      </c>
      <c r="L273" s="1623">
        <v>0</v>
      </c>
    </row>
    <row r="274" spans="1:12" ht="12" customHeight="1" x14ac:dyDescent="0.2">
      <c r="A274" s="1319" t="s">
        <v>1054</v>
      </c>
      <c r="B274" s="503">
        <v>2630</v>
      </c>
      <c r="C274" s="1723"/>
      <c r="D274" s="1623"/>
      <c r="E274" s="1723"/>
      <c r="F274" s="1723"/>
      <c r="G274" s="1723"/>
      <c r="H274" s="1723"/>
      <c r="I274" s="1723"/>
      <c r="J274" s="1723"/>
      <c r="K274" s="1728">
        <f>D274</f>
        <v>0</v>
      </c>
      <c r="L274" s="1623">
        <v>0</v>
      </c>
    </row>
    <row r="275" spans="1:12" x14ac:dyDescent="0.2">
      <c r="A275" s="1319" t="s">
        <v>400</v>
      </c>
      <c r="B275" s="503">
        <v>2640</v>
      </c>
      <c r="C275" s="1723"/>
      <c r="D275" s="1623"/>
      <c r="E275" s="1723"/>
      <c r="F275" s="1723"/>
      <c r="G275" s="1723"/>
      <c r="H275" s="1723"/>
      <c r="I275" s="1723"/>
      <c r="J275" s="1723"/>
      <c r="K275" s="1728">
        <f>D275</f>
        <v>0</v>
      </c>
      <c r="L275" s="1623">
        <v>0</v>
      </c>
    </row>
    <row r="276" spans="1:12" x14ac:dyDescent="0.2">
      <c r="A276" s="1319" t="s">
        <v>401</v>
      </c>
      <c r="B276" s="503">
        <v>2660</v>
      </c>
      <c r="C276" s="1723"/>
      <c r="D276" s="1623"/>
      <c r="E276" s="1723"/>
      <c r="F276" s="1723"/>
      <c r="G276" s="1723"/>
      <c r="H276" s="1723"/>
      <c r="I276" s="1723"/>
      <c r="J276" s="1723"/>
      <c r="K276" s="1728">
        <f>D276</f>
        <v>0</v>
      </c>
      <c r="L276" s="1623">
        <v>0</v>
      </c>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v>0</v>
      </c>
    </row>
    <row r="279" spans="1:12" ht="12.75" customHeight="1" thickBot="1" x14ac:dyDescent="0.25">
      <c r="A279" s="1449" t="s">
        <v>806</v>
      </c>
      <c r="B279" s="1436">
        <v>2000</v>
      </c>
      <c r="C279" s="1723"/>
      <c r="D279" s="1731">
        <f>SUM(D238,D243,D257,D261,D270,D277,D278)</f>
        <v>62254</v>
      </c>
      <c r="E279" s="1723"/>
      <c r="F279" s="1723"/>
      <c r="G279" s="1723"/>
      <c r="H279" s="1723"/>
      <c r="I279" s="1723"/>
      <c r="J279" s="1723"/>
      <c r="K279" s="1731">
        <f>SUM(K238,K243,K257,K261,K270,K277,K278)</f>
        <v>62254</v>
      </c>
      <c r="L279" s="1731">
        <f>SUM(L238,L243,L257,L261,L270,L277,L278)</f>
        <v>62566</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v>0</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v>0</v>
      </c>
    </row>
    <row r="283" spans="1:12" x14ac:dyDescent="0.2">
      <c r="A283" s="1319" t="s">
        <v>301</v>
      </c>
      <c r="B283" s="503">
        <v>4120</v>
      </c>
      <c r="C283" s="1723"/>
      <c r="D283" s="1623"/>
      <c r="E283" s="1723"/>
      <c r="F283" s="1723"/>
      <c r="G283" s="1723"/>
      <c r="H283" s="1723"/>
      <c r="I283" s="1723"/>
      <c r="J283" s="1723"/>
      <c r="K283" s="1722">
        <f>D283</f>
        <v>0</v>
      </c>
      <c r="L283" s="1623">
        <v>0</v>
      </c>
    </row>
    <row r="284" spans="1:12" x14ac:dyDescent="0.2">
      <c r="A284" s="1319" t="s">
        <v>692</v>
      </c>
      <c r="B284" s="503">
        <v>4140</v>
      </c>
      <c r="C284" s="1723"/>
      <c r="D284" s="1624"/>
      <c r="E284" s="1723"/>
      <c r="F284" s="1723"/>
      <c r="G284" s="1723"/>
      <c r="H284" s="1723"/>
      <c r="I284" s="1723"/>
      <c r="J284" s="1723"/>
      <c r="K284" s="1722">
        <f>D284</f>
        <v>0</v>
      </c>
      <c r="L284" s="1623">
        <v>0</v>
      </c>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v>0</v>
      </c>
    </row>
    <row r="289" spans="1:14" x14ac:dyDescent="0.2">
      <c r="A289" s="1319" t="s">
        <v>88</v>
      </c>
      <c r="B289" s="503">
        <v>5120</v>
      </c>
      <c r="C289" s="1723"/>
      <c r="D289" s="1723"/>
      <c r="E289" s="1723"/>
      <c r="F289" s="1723"/>
      <c r="G289" s="1723"/>
      <c r="H289" s="1623"/>
      <c r="I289" s="1723"/>
      <c r="J289" s="1723"/>
      <c r="K289" s="1722">
        <f>H289</f>
        <v>0</v>
      </c>
      <c r="L289" s="1623">
        <v>0</v>
      </c>
    </row>
    <row r="290" spans="1:14" ht="12.75" customHeight="1" x14ac:dyDescent="0.2">
      <c r="A290" s="1319" t="s">
        <v>1162</v>
      </c>
      <c r="B290" s="512" t="s">
        <v>613</v>
      </c>
      <c r="C290" s="1723"/>
      <c r="D290" s="1723"/>
      <c r="E290" s="1723"/>
      <c r="F290" s="1723"/>
      <c r="G290" s="1723"/>
      <c r="H290" s="1623"/>
      <c r="I290" s="1723"/>
      <c r="J290" s="1723"/>
      <c r="K290" s="1722">
        <f>H290</f>
        <v>0</v>
      </c>
      <c r="L290" s="1623">
        <v>0</v>
      </c>
    </row>
    <row r="291" spans="1:14" x14ac:dyDescent="0.2">
      <c r="A291" s="1319" t="s">
        <v>89</v>
      </c>
      <c r="B291" s="503" t="s">
        <v>585</v>
      </c>
      <c r="C291" s="1723"/>
      <c r="D291" s="1723"/>
      <c r="E291" s="1723"/>
      <c r="F291" s="1723"/>
      <c r="G291" s="1723"/>
      <c r="H291" s="1623"/>
      <c r="I291" s="1723"/>
      <c r="J291" s="1723"/>
      <c r="K291" s="1722">
        <f>H291</f>
        <v>0</v>
      </c>
      <c r="L291" s="1623">
        <v>0</v>
      </c>
    </row>
    <row r="292" spans="1:14" x14ac:dyDescent="0.2">
      <c r="A292" s="1319" t="s">
        <v>757</v>
      </c>
      <c r="B292" s="503" t="s">
        <v>614</v>
      </c>
      <c r="C292" s="1723"/>
      <c r="D292" s="1723"/>
      <c r="E292" s="1723"/>
      <c r="F292" s="1723"/>
      <c r="G292" s="1723"/>
      <c r="H292" s="1623"/>
      <c r="I292" s="1723"/>
      <c r="J292" s="1723"/>
      <c r="K292" s="1722">
        <f>H292</f>
        <v>0</v>
      </c>
      <c r="L292" s="1623">
        <v>0</v>
      </c>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v>0</v>
      </c>
    </row>
    <row r="295" spans="1:14" ht="12.75" customHeight="1" thickTop="1" thickBot="1" x14ac:dyDescent="0.25">
      <c r="A295" s="2232" t="s">
        <v>502</v>
      </c>
      <c r="B295" s="2233"/>
      <c r="C295" s="1723"/>
      <c r="D295" s="1724">
        <f>SUM(D229,D279,D280,D285)</f>
        <v>131050</v>
      </c>
      <c r="E295" s="1723"/>
      <c r="F295" s="1723"/>
      <c r="G295" s="1723"/>
      <c r="H295" s="1724">
        <f>H293</f>
        <v>0</v>
      </c>
      <c r="I295" s="1723"/>
      <c r="J295" s="1723"/>
      <c r="K295" s="1724">
        <f>SUM(K229,K279,K280,K285,K293,K294)</f>
        <v>131050</v>
      </c>
      <c r="L295" s="1724">
        <f>SUM(L229,L279,L280,L285,L293,L294)</f>
        <v>131175</v>
      </c>
    </row>
    <row r="296" spans="1:14" ht="13.5" thickTop="1" x14ac:dyDescent="0.2">
      <c r="A296" s="2241" t="s">
        <v>989</v>
      </c>
      <c r="B296" s="2242"/>
      <c r="C296" s="1723"/>
      <c r="D296" s="1725"/>
      <c r="E296" s="1723"/>
      <c r="F296" s="1723"/>
      <c r="G296" s="1723"/>
      <c r="H296" s="1757"/>
      <c r="I296" s="1723"/>
      <c r="J296" s="1723"/>
      <c r="K296" s="1739">
        <f>'Revenues 9-14'!G268-'Expenditures 15-22'!K295</f>
        <v>27415</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4" t="s">
        <v>142</v>
      </c>
      <c r="B298" s="2218"/>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c r="H301" s="1623"/>
      <c r="I301" s="1624"/>
      <c r="J301" s="1624"/>
      <c r="K301" s="1722">
        <f>SUM(C301:J301)</f>
        <v>0</v>
      </c>
      <c r="L301" s="1624">
        <v>0</v>
      </c>
    </row>
    <row r="302" spans="1:14" ht="13.5" customHeight="1" x14ac:dyDescent="0.2">
      <c r="A302" s="1332" t="s">
        <v>973</v>
      </c>
      <c r="B302" s="503" t="s">
        <v>570</v>
      </c>
      <c r="C302" s="1623"/>
      <c r="D302" s="1623"/>
      <c r="E302" s="1623"/>
      <c r="F302" s="1623"/>
      <c r="G302" s="1623"/>
      <c r="H302" s="1623"/>
      <c r="I302" s="1624"/>
      <c r="J302" s="1624"/>
      <c r="K302" s="1722">
        <f>SUM(C302:J302)</f>
        <v>0</v>
      </c>
      <c r="L302" s="1623">
        <v>0</v>
      </c>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0</v>
      </c>
      <c r="H303" s="1731">
        <f t="shared" si="23"/>
        <v>0</v>
      </c>
      <c r="I303" s="1731">
        <f t="shared" si="23"/>
        <v>0</v>
      </c>
      <c r="J303" s="1731">
        <f t="shared" si="23"/>
        <v>0</v>
      </c>
      <c r="K303" s="1731">
        <f t="shared" si="23"/>
        <v>0</v>
      </c>
      <c r="L303" s="1731">
        <f t="shared" si="23"/>
        <v>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v>0</v>
      </c>
    </row>
    <row r="307" spans="1:14" x14ac:dyDescent="0.2">
      <c r="A307" s="1319" t="s">
        <v>301</v>
      </c>
      <c r="B307" s="503">
        <v>4120</v>
      </c>
      <c r="C307" s="1723"/>
      <c r="D307" s="1723"/>
      <c r="E307" s="1624"/>
      <c r="F307" s="1723"/>
      <c r="G307" s="1723"/>
      <c r="H307" s="1624"/>
      <c r="I307" s="1632"/>
      <c r="J307" s="1723"/>
      <c r="K307" s="1722">
        <f>SUM(E307,H307)</f>
        <v>0</v>
      </c>
      <c r="L307" s="1623">
        <v>0</v>
      </c>
    </row>
    <row r="308" spans="1:14" x14ac:dyDescent="0.2">
      <c r="A308" s="1319" t="s">
        <v>692</v>
      </c>
      <c r="B308" s="503">
        <v>4140</v>
      </c>
      <c r="C308" s="1723"/>
      <c r="D308" s="1723"/>
      <c r="E308" s="1624"/>
      <c r="F308" s="1723"/>
      <c r="G308" s="1723"/>
      <c r="H308" s="1624"/>
      <c r="I308" s="1632"/>
      <c r="J308" s="1723"/>
      <c r="K308" s="1722">
        <f>SUM(E308,H308)</f>
        <v>0</v>
      </c>
      <c r="L308" s="1623">
        <v>0</v>
      </c>
    </row>
    <row r="309" spans="1:14" ht="12.75" customHeight="1" x14ac:dyDescent="0.2">
      <c r="A309" s="1323" t="s">
        <v>693</v>
      </c>
      <c r="B309" s="512">
        <v>4190</v>
      </c>
      <c r="C309" s="1723"/>
      <c r="D309" s="1723"/>
      <c r="E309" s="1624"/>
      <c r="F309" s="1723"/>
      <c r="G309" s="1723"/>
      <c r="H309" s="1624"/>
      <c r="I309" s="1632"/>
      <c r="J309" s="1723"/>
      <c r="K309" s="1722">
        <f>SUM(E309,H309)</f>
        <v>0</v>
      </c>
      <c r="L309" s="1623">
        <v>0</v>
      </c>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v>0</v>
      </c>
    </row>
    <row r="312" spans="1:14" s="548" customFormat="1" ht="12.75" customHeight="1" thickTop="1" thickBot="1" x14ac:dyDescent="0.25">
      <c r="A312" s="2229" t="s">
        <v>275</v>
      </c>
      <c r="B312" s="2230"/>
      <c r="C312" s="1724">
        <f>SUM(C303)</f>
        <v>0</v>
      </c>
      <c r="D312" s="1724">
        <f>SUM(D303)</f>
        <v>0</v>
      </c>
      <c r="E312" s="1724">
        <f>SUM(E303,E310)</f>
        <v>0</v>
      </c>
      <c r="F312" s="1724">
        <f>SUM(F303)</f>
        <v>0</v>
      </c>
      <c r="G312" s="1724">
        <f>SUM(G303)</f>
        <v>0</v>
      </c>
      <c r="H312" s="1724">
        <f>SUM(H303,H310)</f>
        <v>0</v>
      </c>
      <c r="I312" s="1724">
        <f>SUM(I303)</f>
        <v>0</v>
      </c>
      <c r="J312" s="1724">
        <f>SUM(J303)</f>
        <v>0</v>
      </c>
      <c r="K312" s="1724">
        <f>SUM(K303,K310,K311)</f>
        <v>0</v>
      </c>
      <c r="L312" s="1724">
        <f>SUM(L303,L310,L311)</f>
        <v>0</v>
      </c>
      <c r="M312" s="539"/>
      <c r="N312" s="539"/>
    </row>
    <row r="313" spans="1:14" ht="13.5" thickTop="1" x14ac:dyDescent="0.2">
      <c r="A313" s="2225" t="s">
        <v>989</v>
      </c>
      <c r="B313" s="2226"/>
      <c r="C313" s="1727"/>
      <c r="D313" s="1727"/>
      <c r="E313" s="1727"/>
      <c r="F313" s="1727"/>
      <c r="G313" s="1727"/>
      <c r="H313" s="1727"/>
      <c r="I313" s="1727"/>
      <c r="J313" s="1727"/>
      <c r="K313" s="1746">
        <f>'Revenues 9-14'!H268-'Expenditures 15-22'!K312</f>
        <v>7082</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38" t="s">
        <v>148</v>
      </c>
      <c r="B315" s="2239"/>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0" t="s">
        <v>892</v>
      </c>
      <c r="B317" s="2239"/>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v>0</v>
      </c>
      <c r="M319" s="539"/>
      <c r="N319" s="539"/>
    </row>
    <row r="320" spans="1:14" s="548" customFormat="1" x14ac:dyDescent="0.2">
      <c r="A320" s="1338" t="s">
        <v>1785</v>
      </c>
      <c r="B320" s="568" t="s">
        <v>280</v>
      </c>
      <c r="C320" s="1624"/>
      <c r="D320" s="1624"/>
      <c r="E320" s="1624">
        <v>14554</v>
      </c>
      <c r="F320" s="1624"/>
      <c r="G320" s="1624"/>
      <c r="H320" s="1624"/>
      <c r="I320" s="1624"/>
      <c r="J320" s="1624"/>
      <c r="K320" s="1722">
        <f t="shared" ref="K320:K327" si="24">SUM(C320:J320)</f>
        <v>14554</v>
      </c>
      <c r="L320" s="1624">
        <v>14554</v>
      </c>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v>0</v>
      </c>
      <c r="M321" s="539"/>
      <c r="N321" s="539"/>
    </row>
    <row r="322" spans="1:14" s="548" customFormat="1" x14ac:dyDescent="0.2">
      <c r="A322" s="1334" t="s">
        <v>236</v>
      </c>
      <c r="B322" s="567" t="s">
        <v>282</v>
      </c>
      <c r="C322" s="1624"/>
      <c r="D322" s="1624"/>
      <c r="E322" s="1624">
        <v>36494</v>
      </c>
      <c r="F322" s="1624"/>
      <c r="G322" s="1624"/>
      <c r="H322" s="1624"/>
      <c r="I322" s="1624"/>
      <c r="J322" s="1624"/>
      <c r="K322" s="1722">
        <f t="shared" si="24"/>
        <v>36494</v>
      </c>
      <c r="L322" s="1624">
        <v>36494</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v>0</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v>0</v>
      </c>
      <c r="M324" s="539"/>
      <c r="N324" s="539"/>
    </row>
    <row r="325" spans="1:14" s="548" customFormat="1" ht="22.5" x14ac:dyDescent="0.2">
      <c r="A325" s="1334" t="s">
        <v>1022</v>
      </c>
      <c r="B325" s="568" t="s">
        <v>285</v>
      </c>
      <c r="C325" s="1624">
        <v>331866</v>
      </c>
      <c r="D325" s="1624"/>
      <c r="E325" s="1624">
        <v>2152</v>
      </c>
      <c r="F325" s="1624"/>
      <c r="G325" s="1624"/>
      <c r="H325" s="1624"/>
      <c r="I325" s="1624"/>
      <c r="J325" s="1624"/>
      <c r="K325" s="1722">
        <f t="shared" si="24"/>
        <v>334018</v>
      </c>
      <c r="L325" s="1624">
        <v>334018</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v>0</v>
      </c>
      <c r="M326" s="539"/>
      <c r="N326" s="539"/>
    </row>
    <row r="327" spans="1:14" s="548" customFormat="1" x14ac:dyDescent="0.2">
      <c r="A327" s="1334" t="s">
        <v>965</v>
      </c>
      <c r="B327" s="567" t="s">
        <v>287</v>
      </c>
      <c r="C327" s="1624"/>
      <c r="D327" s="1624"/>
      <c r="E327" s="1624">
        <v>660</v>
      </c>
      <c r="F327" s="1624"/>
      <c r="G327" s="1624"/>
      <c r="H327" s="1624"/>
      <c r="I327" s="1624"/>
      <c r="J327" s="1624"/>
      <c r="K327" s="1722">
        <f t="shared" si="24"/>
        <v>660</v>
      </c>
      <c r="L327" s="1624">
        <v>660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v>0</v>
      </c>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v>0</v>
      </c>
      <c r="M329" s="539"/>
      <c r="N329" s="539"/>
    </row>
    <row r="330" spans="1:14" s="548" customFormat="1" ht="12.75" customHeight="1" thickBot="1" x14ac:dyDescent="0.25">
      <c r="A330" s="1450" t="s">
        <v>712</v>
      </c>
      <c r="B330" s="1430" t="s">
        <v>565</v>
      </c>
      <c r="C330" s="1724">
        <f>SUM(C319:C329)</f>
        <v>331866</v>
      </c>
      <c r="D330" s="1724">
        <f t="shared" ref="D330:J330" si="25">SUM(D319:D329)</f>
        <v>0</v>
      </c>
      <c r="E330" s="1724">
        <f t="shared" si="25"/>
        <v>53860</v>
      </c>
      <c r="F330" s="1724">
        <f t="shared" si="25"/>
        <v>0</v>
      </c>
      <c r="G330" s="1724">
        <f t="shared" si="25"/>
        <v>0</v>
      </c>
      <c r="H330" s="1724">
        <f t="shared" si="25"/>
        <v>0</v>
      </c>
      <c r="I330" s="1724">
        <f t="shared" si="25"/>
        <v>0</v>
      </c>
      <c r="J330" s="1724">
        <f t="shared" si="25"/>
        <v>0</v>
      </c>
      <c r="K330" s="1724">
        <f>SUM(K319:K329)</f>
        <v>385726</v>
      </c>
      <c r="L330" s="1724">
        <f>SUM(L319:L329)</f>
        <v>385726</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v>0</v>
      </c>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v>0</v>
      </c>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v>0</v>
      </c>
    </row>
    <row r="338" spans="1:14" ht="12.75" customHeight="1" x14ac:dyDescent="0.2">
      <c r="A338" s="1333" t="s">
        <v>1162</v>
      </c>
      <c r="B338" s="562" t="s">
        <v>613</v>
      </c>
      <c r="C338" s="1734"/>
      <c r="D338" s="1734"/>
      <c r="E338" s="1734"/>
      <c r="F338" s="1734"/>
      <c r="G338" s="1734"/>
      <c r="H338" s="1633"/>
      <c r="I338" s="1734"/>
      <c r="J338" s="1734"/>
      <c r="K338" s="1722">
        <f>H338</f>
        <v>0</v>
      </c>
      <c r="L338" s="1633">
        <v>0</v>
      </c>
    </row>
    <row r="339" spans="1:14" x14ac:dyDescent="0.2">
      <c r="A339" s="1319" t="s">
        <v>895</v>
      </c>
      <c r="B339" s="512">
        <v>5150</v>
      </c>
      <c r="C339" s="1734"/>
      <c r="D339" s="1734"/>
      <c r="E339" s="1734"/>
      <c r="F339" s="1734"/>
      <c r="G339" s="1734"/>
      <c r="H339" s="1624"/>
      <c r="I339" s="1734"/>
      <c r="J339" s="1734"/>
      <c r="K339" s="1722">
        <f>H339</f>
        <v>0</v>
      </c>
      <c r="L339" s="1624">
        <v>0</v>
      </c>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v>0</v>
      </c>
    </row>
    <row r="342" spans="1:14" ht="12.75" customHeight="1" thickTop="1" thickBot="1" x14ac:dyDescent="0.25">
      <c r="A342" s="1438" t="s">
        <v>502</v>
      </c>
      <c r="B342" s="1451"/>
      <c r="C342" s="1724">
        <f>SUM(C330)</f>
        <v>331866</v>
      </c>
      <c r="D342" s="1724">
        <f>SUM(D330)</f>
        <v>0</v>
      </c>
      <c r="E342" s="1724">
        <f>SUM(E330)</f>
        <v>53860</v>
      </c>
      <c r="F342" s="1724">
        <f>SUM(F330)</f>
        <v>0</v>
      </c>
      <c r="G342" s="1724">
        <f>SUM(G330)</f>
        <v>0</v>
      </c>
      <c r="H342" s="1724">
        <f>SUM(H330,H334,H340)</f>
        <v>0</v>
      </c>
      <c r="I342" s="1724">
        <f>SUM(I330)</f>
        <v>0</v>
      </c>
      <c r="J342" s="1724">
        <f>SUM(J330)</f>
        <v>0</v>
      </c>
      <c r="K342" s="1724">
        <f>SUM(K330,K334,K340)</f>
        <v>385726</v>
      </c>
      <c r="L342" s="1731">
        <f>SUM(L330,L334,L340,L341)</f>
        <v>385726</v>
      </c>
    </row>
    <row r="343" spans="1:14" ht="12.75" customHeight="1" thickTop="1" x14ac:dyDescent="0.2">
      <c r="A343" s="2227" t="s">
        <v>989</v>
      </c>
      <c r="B343" s="2228"/>
      <c r="C343" s="1723"/>
      <c r="D343" s="1723"/>
      <c r="E343" s="1723"/>
      <c r="F343" s="1723"/>
      <c r="G343" s="1723"/>
      <c r="H343" s="1723"/>
      <c r="I343" s="1723"/>
      <c r="J343" s="1723"/>
      <c r="K343" s="1739">
        <f>'Revenues 9-14'!J268-'Expenditures 15-22'!K342</f>
        <v>41064</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7" t="s">
        <v>960</v>
      </c>
      <c r="B345" s="2218"/>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v>24198</v>
      </c>
      <c r="F348" s="1623"/>
      <c r="G348" s="1623"/>
      <c r="H348" s="1623"/>
      <c r="I348" s="1624"/>
      <c r="J348" s="1624"/>
      <c r="K348" s="1722">
        <f>SUM(C348:J348)</f>
        <v>24198</v>
      </c>
      <c r="L348" s="1623">
        <v>19447</v>
      </c>
    </row>
    <row r="349" spans="1:14" x14ac:dyDescent="0.2">
      <c r="A349" s="1319" t="s">
        <v>195</v>
      </c>
      <c r="B349" s="503">
        <v>2540</v>
      </c>
      <c r="C349" s="1623"/>
      <c r="D349" s="1623"/>
      <c r="E349" s="1623"/>
      <c r="F349" s="1623"/>
      <c r="G349" s="1623"/>
      <c r="H349" s="1623"/>
      <c r="I349" s="1624"/>
      <c r="J349" s="1624"/>
      <c r="K349" s="1722">
        <f>SUM(C349:J349)</f>
        <v>0</v>
      </c>
      <c r="L349" s="1623">
        <v>0</v>
      </c>
    </row>
    <row r="350" spans="1:14" ht="12.75" customHeight="1" thickBot="1" x14ac:dyDescent="0.25">
      <c r="A350" s="1429" t="s">
        <v>714</v>
      </c>
      <c r="B350" s="1430" t="s">
        <v>35</v>
      </c>
      <c r="C350" s="1724">
        <f>SUM(C348:C349)</f>
        <v>0</v>
      </c>
      <c r="D350" s="1724">
        <f t="shared" ref="D350:L350" si="26">SUM(D348:D349)</f>
        <v>0</v>
      </c>
      <c r="E350" s="1724">
        <f t="shared" si="26"/>
        <v>24198</v>
      </c>
      <c r="F350" s="1724">
        <f t="shared" si="26"/>
        <v>0</v>
      </c>
      <c r="G350" s="1724">
        <f t="shared" si="26"/>
        <v>0</v>
      </c>
      <c r="H350" s="1724">
        <f t="shared" si="26"/>
        <v>0</v>
      </c>
      <c r="I350" s="1724">
        <f t="shared" si="26"/>
        <v>0</v>
      </c>
      <c r="J350" s="1724">
        <f t="shared" si="26"/>
        <v>0</v>
      </c>
      <c r="K350" s="1724">
        <f t="shared" si="26"/>
        <v>24198</v>
      </c>
      <c r="L350" s="1724">
        <f t="shared" si="26"/>
        <v>19447</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v>0</v>
      </c>
    </row>
    <row r="352" spans="1:14" ht="12.75" customHeight="1" thickBot="1" x14ac:dyDescent="0.25">
      <c r="A352" s="1429" t="s">
        <v>620</v>
      </c>
      <c r="B352" s="1432" t="s">
        <v>565</v>
      </c>
      <c r="C352" s="1724">
        <f>SUM(C350:C351)</f>
        <v>0</v>
      </c>
      <c r="D352" s="1724">
        <f t="shared" ref="D352:L352" si="27">SUM(D350:D351)</f>
        <v>0</v>
      </c>
      <c r="E352" s="1724">
        <f t="shared" si="27"/>
        <v>24198</v>
      </c>
      <c r="F352" s="1724">
        <f t="shared" si="27"/>
        <v>0</v>
      </c>
      <c r="G352" s="1724">
        <f t="shared" si="27"/>
        <v>0</v>
      </c>
      <c r="H352" s="1724">
        <f t="shared" si="27"/>
        <v>0</v>
      </c>
      <c r="I352" s="1724">
        <f t="shared" si="27"/>
        <v>0</v>
      </c>
      <c r="J352" s="1724">
        <f t="shared" si="27"/>
        <v>0</v>
      </c>
      <c r="K352" s="1724">
        <f t="shared" si="27"/>
        <v>24198</v>
      </c>
      <c r="L352" s="1724">
        <f t="shared" si="27"/>
        <v>19447</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v>0</v>
      </c>
    </row>
    <row r="355" spans="1:14" ht="12.75" customHeight="1" x14ac:dyDescent="0.2">
      <c r="A355" s="1328" t="s">
        <v>1828</v>
      </c>
      <c r="B355" s="562" t="s">
        <v>1821</v>
      </c>
      <c r="C355" s="1723"/>
      <c r="D355" s="1723"/>
      <c r="E355" s="1723"/>
      <c r="F355" s="1723"/>
      <c r="G355" s="1723"/>
      <c r="H355" s="1624"/>
      <c r="I355" s="1766"/>
      <c r="J355" s="1723"/>
      <c r="K355" s="1657">
        <f>H355</f>
        <v>0</v>
      </c>
      <c r="L355" s="1624">
        <v>0</v>
      </c>
    </row>
    <row r="356" spans="1:14" ht="12.75" customHeight="1" x14ac:dyDescent="0.2">
      <c r="A356" s="1518" t="s">
        <v>693</v>
      </c>
      <c r="B356" s="557" t="s">
        <v>554</v>
      </c>
      <c r="C356" s="1723"/>
      <c r="D356" s="1723"/>
      <c r="E356" s="1723"/>
      <c r="F356" s="1723"/>
      <c r="G356" s="1723"/>
      <c r="H356" s="1634"/>
      <c r="I356" s="1766"/>
      <c r="J356" s="1723"/>
      <c r="K356" s="1650">
        <f>H356</f>
        <v>0</v>
      </c>
      <c r="L356" s="1634">
        <v>0</v>
      </c>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v>0</v>
      </c>
    </row>
    <row r="361" spans="1:14" ht="12.75" customHeight="1" x14ac:dyDescent="0.2">
      <c r="A361" s="1320" t="s">
        <v>615</v>
      </c>
      <c r="B361" s="494" t="s">
        <v>614</v>
      </c>
      <c r="C361" s="1723"/>
      <c r="D361" s="1723"/>
      <c r="E361" s="1723"/>
      <c r="F361" s="1723"/>
      <c r="G361" s="1723"/>
      <c r="H361" s="1624"/>
      <c r="I361" s="1723"/>
      <c r="J361" s="1723"/>
      <c r="K361" s="1722">
        <f>SUM(C361:J361)</f>
        <v>0</v>
      </c>
      <c r="L361" s="1623">
        <v>0</v>
      </c>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v>0</v>
      </c>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v>0</v>
      </c>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v>0</v>
      </c>
      <c r="M366" s="501"/>
      <c r="N366" s="501"/>
    </row>
    <row r="367" spans="1:14" ht="12.75" customHeight="1" thickTop="1" thickBot="1" x14ac:dyDescent="0.25">
      <c r="A367" s="1443" t="s">
        <v>502</v>
      </c>
      <c r="B367" s="1452"/>
      <c r="C367" s="1724">
        <f t="shared" ref="C367:L367" si="28">SUM(C352,C357,C365,C366)</f>
        <v>0</v>
      </c>
      <c r="D367" s="1724">
        <f t="shared" si="28"/>
        <v>0</v>
      </c>
      <c r="E367" s="1724">
        <f t="shared" si="28"/>
        <v>24198</v>
      </c>
      <c r="F367" s="1724">
        <f t="shared" si="28"/>
        <v>0</v>
      </c>
      <c r="G367" s="1724">
        <f t="shared" si="28"/>
        <v>0</v>
      </c>
      <c r="H367" s="1724">
        <f t="shared" si="28"/>
        <v>0</v>
      </c>
      <c r="I367" s="1724">
        <f t="shared" si="28"/>
        <v>0</v>
      </c>
      <c r="J367" s="1724">
        <f t="shared" si="28"/>
        <v>0</v>
      </c>
      <c r="K367" s="1724">
        <f t="shared" si="28"/>
        <v>24198</v>
      </c>
      <c r="L367" s="1724">
        <f t="shared" si="28"/>
        <v>19447</v>
      </c>
    </row>
    <row r="368" spans="1:14" ht="13.5" thickTop="1" x14ac:dyDescent="0.2">
      <c r="A368" s="2241" t="s">
        <v>989</v>
      </c>
      <c r="B368" s="2242"/>
      <c r="C368" s="1744"/>
      <c r="D368" s="1744"/>
      <c r="E368" s="1727"/>
      <c r="F368" s="1727"/>
      <c r="G368" s="1727"/>
      <c r="H368" s="1727"/>
      <c r="I368" s="1727"/>
      <c r="J368" s="1726"/>
      <c r="K368" s="1722">
        <f>'Revenues 9-14'!K268-'Expenditures 15-22'!K367</f>
        <v>39582</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Header>&amp;CSTATEMENT OF EXPENDITURES DISBURSED/EXPENDITURES, BUDGET TO ACTUAL
FOR THE YEAR ENDING JUNE 30, 2020</firstHead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G35" sqref="G35"/>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3"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4"/>
      <c r="B3" s="1339"/>
      <c r="C3" s="1340"/>
      <c r="D3" s="1341" t="s">
        <v>254</v>
      </c>
      <c r="E3" s="1340"/>
      <c r="F3" s="1341" t="s">
        <v>255</v>
      </c>
    </row>
    <row r="4" spans="1:8" ht="13.7" customHeight="1" x14ac:dyDescent="0.2">
      <c r="A4" s="579" t="s">
        <v>1147</v>
      </c>
      <c r="B4" s="1771">
        <f>'Revenues 9-14'!C5</f>
        <v>1172932</v>
      </c>
      <c r="C4" s="1772"/>
      <c r="D4" s="1773">
        <f>B4-C4</f>
        <v>1172932</v>
      </c>
      <c r="E4" s="1772">
        <v>1345944</v>
      </c>
      <c r="F4" s="1773">
        <f>E4-C4</f>
        <v>1345944</v>
      </c>
    </row>
    <row r="5" spans="1:8" ht="13.7" customHeight="1" x14ac:dyDescent="0.2">
      <c r="A5" s="579" t="s">
        <v>865</v>
      </c>
      <c r="B5" s="1774">
        <f>'Revenues 9-14'!D5</f>
        <v>318730</v>
      </c>
      <c r="C5" s="1714"/>
      <c r="D5" s="1775">
        <f t="shared" ref="D5:D18" si="0">B5-C5</f>
        <v>318730</v>
      </c>
      <c r="E5" s="1714">
        <v>365744</v>
      </c>
      <c r="F5" s="1775">
        <f>E5-C5</f>
        <v>365744</v>
      </c>
    </row>
    <row r="6" spans="1:8" ht="13.7" customHeight="1" x14ac:dyDescent="0.2">
      <c r="A6" s="579" t="s">
        <v>408</v>
      </c>
      <c r="B6" s="1774">
        <f>'Revenues 9-14'!E5</f>
        <v>542608</v>
      </c>
      <c r="C6" s="1714"/>
      <c r="D6" s="1775">
        <f t="shared" si="0"/>
        <v>542608</v>
      </c>
      <c r="E6" s="1714">
        <v>542349</v>
      </c>
      <c r="F6" s="1775">
        <f t="shared" ref="F6:F18" si="1">E6-C6</f>
        <v>542349</v>
      </c>
    </row>
    <row r="7" spans="1:8" ht="13.7" customHeight="1" x14ac:dyDescent="0.2">
      <c r="A7" s="579" t="s">
        <v>154</v>
      </c>
      <c r="B7" s="1774">
        <f>'Revenues 9-14'!F5</f>
        <v>152995</v>
      </c>
      <c r="C7" s="1714"/>
      <c r="D7" s="1775">
        <f t="shared" si="0"/>
        <v>152995</v>
      </c>
      <c r="E7" s="1714">
        <v>175563</v>
      </c>
      <c r="F7" s="1775">
        <f t="shared" si="1"/>
        <v>175563</v>
      </c>
    </row>
    <row r="8" spans="1:8" ht="13.7" customHeight="1" x14ac:dyDescent="0.2">
      <c r="A8" s="579" t="s">
        <v>1171</v>
      </c>
      <c r="B8" s="1774">
        <f>'Revenues 9-14'!G5</f>
        <v>79195</v>
      </c>
      <c r="C8" s="1714"/>
      <c r="D8" s="1775">
        <f t="shared" si="0"/>
        <v>79195</v>
      </c>
      <c r="E8" s="1714">
        <v>83373</v>
      </c>
      <c r="F8" s="1775">
        <f t="shared" si="1"/>
        <v>83373</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63746</v>
      </c>
      <c r="C10" s="1714"/>
      <c r="D10" s="1775">
        <f t="shared" si="0"/>
        <v>63746</v>
      </c>
      <c r="E10" s="1714">
        <v>73150</v>
      </c>
      <c r="F10" s="1775">
        <f t="shared" si="1"/>
        <v>73150</v>
      </c>
    </row>
    <row r="11" spans="1:8" x14ac:dyDescent="0.2">
      <c r="A11" s="579" t="s">
        <v>406</v>
      </c>
      <c r="B11" s="1774">
        <f>'Revenues 9-14'!J5</f>
        <v>426663</v>
      </c>
      <c r="C11" s="1714"/>
      <c r="D11" s="1775">
        <f t="shared" si="0"/>
        <v>426663</v>
      </c>
      <c r="E11" s="1714">
        <v>449171</v>
      </c>
      <c r="F11" s="1775">
        <f t="shared" si="1"/>
        <v>449171</v>
      </c>
    </row>
    <row r="12" spans="1:8" ht="13.7" customHeight="1" x14ac:dyDescent="0.2">
      <c r="A12" s="579" t="s">
        <v>156</v>
      </c>
      <c r="B12" s="1774">
        <f>'Revenues 9-14'!K5</f>
        <v>63746</v>
      </c>
      <c r="C12" s="1714"/>
      <c r="D12" s="1775">
        <f t="shared" si="0"/>
        <v>63746</v>
      </c>
      <c r="E12" s="1714">
        <v>73150</v>
      </c>
      <c r="F12" s="1775">
        <f t="shared" si="1"/>
        <v>73150</v>
      </c>
    </row>
    <row r="13" spans="1:8" ht="13.7" customHeight="1" x14ac:dyDescent="0.2">
      <c r="A13" s="579" t="s">
        <v>930</v>
      </c>
      <c r="B13" s="1774">
        <f>SUM('Revenues 9-14'!C6:D6)</f>
        <v>63746</v>
      </c>
      <c r="C13" s="1714"/>
      <c r="D13" s="1775">
        <f t="shared" si="0"/>
        <v>63746</v>
      </c>
      <c r="E13" s="1714">
        <v>73150</v>
      </c>
      <c r="F13" s="1775">
        <f t="shared" si="1"/>
        <v>73150</v>
      </c>
    </row>
    <row r="14" spans="1:8" ht="13.7" customHeight="1" x14ac:dyDescent="0.2">
      <c r="A14" s="579" t="s">
        <v>407</v>
      </c>
      <c r="B14" s="1774">
        <f>SUM('Revenues 9-14'!C7:D7,'Revenues 9-14'!F7:H7)</f>
        <v>25503</v>
      </c>
      <c r="C14" s="1714"/>
      <c r="D14" s="1775">
        <f t="shared" si="0"/>
        <v>25503</v>
      </c>
      <c r="E14" s="1714">
        <v>29265</v>
      </c>
      <c r="F14" s="1775">
        <f t="shared" si="1"/>
        <v>29265</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79195</v>
      </c>
      <c r="C16" s="1714"/>
      <c r="D16" s="1775">
        <f t="shared" si="0"/>
        <v>79195</v>
      </c>
      <c r="E16" s="1714">
        <v>83373</v>
      </c>
      <c r="F16" s="1775">
        <f t="shared" si="1"/>
        <v>83373</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7082</v>
      </c>
      <c r="C18" s="1714"/>
      <c r="D18" s="1775">
        <f t="shared" si="0"/>
        <v>7082</v>
      </c>
      <c r="E18" s="1714">
        <v>0</v>
      </c>
      <c r="F18" s="1775">
        <f t="shared" si="1"/>
        <v>0</v>
      </c>
    </row>
    <row r="19" spans="1:6" ht="13.7" customHeight="1" thickBot="1" x14ac:dyDescent="0.25">
      <c r="A19" s="1481" t="s">
        <v>1153</v>
      </c>
      <c r="B19" s="1776">
        <f>SUM(B4:B18)</f>
        <v>2996141</v>
      </c>
      <c r="C19" s="1776">
        <f>SUM(C4:C18)</f>
        <v>0</v>
      </c>
      <c r="D19" s="1776">
        <f>SUM(D4:D18)</f>
        <v>2996141</v>
      </c>
      <c r="E19" s="1776">
        <f>SUM(E4:E18)</f>
        <v>3294232</v>
      </c>
      <c r="F19" s="1776">
        <f>SUM(F4:F18)</f>
        <v>3294232</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G35" sqref="G3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49" t="s">
        <v>625</v>
      </c>
      <c r="B1" s="2250"/>
      <c r="C1" s="585"/>
    </row>
    <row r="2" spans="1:7" ht="33.75" x14ac:dyDescent="0.2">
      <c r="A2" s="2258" t="s">
        <v>1782</v>
      </c>
      <c r="B2" s="2259"/>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2" t="s">
        <v>1106</v>
      </c>
      <c r="B3" s="2263"/>
      <c r="C3" s="2251"/>
      <c r="D3" s="2252"/>
      <c r="E3" s="2252"/>
      <c r="F3" s="2253"/>
    </row>
    <row r="4" spans="1:7" ht="12.75" customHeight="1" thickBot="1" x14ac:dyDescent="0.25">
      <c r="A4" s="2260" t="s">
        <v>626</v>
      </c>
      <c r="B4" s="2261"/>
      <c r="C4" s="1706"/>
      <c r="D4" s="1706"/>
      <c r="E4" s="1706"/>
      <c r="F4" s="1782">
        <f>SUM(C4+D4)-E4</f>
        <v>0</v>
      </c>
    </row>
    <row r="5" spans="1:7" ht="15.75" customHeight="1" thickTop="1" x14ac:dyDescent="0.2">
      <c r="A5" s="2245" t="s">
        <v>1103</v>
      </c>
      <c r="B5" s="2246"/>
      <c r="C5" s="2254"/>
      <c r="D5" s="2255"/>
      <c r="E5" s="2255"/>
      <c r="F5" s="2256"/>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47" t="s">
        <v>627</v>
      </c>
      <c r="B15" s="2248"/>
      <c r="C15" s="1782">
        <f>SUM(C6:C14)</f>
        <v>0</v>
      </c>
      <c r="D15" s="1782">
        <f>SUM(D6:D14)</f>
        <v>0</v>
      </c>
      <c r="E15" s="1782">
        <f>SUM(E6:E14)</f>
        <v>0</v>
      </c>
      <c r="F15" s="1782">
        <f>SUM(F6:F14)</f>
        <v>0</v>
      </c>
      <c r="G15" s="473"/>
    </row>
    <row r="16" spans="1:7" s="197" customFormat="1" ht="15.75" customHeight="1" thickTop="1" x14ac:dyDescent="0.2">
      <c r="A16" s="2257" t="s">
        <v>1104</v>
      </c>
      <c r="B16" s="2246"/>
      <c r="C16" s="2254"/>
      <c r="D16" s="2255"/>
      <c r="E16" s="2255"/>
      <c r="F16" s="2256"/>
    </row>
    <row r="17" spans="1:11" ht="12.75" customHeight="1" thickBot="1" x14ac:dyDescent="0.25">
      <c r="A17" s="2270" t="s">
        <v>64</v>
      </c>
      <c r="B17" s="2271"/>
      <c r="C17" s="1783"/>
      <c r="D17" s="1714"/>
      <c r="E17" s="1783"/>
      <c r="F17" s="1782">
        <f>SUM(C17+D17)-E17</f>
        <v>0</v>
      </c>
    </row>
    <row r="18" spans="1:11" ht="12.75" customHeight="1" thickTop="1" thickBot="1" x14ac:dyDescent="0.25">
      <c r="A18" s="2270" t="s">
        <v>6</v>
      </c>
      <c r="B18" s="2271"/>
      <c r="C18" s="1783"/>
      <c r="D18" s="1714"/>
      <c r="E18" s="1783"/>
      <c r="F18" s="1782">
        <f>SUM(C18+D18)-E18</f>
        <v>0</v>
      </c>
    </row>
    <row r="19" spans="1:11" ht="12.75" customHeight="1" thickTop="1" thickBot="1" x14ac:dyDescent="0.25">
      <c r="A19" s="2270" t="s">
        <v>385</v>
      </c>
      <c r="B19" s="2271"/>
      <c r="C19" s="1783"/>
      <c r="D19" s="1714"/>
      <c r="E19" s="1783"/>
      <c r="F19" s="1782">
        <f>SUM(C19+D19)-E19</f>
        <v>0</v>
      </c>
    </row>
    <row r="20" spans="1:11" ht="12.75" customHeight="1" thickTop="1" thickBot="1" x14ac:dyDescent="0.25">
      <c r="A20" s="2270" t="s">
        <v>445</v>
      </c>
      <c r="B20" s="2271"/>
      <c r="C20" s="1783"/>
      <c r="D20" s="1714"/>
      <c r="E20" s="1783"/>
      <c r="F20" s="1782">
        <f>SUM(C20+D20)-E20</f>
        <v>0</v>
      </c>
    </row>
    <row r="21" spans="1:11" ht="14.25" thickTop="1" thickBot="1" x14ac:dyDescent="0.25">
      <c r="A21" s="2247" t="s">
        <v>628</v>
      </c>
      <c r="B21" s="2248"/>
      <c r="C21" s="1782">
        <f>SUM(C17:C20)</f>
        <v>0</v>
      </c>
      <c r="D21" s="1782">
        <f>SUM(D17:D20)</f>
        <v>0</v>
      </c>
      <c r="E21" s="1782">
        <f>SUM(E17:E20)</f>
        <v>0</v>
      </c>
      <c r="F21" s="1782">
        <f>SUM(F17:F20)</f>
        <v>0</v>
      </c>
      <c r="G21" s="473"/>
    </row>
    <row r="22" spans="1:11" ht="15.75" customHeight="1" thickTop="1" x14ac:dyDescent="0.2">
      <c r="A22" s="2272" t="s">
        <v>1105</v>
      </c>
      <c r="B22" s="2246"/>
      <c r="C22" s="2254"/>
      <c r="D22" s="2255"/>
      <c r="E22" s="2255"/>
      <c r="F22" s="2256"/>
    </row>
    <row r="23" spans="1:11" ht="13.5" thickBot="1" x14ac:dyDescent="0.25">
      <c r="A23" s="2260" t="s">
        <v>629</v>
      </c>
      <c r="B23" s="2261"/>
      <c r="C23" s="1706"/>
      <c r="D23" s="1706"/>
      <c r="E23" s="1706"/>
      <c r="F23" s="1782">
        <f>SUM(C23+D23)-E23</f>
        <v>0</v>
      </c>
      <c r="G23" s="473"/>
    </row>
    <row r="24" spans="1:11" ht="15.75" customHeight="1" thickTop="1" x14ac:dyDescent="0.2">
      <c r="A24" s="2272" t="s">
        <v>2009</v>
      </c>
      <c r="B24" s="2246"/>
      <c r="C24" s="2254"/>
      <c r="D24" s="2255"/>
      <c r="E24" s="2255"/>
      <c r="F24" s="2256"/>
    </row>
    <row r="25" spans="1:11" ht="13.5" thickBot="1" x14ac:dyDescent="0.25">
      <c r="A25" s="2260" t="s">
        <v>2010</v>
      </c>
      <c r="B25" s="2261"/>
      <c r="C25" s="1706"/>
      <c r="D25" s="1706"/>
      <c r="E25" s="1706"/>
      <c r="F25" s="1782">
        <f>SUM(C25+D25)-E25</f>
        <v>0</v>
      </c>
      <c r="G25" s="473"/>
    </row>
    <row r="26" spans="1:11" ht="15.75" customHeight="1" thickTop="1" x14ac:dyDescent="0.2">
      <c r="A26" s="2245" t="s">
        <v>652</v>
      </c>
      <c r="B26" s="2246"/>
      <c r="C26" s="589"/>
      <c r="D26" s="589"/>
      <c r="E26" s="589"/>
      <c r="F26" s="590"/>
    </row>
    <row r="27" spans="1:11" ht="13.5" thickBot="1" x14ac:dyDescent="0.25">
      <c r="A27" s="2247" t="s">
        <v>1063</v>
      </c>
      <c r="B27" s="2248"/>
      <c r="C27" s="1714"/>
      <c r="D27" s="1714"/>
      <c r="E27" s="1714"/>
      <c r="F27" s="1782">
        <f>SUM(C27+D27)-E27</f>
        <v>0</v>
      </c>
      <c r="G27" s="473"/>
    </row>
    <row r="28" spans="1:11" ht="7.5" customHeight="1" thickTop="1" x14ac:dyDescent="0.2">
      <c r="A28" s="489"/>
    </row>
    <row r="29" spans="1:11" ht="23.25" customHeight="1" x14ac:dyDescent="0.2">
      <c r="A29" s="2273" t="s">
        <v>578</v>
      </c>
      <c r="B29" s="2250"/>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2042</v>
      </c>
      <c r="B31" s="595">
        <v>40391</v>
      </c>
      <c r="C31" s="1784">
        <v>695000</v>
      </c>
      <c r="D31" s="1785">
        <v>3</v>
      </c>
      <c r="E31" s="1784">
        <v>425000</v>
      </c>
      <c r="F31" s="1784"/>
      <c r="G31" s="1784"/>
      <c r="H31" s="1784"/>
      <c r="I31" s="1786">
        <f>((E31+F31)-H31)+G31</f>
        <v>425000</v>
      </c>
      <c r="J31" s="1784">
        <v>425000</v>
      </c>
      <c r="K31" s="596"/>
    </row>
    <row r="32" spans="1:11" ht="12" customHeight="1" x14ac:dyDescent="0.2">
      <c r="A32" s="594" t="s">
        <v>2043</v>
      </c>
      <c r="B32" s="595">
        <v>42446</v>
      </c>
      <c r="C32" s="1784">
        <v>1812000</v>
      </c>
      <c r="D32" s="1785">
        <v>1</v>
      </c>
      <c r="E32" s="1784">
        <v>482000</v>
      </c>
      <c r="F32" s="1784"/>
      <c r="G32" s="1784"/>
      <c r="H32" s="1784">
        <v>172000</v>
      </c>
      <c r="I32" s="1786">
        <f>((E32+F32)-H32)+G32</f>
        <v>310000</v>
      </c>
      <c r="J32" s="1784">
        <v>310000</v>
      </c>
      <c r="K32" s="596"/>
    </row>
    <row r="33" spans="1:11" ht="12" customHeight="1" x14ac:dyDescent="0.2">
      <c r="A33" s="594" t="s">
        <v>2044</v>
      </c>
      <c r="B33" s="595">
        <v>42552</v>
      </c>
      <c r="C33" s="1784">
        <v>400000</v>
      </c>
      <c r="D33" s="1785">
        <v>4</v>
      </c>
      <c r="E33" s="1784">
        <v>345000</v>
      </c>
      <c r="F33" s="1784"/>
      <c r="G33" s="1784"/>
      <c r="H33" s="1784">
        <v>180000</v>
      </c>
      <c r="I33" s="1786">
        <f t="shared" ref="I33:I48" si="1">((E33+F33)-H33)+G33</f>
        <v>165000</v>
      </c>
      <c r="J33" s="1784">
        <v>165000</v>
      </c>
      <c r="K33" s="596"/>
    </row>
    <row r="34" spans="1:11" ht="12" customHeight="1" x14ac:dyDescent="0.2">
      <c r="A34" s="594" t="s">
        <v>2045</v>
      </c>
      <c r="B34" s="595">
        <v>43469</v>
      </c>
      <c r="C34" s="1784">
        <v>952000</v>
      </c>
      <c r="D34" s="1785">
        <v>3</v>
      </c>
      <c r="E34" s="1784">
        <v>952000</v>
      </c>
      <c r="F34" s="1784"/>
      <c r="G34" s="1784"/>
      <c r="H34" s="1784">
        <v>121000</v>
      </c>
      <c r="I34" s="1786">
        <f t="shared" si="1"/>
        <v>831000</v>
      </c>
      <c r="J34" s="1784">
        <v>813611</v>
      </c>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3859000</v>
      </c>
      <c r="D49" s="1792"/>
      <c r="E49" s="1786">
        <f t="shared" ref="E49:J49" si="2">SUM(E31:E48)</f>
        <v>2204000</v>
      </c>
      <c r="F49" s="1786">
        <f t="shared" si="2"/>
        <v>0</v>
      </c>
      <c r="G49" s="1786">
        <f t="shared" si="2"/>
        <v>0</v>
      </c>
      <c r="H49" s="1786">
        <f t="shared" si="2"/>
        <v>473000</v>
      </c>
      <c r="I49" s="1786">
        <f t="shared" si="2"/>
        <v>1731000</v>
      </c>
      <c r="J49" s="1786">
        <f t="shared" si="2"/>
        <v>1713611</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4" t="s">
        <v>580</v>
      </c>
      <c r="C52" s="2265"/>
      <c r="D52" s="2265"/>
      <c r="E52" s="603" t="s">
        <v>840</v>
      </c>
      <c r="F52" s="2266"/>
      <c r="G52" s="2267"/>
      <c r="H52" s="596"/>
      <c r="I52" s="596"/>
      <c r="J52" s="600"/>
    </row>
    <row r="53" spans="1:11" ht="11.25" customHeight="1" x14ac:dyDescent="0.2">
      <c r="A53" s="604" t="s">
        <v>907</v>
      </c>
      <c r="B53" s="605" t="s">
        <v>945</v>
      </c>
      <c r="C53" s="600"/>
      <c r="D53" s="597"/>
      <c r="E53" s="603" t="s">
        <v>494</v>
      </c>
      <c r="F53" s="2268"/>
      <c r="G53" s="2269"/>
      <c r="H53" s="596"/>
      <c r="I53" s="596"/>
      <c r="J53" s="600"/>
    </row>
    <row r="54" spans="1:11" ht="11.25" customHeight="1" x14ac:dyDescent="0.2">
      <c r="A54" s="606" t="s">
        <v>908</v>
      </c>
      <c r="B54" s="601" t="s">
        <v>946</v>
      </c>
      <c r="C54" s="600"/>
      <c r="D54" s="597"/>
      <c r="E54" s="603" t="s">
        <v>495</v>
      </c>
      <c r="F54" s="2268"/>
      <c r="G54" s="2269"/>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G35" sqref="G3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0" t="s">
        <v>851</v>
      </c>
      <c r="B1" s="2301"/>
      <c r="C1" s="2301"/>
      <c r="D1" s="2301"/>
      <c r="E1" s="2301"/>
      <c r="F1" s="2301"/>
      <c r="G1" s="2302"/>
      <c r="H1" s="1343"/>
      <c r="I1" s="614"/>
      <c r="J1" s="400"/>
    </row>
    <row r="2" spans="1:11" ht="26.25" x14ac:dyDescent="0.2">
      <c r="A2" s="2277" t="s">
        <v>1661</v>
      </c>
      <c r="B2" s="2278"/>
      <c r="C2" s="2278"/>
      <c r="D2" s="2278"/>
      <c r="E2" s="2279"/>
      <c r="F2" s="615" t="s">
        <v>898</v>
      </c>
      <c r="G2" s="616" t="s">
        <v>1658</v>
      </c>
      <c r="H2" s="616" t="s">
        <v>407</v>
      </c>
      <c r="I2" s="616" t="s">
        <v>1150</v>
      </c>
      <c r="J2" s="616" t="s">
        <v>1792</v>
      </c>
      <c r="K2" s="616" t="s">
        <v>137</v>
      </c>
    </row>
    <row r="3" spans="1:11" x14ac:dyDescent="0.2">
      <c r="A3" s="2280" t="str">
        <f>"Cash Basis Fund Balance as of July 1, "&amp;'AFR20'!E2-1</f>
        <v>Cash Basis Fund Balance as of July 1, 2019</v>
      </c>
      <c r="B3" s="2281"/>
      <c r="C3" s="2281"/>
      <c r="D3" s="2281"/>
      <c r="E3" s="2282"/>
      <c r="F3" s="617"/>
      <c r="G3" s="1794"/>
      <c r="H3" s="1794"/>
      <c r="I3" s="1794"/>
      <c r="J3" s="1795"/>
      <c r="K3" s="1795"/>
    </row>
    <row r="4" spans="1:11" x14ac:dyDescent="0.2">
      <c r="A4" s="2283" t="s">
        <v>366</v>
      </c>
      <c r="B4" s="2284"/>
      <c r="C4" s="2284"/>
      <c r="D4" s="2284"/>
      <c r="E4" s="2265"/>
      <c r="F4" s="620"/>
      <c r="G4" s="1796"/>
      <c r="H4" s="1797"/>
      <c r="I4" s="1796"/>
      <c r="J4" s="1798"/>
      <c r="K4" s="1798"/>
    </row>
    <row r="5" spans="1:11" x14ac:dyDescent="0.2">
      <c r="A5" s="2303" t="s">
        <v>1062</v>
      </c>
      <c r="B5" s="2274"/>
      <c r="C5" s="2274"/>
      <c r="D5" s="2274"/>
      <c r="E5" s="2304"/>
      <c r="F5" s="622" t="s">
        <v>843</v>
      </c>
      <c r="G5" s="1799"/>
      <c r="H5" s="1794">
        <v>25503</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303" t="s">
        <v>1793</v>
      </c>
      <c r="B10" s="2274"/>
      <c r="C10" s="2274"/>
      <c r="D10" s="2274"/>
      <c r="E10" s="2305"/>
      <c r="F10" s="633" t="s">
        <v>857</v>
      </c>
      <c r="G10" s="1803"/>
      <c r="H10" s="1804"/>
      <c r="I10" s="1794"/>
      <c r="J10" s="1795"/>
      <c r="K10" s="1795"/>
    </row>
    <row r="11" spans="1:11" x14ac:dyDescent="0.2">
      <c r="A11" s="2303" t="s">
        <v>159</v>
      </c>
      <c r="B11" s="2274"/>
      <c r="C11" s="2274"/>
      <c r="D11" s="2274"/>
      <c r="E11" s="2304"/>
      <c r="F11" s="622" t="s">
        <v>847</v>
      </c>
      <c r="G11" s="1799"/>
      <c r="H11" s="1794"/>
      <c r="I11" s="1794"/>
      <c r="J11" s="1795"/>
      <c r="K11" s="1801"/>
    </row>
    <row r="12" spans="1:11" ht="13.5" thickBot="1" x14ac:dyDescent="0.25">
      <c r="A12" s="2291" t="s">
        <v>899</v>
      </c>
      <c r="B12" s="2292"/>
      <c r="C12" s="2292"/>
      <c r="D12" s="2292"/>
      <c r="E12" s="2293"/>
      <c r="F12" s="1482"/>
      <c r="G12" s="1805">
        <f>SUM(G5:G11)</f>
        <v>0</v>
      </c>
      <c r="H12" s="1805">
        <f>SUM(H5:H11)</f>
        <v>25503</v>
      </c>
      <c r="I12" s="1805">
        <f>SUM(I5:I11)</f>
        <v>0</v>
      </c>
      <c r="J12" s="1805">
        <f>SUM(J5:J11)</f>
        <v>0</v>
      </c>
      <c r="K12" s="1805">
        <f>SUM(K5:K11)</f>
        <v>0</v>
      </c>
    </row>
    <row r="13" spans="1:11" ht="13.5" thickTop="1" x14ac:dyDescent="0.2">
      <c r="A13" s="2285" t="s">
        <v>367</v>
      </c>
      <c r="B13" s="2286"/>
      <c r="C13" s="2286"/>
      <c r="D13" s="2286"/>
      <c r="E13" s="2287"/>
      <c r="F13" s="634"/>
      <c r="G13" s="1806"/>
      <c r="H13" s="1807"/>
      <c r="I13" s="1808"/>
      <c r="J13" s="1808"/>
      <c r="K13" s="1808"/>
    </row>
    <row r="14" spans="1:11" x14ac:dyDescent="0.2">
      <c r="A14" s="2309" t="s">
        <v>453</v>
      </c>
      <c r="B14" s="2309"/>
      <c r="C14" s="2309"/>
      <c r="D14" s="2309"/>
      <c r="E14" s="2310"/>
      <c r="F14" s="635" t="s">
        <v>849</v>
      </c>
      <c r="G14" s="1803"/>
      <c r="H14" s="1794">
        <v>25503</v>
      </c>
      <c r="I14" s="1799"/>
      <c r="J14" s="1801"/>
      <c r="K14" s="1795"/>
    </row>
    <row r="15" spans="1:11" x14ac:dyDescent="0.2">
      <c r="A15" s="2274" t="s">
        <v>4</v>
      </c>
      <c r="B15" s="2274"/>
      <c r="C15" s="2274"/>
      <c r="D15" s="2274"/>
      <c r="E15" s="2304"/>
      <c r="F15" s="635" t="s">
        <v>850</v>
      </c>
      <c r="G15" s="1799"/>
      <c r="H15" s="1794"/>
      <c r="I15" s="1794"/>
      <c r="J15" s="1795"/>
      <c r="K15" s="1795"/>
    </row>
    <row r="16" spans="1:11" x14ac:dyDescent="0.2">
      <c r="A16" s="2274" t="s">
        <v>295</v>
      </c>
      <c r="B16" s="2274"/>
      <c r="C16" s="2274"/>
      <c r="D16" s="2274"/>
      <c r="E16" s="2304"/>
      <c r="F16" s="635" t="s">
        <v>917</v>
      </c>
      <c r="G16" s="1800"/>
      <c r="H16" s="1796"/>
      <c r="I16" s="1796"/>
      <c r="J16" s="1798"/>
      <c r="K16" s="1798"/>
    </row>
    <row r="17" spans="1:15" x14ac:dyDescent="0.2">
      <c r="A17" s="2298" t="s">
        <v>929</v>
      </c>
      <c r="B17" s="2298"/>
      <c r="C17" s="2298"/>
      <c r="D17" s="2298"/>
      <c r="E17" s="2299"/>
      <c r="F17" s="636"/>
      <c r="G17" s="1809"/>
      <c r="H17" s="1810"/>
      <c r="I17" s="1810"/>
      <c r="J17" s="1811"/>
      <c r="K17" s="1812"/>
    </row>
    <row r="18" spans="1:15" x14ac:dyDescent="0.2">
      <c r="A18" s="2288" t="s">
        <v>365</v>
      </c>
      <c r="B18" s="2289"/>
      <c r="C18" s="2289"/>
      <c r="D18" s="2289"/>
      <c r="E18" s="2290"/>
      <c r="F18" s="635" t="s">
        <v>926</v>
      </c>
      <c r="G18" s="1803"/>
      <c r="H18" s="1803"/>
      <c r="I18" s="1803"/>
      <c r="J18" s="1795"/>
      <c r="K18" s="1813"/>
    </row>
    <row r="19" spans="1:15" ht="21.75" customHeight="1" x14ac:dyDescent="0.2">
      <c r="A19" s="2311" t="s">
        <v>1789</v>
      </c>
      <c r="B19" s="2311"/>
      <c r="C19" s="2311"/>
      <c r="D19" s="2311"/>
      <c r="E19" s="2312"/>
      <c r="F19" s="635" t="s">
        <v>927</v>
      </c>
      <c r="G19" s="1803"/>
      <c r="H19" s="1803"/>
      <c r="I19" s="1803"/>
      <c r="J19" s="1795"/>
      <c r="K19" s="1813"/>
    </row>
    <row r="20" spans="1:15" x14ac:dyDescent="0.2">
      <c r="A20" s="2288" t="s">
        <v>1794</v>
      </c>
      <c r="B20" s="2289"/>
      <c r="C20" s="2289"/>
      <c r="D20" s="2289"/>
      <c r="E20" s="2290"/>
      <c r="F20" s="635" t="s">
        <v>928</v>
      </c>
      <c r="G20" s="1803"/>
      <c r="H20" s="1803"/>
      <c r="I20" s="1803"/>
      <c r="J20" s="1795"/>
      <c r="K20" s="1813"/>
    </row>
    <row r="21" spans="1:15" ht="13.5" thickBot="1" x14ac:dyDescent="0.25">
      <c r="A21" s="2294" t="s">
        <v>633</v>
      </c>
      <c r="B21" s="2294"/>
      <c r="C21" s="2294"/>
      <c r="D21" s="2294"/>
      <c r="E21" s="2294"/>
      <c r="F21" s="1483"/>
      <c r="G21" s="1810"/>
      <c r="H21" s="1814"/>
      <c r="I21" s="1814"/>
      <c r="J21" s="1815">
        <f>SUM(J18:J20)</f>
        <v>0</v>
      </c>
      <c r="K21" s="1811"/>
    </row>
    <row r="22" spans="1:15" ht="13.5" thickTop="1" x14ac:dyDescent="0.2">
      <c r="A22" s="2274" t="s">
        <v>1795</v>
      </c>
      <c r="B22" s="2274"/>
      <c r="C22" s="2274"/>
      <c r="D22" s="2274"/>
      <c r="E22" s="2304"/>
      <c r="F22" s="635" t="s">
        <v>857</v>
      </c>
      <c r="G22" s="1803"/>
      <c r="H22" s="1794"/>
      <c r="I22" s="1794"/>
      <c r="J22" s="1816"/>
      <c r="K22" s="1795"/>
    </row>
    <row r="23" spans="1:15" ht="13.5" thickBot="1" x14ac:dyDescent="0.25">
      <c r="A23" s="2295" t="s">
        <v>900</v>
      </c>
      <c r="B23" s="2294"/>
      <c r="C23" s="2294"/>
      <c r="D23" s="2294"/>
      <c r="E23" s="2294"/>
      <c r="F23" s="1485"/>
      <c r="G23" s="1805">
        <f>SUM(G14:G16,G21,G22)</f>
        <v>0</v>
      </c>
      <c r="H23" s="1805">
        <f>SUM(H14:H16,H21,H22)</f>
        <v>25503</v>
      </c>
      <c r="I23" s="1805">
        <f>SUM(I14:I16,I21,I22)</f>
        <v>0</v>
      </c>
      <c r="J23" s="1805">
        <f>SUM(J14:J16,J21,J22)</f>
        <v>0</v>
      </c>
      <c r="K23" s="1805">
        <f>SUM(K14:K16,K21,K22)</f>
        <v>0</v>
      </c>
      <c r="M23" s="1904"/>
      <c r="N23" s="1904"/>
      <c r="O23" s="1904"/>
    </row>
    <row r="24" spans="1:15" ht="14.25" thickTop="1" thickBot="1" x14ac:dyDescent="0.25">
      <c r="A24" s="2296" t="str">
        <f>"Ending Cash Basis Fund Balance as of June 30, "&amp;'AFR20'!E2</f>
        <v>Ending Cash Basis Fund Balance as of June 30, 2020</v>
      </c>
      <c r="B24" s="2297"/>
      <c r="C24" s="2297"/>
      <c r="D24" s="2297"/>
      <c r="E24" s="2297"/>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306"/>
      <c r="I31" s="2307"/>
      <c r="J31" s="2307"/>
      <c r="K31" s="2307"/>
    </row>
    <row r="32" spans="1:15" x14ac:dyDescent="0.2">
      <c r="A32" s="649"/>
      <c r="B32" s="232"/>
      <c r="C32" s="232"/>
      <c r="D32" s="232"/>
      <c r="E32" s="645"/>
      <c r="F32" s="651" t="s">
        <v>537</v>
      </c>
      <c r="G32" s="618"/>
      <c r="H32" s="2308"/>
      <c r="I32" s="2307"/>
      <c r="J32" s="2307"/>
      <c r="K32" s="2307"/>
    </row>
    <row r="33" spans="1:11" ht="1.5" customHeight="1" x14ac:dyDescent="0.2">
      <c r="A33" s="652" t="s">
        <v>1161</v>
      </c>
      <c r="B33" s="341"/>
      <c r="C33" s="341"/>
      <c r="D33" s="341"/>
      <c r="E33" s="341"/>
      <c r="F33" s="341"/>
      <c r="G33" s="653"/>
      <c r="H33" s="2308"/>
      <c r="I33" s="2307"/>
      <c r="J33" s="2307"/>
      <c r="K33" s="2307"/>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4" t="s">
        <v>538</v>
      </c>
      <c r="B41" s="2275"/>
      <c r="C41" s="2275"/>
      <c r="D41" s="2275"/>
      <c r="E41" s="2275"/>
      <c r="F41" s="2276"/>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G35" sqref="G35"/>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5" t="s">
        <v>1878</v>
      </c>
      <c r="B1" s="2316"/>
      <c r="C1" s="2317"/>
      <c r="D1" s="666"/>
      <c r="E1" s="667"/>
      <c r="F1" s="667"/>
      <c r="G1" s="668"/>
      <c r="H1" s="669"/>
      <c r="I1" s="670"/>
      <c r="J1" s="2313"/>
      <c r="K1" s="2314"/>
      <c r="L1" s="2314"/>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68360</v>
      </c>
      <c r="D5" s="1820">
        <v>0</v>
      </c>
      <c r="E5" s="1820"/>
      <c r="F5" s="1815">
        <f>(C5+D5)-E5</f>
        <v>68360</v>
      </c>
      <c r="G5" s="676"/>
      <c r="H5" s="680"/>
      <c r="I5" s="680"/>
      <c r="J5" s="680"/>
      <c r="K5" s="637"/>
      <c r="L5" s="1491">
        <f>F5-K5</f>
        <v>68360</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8113602</v>
      </c>
      <c r="D8" s="1821">
        <v>0</v>
      </c>
      <c r="E8" s="1821"/>
      <c r="F8" s="1815">
        <f>(C8+D8)-E8</f>
        <v>8113602</v>
      </c>
      <c r="G8" s="681">
        <v>50</v>
      </c>
      <c r="H8" s="619">
        <v>3474392</v>
      </c>
      <c r="I8" s="619">
        <v>160321</v>
      </c>
      <c r="J8" s="619"/>
      <c r="K8" s="1491">
        <f>(H8+I8)-J8</f>
        <v>3634713</v>
      </c>
      <c r="L8" s="1491">
        <f>F8-K8</f>
        <v>4478889</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151121</v>
      </c>
      <c r="D10" s="1822">
        <v>0</v>
      </c>
      <c r="E10" s="1822"/>
      <c r="F10" s="1823">
        <f>(C10+D10)-E10</f>
        <v>151121</v>
      </c>
      <c r="G10" s="681">
        <v>20</v>
      </c>
      <c r="H10" s="683">
        <v>150297</v>
      </c>
      <c r="I10" s="683">
        <v>274</v>
      </c>
      <c r="J10" s="683"/>
      <c r="K10" s="1491">
        <f>(H10+I10)-J10</f>
        <v>150571</v>
      </c>
      <c r="L10" s="1491">
        <f>F10-K10</f>
        <v>550</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819433</v>
      </c>
      <c r="D12" s="1821">
        <v>30572</v>
      </c>
      <c r="E12" s="1821"/>
      <c r="F12" s="1815">
        <f>(C12+D12)-E12</f>
        <v>850005</v>
      </c>
      <c r="G12" s="681">
        <v>10</v>
      </c>
      <c r="H12" s="619">
        <v>576789</v>
      </c>
      <c r="I12" s="619">
        <v>40807</v>
      </c>
      <c r="J12" s="619"/>
      <c r="K12" s="1491">
        <f>(H12+I12)-J12</f>
        <v>617596</v>
      </c>
      <c r="L12" s="1491">
        <f>F12-K12</f>
        <v>232409</v>
      </c>
    </row>
    <row r="13" spans="1:14" ht="14.25" thickTop="1" thickBot="1" x14ac:dyDescent="0.25">
      <c r="A13" s="684" t="s">
        <v>1114</v>
      </c>
      <c r="B13" s="679">
        <v>252</v>
      </c>
      <c r="C13" s="1821">
        <v>106462</v>
      </c>
      <c r="D13" s="1821">
        <v>0</v>
      </c>
      <c r="E13" s="1821"/>
      <c r="F13" s="1815">
        <f>(C13+D13)-E13</f>
        <v>106462</v>
      </c>
      <c r="G13" s="681">
        <v>5</v>
      </c>
      <c r="H13" s="619">
        <v>53789</v>
      </c>
      <c r="I13" s="619">
        <v>11492</v>
      </c>
      <c r="J13" s="619"/>
      <c r="K13" s="1491">
        <f>(H13+I13)-J13</f>
        <v>65281</v>
      </c>
      <c r="L13" s="1491">
        <f>F13-K13</f>
        <v>41181</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9258978</v>
      </c>
      <c r="D16" s="1815">
        <f>SUM(D3,D5:D6,D8:D10,D12:D15)</f>
        <v>30572</v>
      </c>
      <c r="E16" s="1815">
        <f>SUM(E3,E5:E6,E8:E10,E12:E15)</f>
        <v>0</v>
      </c>
      <c r="F16" s="1815">
        <f>SUM(F3,F5:F6,F8:F10,F12:F15)</f>
        <v>9289550</v>
      </c>
      <c r="G16" s="681"/>
      <c r="H16" s="1484">
        <f>SUM(H3,H6,H8:H10,H12:H14,)</f>
        <v>4255267</v>
      </c>
      <c r="I16" s="1484">
        <f>SUM(I3,I6,I8:I10,I12:I14,)</f>
        <v>212894</v>
      </c>
      <c r="J16" s="1484">
        <f>SUM(J3,J6,J8:J10,J12:J14,)</f>
        <v>0</v>
      </c>
      <c r="K16" s="1484">
        <f>(H16+I16)-J16</f>
        <v>4468161</v>
      </c>
      <c r="L16" s="1484">
        <f>F16-K16</f>
        <v>4821389</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212894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activeCell="G35" sqref="G35"/>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1" t="str">
        <f>"ESTIMATED OPERATING EXPENSE PER PUPIL (OEPP)/PER CAPITA TUITION CHARGE (PCTC) COMPUTATIONS ("&amp;'AFR20'!E2-1&amp;" - "&amp;'AFR20'!E2&amp;")"</f>
        <v>ESTIMATED OPERATING EXPENSE PER PUPIL (OEPP)/PER CAPITA TUITION CHARGE (PCTC) COMPUTATIONS (2019 - 2020)</v>
      </c>
      <c r="B1" s="2322"/>
      <c r="C1" s="2322"/>
      <c r="D1" s="2322"/>
      <c r="E1" s="2322"/>
      <c r="F1" s="2323"/>
      <c r="G1" s="691"/>
      <c r="I1" s="701"/>
    </row>
    <row r="2" spans="1:9" ht="15" customHeight="1" thickBot="1" x14ac:dyDescent="0.25">
      <c r="A2" s="2324" t="s">
        <v>474</v>
      </c>
      <c r="B2" s="2325"/>
      <c r="C2" s="2325"/>
      <c r="D2" s="2325"/>
      <c r="E2" s="2325"/>
      <c r="F2" s="2326"/>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7"/>
      <c r="B5" s="2328"/>
      <c r="C5" s="2328"/>
      <c r="D5" s="2328"/>
      <c r="E5" s="2328"/>
      <c r="F5" s="2328"/>
    </row>
    <row r="6" spans="1:9" ht="13.5" customHeight="1" thickBot="1" x14ac:dyDescent="0.25">
      <c r="A6" s="2318" t="s">
        <v>1097</v>
      </c>
      <c r="B6" s="2319"/>
      <c r="C6" s="2319"/>
      <c r="D6" s="2319"/>
      <c r="E6" s="2319"/>
      <c r="F6" s="2320"/>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3187426</v>
      </c>
      <c r="G8" s="701"/>
    </row>
    <row r="9" spans="1:9" x14ac:dyDescent="0.2">
      <c r="A9" s="705" t="s">
        <v>457</v>
      </c>
      <c r="B9" s="706" t="s">
        <v>1851</v>
      </c>
      <c r="C9" s="707"/>
      <c r="D9" s="705" t="s">
        <v>498</v>
      </c>
      <c r="E9" s="704"/>
      <c r="F9" s="1825">
        <f>'Expenditures 15-22'!K151</f>
        <v>294766</v>
      </c>
      <c r="G9" s="708"/>
    </row>
    <row r="10" spans="1:9" x14ac:dyDescent="0.2">
      <c r="A10" s="705" t="s">
        <v>496</v>
      </c>
      <c r="B10" s="706" t="s">
        <v>1852</v>
      </c>
      <c r="C10" s="707"/>
      <c r="D10" s="705" t="s">
        <v>498</v>
      </c>
      <c r="E10" s="704"/>
      <c r="F10" s="1825">
        <f>'Expenditures 15-22'!K174</f>
        <v>557915</v>
      </c>
      <c r="G10" s="708"/>
    </row>
    <row r="11" spans="1:9" x14ac:dyDescent="0.2">
      <c r="A11" s="705" t="s">
        <v>458</v>
      </c>
      <c r="B11" s="706" t="s">
        <v>1853</v>
      </c>
      <c r="C11" s="707"/>
      <c r="D11" s="705" t="s">
        <v>498</v>
      </c>
      <c r="E11" s="704"/>
      <c r="F11" s="1825">
        <f>'Expenditures 15-22'!K210</f>
        <v>251309</v>
      </c>
      <c r="G11" s="708"/>
    </row>
    <row r="12" spans="1:9" x14ac:dyDescent="0.2">
      <c r="A12" s="705" t="s">
        <v>459</v>
      </c>
      <c r="B12" s="706" t="s">
        <v>1854</v>
      </c>
      <c r="C12" s="707"/>
      <c r="D12" s="705" t="s">
        <v>498</v>
      </c>
      <c r="E12" s="704"/>
      <c r="F12" s="1825">
        <f>'Expenditures 15-22'!K295</f>
        <v>131050</v>
      </c>
      <c r="G12" s="708"/>
    </row>
    <row r="13" spans="1:9" x14ac:dyDescent="0.2">
      <c r="A13" s="705" t="s">
        <v>106</v>
      </c>
      <c r="B13" s="706" t="s">
        <v>1855</v>
      </c>
      <c r="C13" s="707"/>
      <c r="D13" s="705" t="s">
        <v>498</v>
      </c>
      <c r="E13" s="704"/>
      <c r="F13" s="1825">
        <f>'Expenditures 15-22'!K342</f>
        <v>385726</v>
      </c>
      <c r="G13" s="709"/>
    </row>
    <row r="14" spans="1:9" ht="12" customHeight="1" thickBot="1" x14ac:dyDescent="0.25">
      <c r="A14" s="1492"/>
      <c r="B14" s="1493"/>
      <c r="C14" s="1494"/>
      <c r="D14" s="1495" t="s">
        <v>498</v>
      </c>
      <c r="E14" s="1496" t="s">
        <v>952</v>
      </c>
      <c r="F14" s="1826">
        <f>SUM(F8:F13)</f>
        <v>4808192</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115640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2">
        <f>'Expenditures 15-22'!K102</f>
        <v>103685</v>
      </c>
      <c r="G53" s="701"/>
    </row>
    <row r="54" spans="1:7" x14ac:dyDescent="0.2">
      <c r="A54" s="705" t="s">
        <v>456</v>
      </c>
      <c r="B54" s="705" t="s">
        <v>1462</v>
      </c>
      <c r="C54" s="724" t="s">
        <v>975</v>
      </c>
      <c r="D54" s="720" t="s">
        <v>1088</v>
      </c>
      <c r="E54" s="704"/>
      <c r="F54" s="1832">
        <f>'Expenditures 15-22'!G114</f>
        <v>30572</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473000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4581</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727478</v>
      </c>
      <c r="G77" s="701"/>
    </row>
    <row r="78" spans="1:9" s="728" customFormat="1" ht="12" customHeight="1" thickTop="1" thickBot="1" x14ac:dyDescent="0.25">
      <c r="A78" s="1499"/>
      <c r="B78" s="1497"/>
      <c r="C78" s="1494"/>
      <c r="D78" s="1498" t="s">
        <v>2015</v>
      </c>
      <c r="E78" s="1496"/>
      <c r="F78" s="1838">
        <f>(F14-F77)</f>
        <v>4080714</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560.79999999999995</v>
      </c>
      <c r="G79" s="733"/>
      <c r="H79" s="705"/>
      <c r="I79" s="705"/>
    </row>
    <row r="80" spans="1:9" s="728" customFormat="1" ht="12" customHeight="1" thickBot="1" x14ac:dyDescent="0.25">
      <c r="A80" s="1501"/>
      <c r="B80" s="1497"/>
      <c r="C80" s="1494"/>
      <c r="D80" s="1498" t="s">
        <v>2016</v>
      </c>
      <c r="E80" s="1496" t="s">
        <v>952</v>
      </c>
      <c r="F80" s="1840">
        <f>IF(F79&gt;0,F78/F79," Complete Line 79")</f>
        <v>7276.5941512125537</v>
      </c>
      <c r="G80" s="705"/>
    </row>
    <row r="81" spans="1:7" s="728" customFormat="1" ht="8.25" customHeight="1" thickTop="1" x14ac:dyDescent="0.2">
      <c r="A81" s="734"/>
      <c r="B81" s="705"/>
      <c r="C81" s="707"/>
      <c r="D81" s="735"/>
      <c r="E81" s="704"/>
      <c r="F81" s="1841"/>
      <c r="G81" s="705"/>
    </row>
    <row r="82" spans="1:7" s="728" customFormat="1" ht="12" thickBot="1" x14ac:dyDescent="0.25">
      <c r="A82" s="2318" t="s">
        <v>1098</v>
      </c>
      <c r="B82" s="2319"/>
      <c r="C82" s="2319"/>
      <c r="D82" s="2319"/>
      <c r="E82" s="2319"/>
      <c r="F82" s="2320"/>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142755</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69710</v>
      </c>
      <c r="G95" s="745"/>
    </row>
    <row r="96" spans="1:7" x14ac:dyDescent="0.2">
      <c r="A96" s="741" t="s">
        <v>139</v>
      </c>
      <c r="B96" s="741" t="s">
        <v>174</v>
      </c>
      <c r="C96" s="743">
        <v>1700</v>
      </c>
      <c r="D96" s="751" t="str">
        <f>'Revenues 9-14'!A82</f>
        <v>Total District/School Activity Income</v>
      </c>
      <c r="E96" s="739"/>
      <c r="F96" s="1843">
        <f>SUM('Revenues 9-14'!C82,'Revenues 9-14'!D82)</f>
        <v>12646</v>
      </c>
      <c r="G96" s="745"/>
    </row>
    <row r="97" spans="1:7" x14ac:dyDescent="0.2">
      <c r="A97" s="741" t="s">
        <v>456</v>
      </c>
      <c r="B97" s="741" t="s">
        <v>175</v>
      </c>
      <c r="C97" s="743">
        <f>'Revenues 9-14'!B84</f>
        <v>1811</v>
      </c>
      <c r="D97" s="744" t="str">
        <f>'Revenues 9-14'!A84</f>
        <v>Rentals - Regular Textbooks</v>
      </c>
      <c r="E97" s="739"/>
      <c r="F97" s="1843">
        <f>'Revenues 9-14'!C84</f>
        <v>75237</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0</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1258</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48278</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750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94347</v>
      </c>
      <c r="G126" s="763"/>
    </row>
    <row r="127" spans="1:7" x14ac:dyDescent="0.2">
      <c r="A127" s="760" t="s">
        <v>663</v>
      </c>
      <c r="B127" s="760" t="s">
        <v>1934</v>
      </c>
      <c r="C127" s="765">
        <v>4300</v>
      </c>
      <c r="D127" s="766" t="str">
        <f>'Revenues 9-14'!A204</f>
        <v>Total Title I</v>
      </c>
      <c r="E127" s="739"/>
      <c r="F127" s="1843">
        <f>SUM('Revenues 9-14'!C204,'Revenues 9-14'!D204,'Revenues 9-14'!F204,'Revenues 9-14'!G204)</f>
        <v>87936</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20128</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46310</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22686</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2636</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5459</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155831</v>
      </c>
      <c r="G172" s="760"/>
    </row>
    <row r="173" spans="1:7" x14ac:dyDescent="0.2">
      <c r="A173" s="1579" t="s">
        <v>659</v>
      </c>
      <c r="B173" s="1580" t="s">
        <v>1888</v>
      </c>
      <c r="C173" s="1581">
        <v>3300</v>
      </c>
      <c r="D173" s="1582" t="s">
        <v>1891</v>
      </c>
      <c r="E173" s="739"/>
      <c r="F173" s="1844">
        <v>1252</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787219</v>
      </c>
    </row>
    <row r="176" spans="1:7" ht="12" customHeight="1" x14ac:dyDescent="0.2">
      <c r="A176" s="1492"/>
      <c r="B176" s="1502"/>
      <c r="C176" s="1503"/>
      <c r="D176" s="1504" t="s">
        <v>2017</v>
      </c>
      <c r="E176" s="1505"/>
      <c r="F176" s="1843">
        <f>'PCTC-OEPP 27-28'!F78-F175</f>
        <v>3293495</v>
      </c>
    </row>
    <row r="177" spans="1:9" ht="12" customHeight="1" x14ac:dyDescent="0.2">
      <c r="A177" s="1492"/>
      <c r="B177" s="1502"/>
      <c r="C177" s="1503"/>
      <c r="D177" s="1504" t="s">
        <v>1797</v>
      </c>
      <c r="E177" s="1505"/>
      <c r="F177" s="1843">
        <f>'Cap Outlay Deprec 26'!I18</f>
        <v>212894</v>
      </c>
    </row>
    <row r="178" spans="1:9" ht="12" customHeight="1" x14ac:dyDescent="0.2">
      <c r="A178" s="1492"/>
      <c r="B178" s="1502"/>
      <c r="C178" s="1503"/>
      <c r="D178" s="1504" t="s">
        <v>2018</v>
      </c>
      <c r="E178" s="1505"/>
      <c r="F178" s="1843">
        <f>F176+F177</f>
        <v>3506389</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560.79999999999995</v>
      </c>
      <c r="G179" s="763"/>
      <c r="I179" s="701"/>
    </row>
    <row r="180" spans="1:9" ht="12" customHeight="1" thickBot="1" x14ac:dyDescent="0.25">
      <c r="A180" s="1492"/>
      <c r="B180" s="1506"/>
      <c r="C180" s="1503"/>
      <c r="D180" s="1504" t="s">
        <v>2020</v>
      </c>
      <c r="E180" s="1505" t="s">
        <v>1531</v>
      </c>
      <c r="F180" s="1848">
        <f>F178/F179</f>
        <v>6252.4768188302432</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47"/>
  <sheetViews>
    <sheetView showGridLines="0" zoomScaleNormal="100" workbookViewId="0">
      <selection activeCell="G35" sqref="G35"/>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2" t="s">
        <v>1798</v>
      </c>
      <c r="B4" s="2333"/>
      <c r="C4" s="2333"/>
      <c r="D4" s="2333"/>
      <c r="E4" s="2333"/>
      <c r="F4" s="2334"/>
    </row>
    <row r="5" spans="1:6" x14ac:dyDescent="0.25">
      <c r="A5" s="2335"/>
      <c r="B5" s="2336"/>
      <c r="C5" s="2336"/>
      <c r="D5" s="2336"/>
      <c r="E5" s="2336"/>
      <c r="F5" s="2337"/>
    </row>
    <row r="6" spans="1:6" ht="18.75" x14ac:dyDescent="0.25">
      <c r="A6" s="1930" t="s">
        <v>1799</v>
      </c>
      <c r="B6" s="1931"/>
      <c r="C6" s="1932"/>
      <c r="D6" s="1932"/>
      <c r="E6" s="1932"/>
      <c r="F6" s="1933"/>
    </row>
    <row r="7" spans="1:6" ht="47.25" customHeight="1" x14ac:dyDescent="0.25">
      <c r="A7" s="2338" t="s">
        <v>1988</v>
      </c>
      <c r="B7" s="2339"/>
      <c r="C7" s="2339"/>
      <c r="D7" s="2339"/>
      <c r="E7" s="2339"/>
      <c r="F7" s="2340"/>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1" t="s">
        <v>1984</v>
      </c>
      <c r="B10" s="2342"/>
      <c r="C10" s="2342"/>
      <c r="D10" s="2342"/>
      <c r="E10" s="2342"/>
      <c r="F10" s="2343"/>
    </row>
    <row r="11" spans="1:6" ht="33" customHeight="1" x14ac:dyDescent="0.25">
      <c r="A11" s="2338" t="s">
        <v>1989</v>
      </c>
      <c r="B11" s="2339"/>
      <c r="C11" s="2339"/>
      <c r="D11" s="2339"/>
      <c r="E11" s="2339"/>
      <c r="F11" s="2340"/>
    </row>
    <row r="12" spans="1:6" ht="15" customHeight="1" x14ac:dyDescent="0.25">
      <c r="A12" s="1936" t="s">
        <v>1985</v>
      </c>
      <c r="B12" s="1937"/>
      <c r="C12" s="1938"/>
      <c r="D12" s="1938"/>
      <c r="E12" s="1938"/>
      <c r="F12" s="1939"/>
    </row>
    <row r="13" spans="1:6" ht="17.25" customHeight="1" x14ac:dyDescent="0.25">
      <c r="A13" s="2338" t="s">
        <v>1986</v>
      </c>
      <c r="B13" s="2339"/>
      <c r="C13" s="2339"/>
      <c r="D13" s="2339"/>
      <c r="E13" s="2339"/>
      <c r="F13" s="2340"/>
    </row>
    <row r="14" spans="1:6" ht="15" customHeight="1" x14ac:dyDescent="0.25">
      <c r="A14" s="1936" t="s">
        <v>1803</v>
      </c>
      <c r="B14" s="1937"/>
      <c r="C14" s="1938"/>
      <c r="D14" s="1938"/>
      <c r="E14" s="1938"/>
      <c r="F14" s="1939"/>
    </row>
    <row r="15" spans="1:6" ht="32.25" customHeight="1" x14ac:dyDescent="0.25">
      <c r="A15" s="2329"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0"/>
      <c r="C15" s="2330"/>
      <c r="D15" s="2330"/>
      <c r="E15" s="2330"/>
      <c r="F15" s="2331"/>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2046</v>
      </c>
      <c r="B18" s="1970">
        <v>102560300</v>
      </c>
      <c r="C18" s="1988" t="s">
        <v>2047</v>
      </c>
      <c r="D18" s="1948">
        <v>99669</v>
      </c>
      <c r="E18" s="1968" t="str">
        <f t="shared" ref="E18:E37" si="0">IF(D18&lt;25000,D18,"25,000")</f>
        <v>25,000</v>
      </c>
      <c r="F18" s="1968">
        <f t="shared" ref="F18:F37" si="1">IF(D18&gt;=25000,(D18-E18),"0")</f>
        <v>74669</v>
      </c>
      <c r="G18" s="1949"/>
    </row>
    <row r="19" spans="1:7" x14ac:dyDescent="0.25">
      <c r="A19" s="1950"/>
      <c r="B19" s="1970"/>
      <c r="C19" s="1947"/>
      <c r="D19" s="1948"/>
      <c r="E19" s="1968">
        <f t="shared" si="0"/>
        <v>0</v>
      </c>
      <c r="F19" s="1968" t="str">
        <f t="shared" si="1"/>
        <v>0</v>
      </c>
    </row>
    <row r="20" spans="1:7" x14ac:dyDescent="0.25">
      <c r="A20" s="1950"/>
      <c r="B20" s="1970"/>
      <c r="C20" s="1947"/>
      <c r="D20" s="1948"/>
      <c r="E20" s="1968">
        <f t="shared" si="0"/>
        <v>0</v>
      </c>
      <c r="F20" s="1968" t="str">
        <f t="shared" si="1"/>
        <v>0</v>
      </c>
    </row>
    <row r="21" spans="1:7" x14ac:dyDescent="0.25">
      <c r="A21" s="1950"/>
      <c r="B21" s="1970"/>
      <c r="C21" s="1947"/>
      <c r="D21" s="1948"/>
      <c r="E21" s="1968">
        <f t="shared" si="0"/>
        <v>0</v>
      </c>
      <c r="F21" s="1968" t="str">
        <f t="shared" si="1"/>
        <v>0</v>
      </c>
    </row>
    <row r="22" spans="1:7" x14ac:dyDescent="0.25">
      <c r="A22" s="1950"/>
      <c r="B22" s="1970"/>
      <c r="C22" s="1947"/>
      <c r="D22" s="1948"/>
      <c r="E22" s="1968">
        <f t="shared" si="0"/>
        <v>0</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51"/>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0"/>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1"/>
      <c r="C37" s="1951"/>
      <c r="D37" s="1948"/>
      <c r="E37" s="1968">
        <f t="shared" si="0"/>
        <v>0</v>
      </c>
      <c r="F37" s="1968" t="str">
        <f t="shared" si="1"/>
        <v>0</v>
      </c>
    </row>
    <row r="38" spans="1:6" x14ac:dyDescent="0.25">
      <c r="A38" s="1950"/>
      <c r="B38" s="1972"/>
      <c r="C38" s="1951"/>
      <c r="D38" s="1948"/>
      <c r="E38" s="1968">
        <f t="shared" ref="E38" si="2">IF(D38&lt;25000,D38,"25,000")</f>
        <v>0</v>
      </c>
      <c r="F38" s="1968" t="str">
        <f t="shared" ref="F38" si="3">IF(D38&gt;=25000,(D38-E38),"0")</f>
        <v>0</v>
      </c>
    </row>
    <row r="39" spans="1:6" x14ac:dyDescent="0.25">
      <c r="A39" s="1952" t="s">
        <v>155</v>
      </c>
      <c r="B39" s="1973"/>
      <c r="C39" s="1953"/>
      <c r="D39" s="1954">
        <f>SUM(D18:D38)</f>
        <v>99669</v>
      </c>
      <c r="E39" s="1955">
        <f>SUM(E18:E38)</f>
        <v>0</v>
      </c>
      <c r="F39" s="1956">
        <f>SUM(F18:F38)</f>
        <v>74669</v>
      </c>
    </row>
    <row r="47" spans="1:6" ht="14.25" customHeight="1" x14ac:dyDescent="0.25"/>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485775</xdr:colOff>
                <xdr:row>9</xdr:row>
                <xdr:rowOff>114300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1504950</xdr:colOff>
                <xdr:row>9</xdr:row>
                <xdr:rowOff>114300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G35" sqref="G35"/>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4" t="s">
        <v>1663</v>
      </c>
      <c r="B5" s="2345"/>
      <c r="C5" s="2345"/>
      <c r="D5" s="2345"/>
      <c r="E5" s="2345"/>
      <c r="F5" s="2345"/>
      <c r="G5" s="2346"/>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89921</v>
      </c>
      <c r="F10" s="805"/>
      <c r="G10" s="806"/>
      <c r="H10" s="157"/>
      <c r="I10" s="157"/>
    </row>
    <row r="11" spans="1:13" s="542" customFormat="1" ht="22.5" customHeight="1" x14ac:dyDescent="0.2">
      <c r="A11" s="2349"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0"/>
      <c r="C11" s="2350"/>
      <c r="D11" s="2351"/>
      <c r="E11" s="1851">
        <v>19684</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2537359</v>
      </c>
      <c r="F19" s="1852"/>
      <c r="G19" s="1854">
        <f>'Expenditures 15-22'!K33-SUM('Expenditures 15-22'!G33,'Expenditures 15-22'!I33)+'Expenditures 15-22'!D229</f>
        <v>2537359</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111842</v>
      </c>
      <c r="F21" s="1855"/>
      <c r="G21" s="1858">
        <f>'Expenditures 15-22'!K42-SUM('Expenditures 15-22'!G42,'Expenditures 15-22'!I42)+'Expenditures 15-22'!K120-SUM('Expenditures 15-22'!G120,'Expenditures 15-22'!I120)+'Expenditures 15-22'!K180-SUM('Expenditures 15-22'!G180,'Expenditures 15-22'!I180)+'Expenditures 15-22'!D238</f>
        <v>111842</v>
      </c>
      <c r="H21" s="817"/>
      <c r="I21" s="157"/>
    </row>
    <row r="22" spans="1:9" s="542" customFormat="1" ht="12" customHeight="1" x14ac:dyDescent="0.2">
      <c r="A22" s="824" t="s">
        <v>560</v>
      </c>
      <c r="B22" s="825"/>
      <c r="C22" s="823">
        <v>2200</v>
      </c>
      <c r="D22" s="1855"/>
      <c r="E22" s="1857">
        <f>'Expenditures 15-22'!K47-SUM('Expenditures 15-22'!G47,'Expenditures 15-22'!I47)+'Expenditures 15-22'!D243</f>
        <v>45286</v>
      </c>
      <c r="F22" s="1855"/>
      <c r="G22" s="1858">
        <f>'Expenditures 15-22'!K47-SUM('Expenditures 15-22'!G47,'Expenditures 15-22'!I47)+'Expenditures 15-22'!D243</f>
        <v>45286</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473046</v>
      </c>
      <c r="F23" s="1855"/>
      <c r="G23" s="1857">
        <f>'Expenditures 15-22'!K53-SUM('Expenditures 15-22'!G53,'Expenditures 15-22'!I53)+'Expenditures 15-22'!D257+'Expenditures 15-22'!K330-SUM('Expenditures 15-22'!G330,'Expenditures 15-22'!I330)</f>
        <v>473046</v>
      </c>
      <c r="H23" s="817"/>
      <c r="I23" s="157"/>
    </row>
    <row r="24" spans="1:9" s="542" customFormat="1" ht="12" customHeight="1" x14ac:dyDescent="0.2">
      <c r="A24" s="824" t="s">
        <v>562</v>
      </c>
      <c r="B24" s="825"/>
      <c r="C24" s="823">
        <v>2400</v>
      </c>
      <c r="D24" s="1855"/>
      <c r="E24" s="1857">
        <f>'Expenditures 15-22'!K57-SUM('Expenditures 15-22'!G57,'Expenditures 15-22'!I57)+'Expenditures 15-22'!D261</f>
        <v>190917</v>
      </c>
      <c r="F24" s="1855"/>
      <c r="G24" s="1858">
        <f>'Expenditures 15-22'!K57-SUM('Expenditures 15-22'!G57,'Expenditures 15-22'!I57)+'Expenditures 15-22'!D261</f>
        <v>190917</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57490</v>
      </c>
      <c r="E26" s="1857">
        <f>'Expenditures 15-22'!K122-SUM('Expenditures 15-22'!G122,'Expenditures 15-22'!I122)+E7</f>
        <v>0</v>
      </c>
      <c r="F26" s="1857">
        <f>'Expenditures 15-22'!K59-SUM('Expenditures 15-22'!G59,'Expenditures 15-22'!I59)+'Expenditures 15-22'!D263-E7</f>
        <v>57490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0</v>
      </c>
      <c r="E27" s="1857">
        <f>E8</f>
        <v>0</v>
      </c>
      <c r="F27" s="1857">
        <f>'Expenditures 15-22'!K60-SUM('Expenditures 15-22'!G60,'Expenditures 15-22'!I60)+'Expenditures 15-22'!D264-E8</f>
        <v>0</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334107</v>
      </c>
      <c r="F28" s="1859">
        <f>'Expenditures 15-22'!K61-SUM('Expenditures 15-22'!G61,'Expenditures 15-22'!I61)+'Expenditures 15-22'!K124-SUM('Expenditures 15-22'!G124,'Expenditures 15-22'!I124)+'Expenditures 15-22'!D266-E9</f>
        <v>334107</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264698</v>
      </c>
      <c r="F29" s="1855"/>
      <c r="G29" s="1858">
        <f>'Expenditures 15-22'!K62-SUM('Expenditures 15-22'!G62,'Expenditures 15-22'!I62)+'Expenditures 15-22'!K125-SUM('Expenditures 15-22'!G125,'Expenditures 15-22'!I125)+'Expenditures 15-22'!K182-SUM('Expenditures 15-22'!G182,'Expenditures 15-22'!I182)+'Expenditures 15-22'!D267</f>
        <v>264698</v>
      </c>
      <c r="H29" s="815"/>
    </row>
    <row r="30" spans="1:9" ht="12" customHeight="1" x14ac:dyDescent="0.2">
      <c r="A30" s="824" t="s">
        <v>100</v>
      </c>
      <c r="B30" s="827"/>
      <c r="C30" s="823">
        <v>2560</v>
      </c>
      <c r="D30" s="1855"/>
      <c r="E30" s="1857">
        <f>'Expenditures 15-22'!K63-SUM('Expenditures 15-22'!G63,'Expenditures 15-22'!I63)+'Expenditures 15-22'!D268-E10</f>
        <v>11354</v>
      </c>
      <c r="F30" s="1855"/>
      <c r="G30" s="1857">
        <f>'Expenditures 15-22'!K63-SUM('Expenditures 15-22'!G63,'Expenditures 15-22'!I63)+'Expenditures 15-22'!D268-E10</f>
        <v>11354</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0</v>
      </c>
      <c r="F39" s="1855"/>
      <c r="G39" s="185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5"/>
      <c r="E40" s="1859">
        <f>-'Contracts Paid in CY 29'!F39</f>
        <v>-74669</v>
      </c>
      <c r="F40" s="1855"/>
      <c r="G40" s="1859">
        <f>-'Contracts Paid in CY 29'!F39</f>
        <v>-74669</v>
      </c>
    </row>
    <row r="41" spans="1:7" ht="12" customHeight="1" x14ac:dyDescent="0.2">
      <c r="A41" s="828" t="s">
        <v>155</v>
      </c>
      <c r="B41" s="829"/>
      <c r="C41" s="830"/>
      <c r="D41" s="1859">
        <f>SUM(D19:D39)</f>
        <v>57490</v>
      </c>
      <c r="E41" s="1859">
        <f>SUM(E19:E40)</f>
        <v>3893940</v>
      </c>
      <c r="F41" s="1859">
        <f>SUM(F19:F39)</f>
        <v>391597</v>
      </c>
      <c r="G41" s="1859">
        <f>SUM(G19:G40)</f>
        <v>3559833</v>
      </c>
    </row>
    <row r="42" spans="1:7" x14ac:dyDescent="0.2">
      <c r="A42" s="817"/>
      <c r="B42" s="157"/>
      <c r="C42" s="831"/>
      <c r="D42" s="2347" t="s">
        <v>519</v>
      </c>
      <c r="E42" s="2348"/>
      <c r="F42" s="832" t="s">
        <v>520</v>
      </c>
      <c r="G42" s="833"/>
    </row>
    <row r="43" spans="1:7" ht="12" customHeight="1" x14ac:dyDescent="0.2">
      <c r="A43" s="817"/>
      <c r="B43" s="157"/>
      <c r="C43" s="831"/>
      <c r="D43" s="1507" t="s">
        <v>470</v>
      </c>
      <c r="E43" s="1860">
        <f>D41</f>
        <v>57490</v>
      </c>
      <c r="F43" s="1507" t="s">
        <v>470</v>
      </c>
      <c r="G43" s="1860">
        <f>F41</f>
        <v>391597</v>
      </c>
    </row>
    <row r="44" spans="1:7" ht="12" customHeight="1" x14ac:dyDescent="0.2">
      <c r="A44" s="817"/>
      <c r="B44" s="157"/>
      <c r="C44" s="831"/>
      <c r="D44" s="1507" t="s">
        <v>471</v>
      </c>
      <c r="E44" s="1860">
        <f>E41</f>
        <v>3893940</v>
      </c>
      <c r="F44" s="1507" t="s">
        <v>471</v>
      </c>
      <c r="G44" s="1860">
        <f>G41</f>
        <v>3559833</v>
      </c>
    </row>
    <row r="45" spans="1:7" ht="12" customHeight="1" x14ac:dyDescent="0.2">
      <c r="A45" s="817"/>
      <c r="B45" s="157"/>
      <c r="C45" s="157"/>
      <c r="D45" s="1508" t="s">
        <v>999</v>
      </c>
      <c r="E45" s="1861">
        <f>(E43/E44)</f>
        <v>1.4763966573701701E-2</v>
      </c>
      <c r="F45" s="1508" t="s">
        <v>999</v>
      </c>
      <c r="G45" s="1861">
        <f>(G43/G44)</f>
        <v>0.1100043176182703</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G35" sqref="G35"/>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55" t="s">
        <v>1365</v>
      </c>
      <c r="B1" s="2355"/>
      <c r="C1" s="2355"/>
      <c r="D1" s="2355"/>
      <c r="E1" s="2355"/>
      <c r="F1" s="2355"/>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56" t="s">
        <v>1532</v>
      </c>
      <c r="B5" s="2357"/>
      <c r="C5" s="2358"/>
      <c r="D5" s="2358"/>
      <c r="E5" s="2358"/>
      <c r="F5" s="2358"/>
      <c r="G5" s="1556"/>
      <c r="L5" s="1556"/>
      <c r="M5" s="1913"/>
      <c r="N5" s="1913"/>
      <c r="O5" s="1913"/>
    </row>
    <row r="6" spans="1:15" ht="12" customHeight="1" x14ac:dyDescent="0.25">
      <c r="A6" s="1529"/>
      <c r="B6" s="1530"/>
      <c r="C6" s="2359" t="str">
        <f>COVER!A17</f>
        <v>Breese SD 12</v>
      </c>
      <c r="D6" s="2359"/>
      <c r="E6" s="2359"/>
      <c r="F6" s="1531"/>
      <c r="G6" s="1556"/>
      <c r="L6" s="1556"/>
      <c r="M6" s="1913"/>
      <c r="N6" s="1913"/>
      <c r="O6" s="1913"/>
    </row>
    <row r="7" spans="1:15" ht="11.25" customHeight="1" thickBot="1" x14ac:dyDescent="0.3">
      <c r="A7" s="1529"/>
      <c r="B7" s="1530"/>
      <c r="C7" s="2360">
        <f>COVER!A13</f>
        <v>13014012004</v>
      </c>
      <c r="D7" s="2360"/>
      <c r="E7" s="2360"/>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t="s">
        <v>2021</v>
      </c>
      <c r="D14" s="1544" t="s">
        <v>2021</v>
      </c>
      <c r="E14" s="1547" t="s">
        <v>2021</v>
      </c>
      <c r="F14" s="1546" t="s">
        <v>2059</v>
      </c>
      <c r="G14" s="1556"/>
      <c r="H14" s="1556">
        <f t="shared" si="0"/>
        <v>5</v>
      </c>
      <c r="I14" s="1556">
        <f t="shared" si="1"/>
        <v>5</v>
      </c>
      <c r="J14" s="1556">
        <f t="shared" si="2"/>
        <v>5</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2021</v>
      </c>
      <c r="D26" s="1544" t="s">
        <v>2021</v>
      </c>
      <c r="E26" s="1547" t="s">
        <v>2021</v>
      </c>
      <c r="F26" s="1546" t="s">
        <v>2048</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10</v>
      </c>
      <c r="I34" s="1556">
        <f>SUM(I11:I32)</f>
        <v>10</v>
      </c>
      <c r="J34" s="1556">
        <f>SUM(J11:J32)</f>
        <v>10</v>
      </c>
      <c r="K34" s="1556">
        <f>SUM(H34:J34)</f>
        <v>30</v>
      </c>
      <c r="L34" s="1556"/>
      <c r="M34" s="1913"/>
      <c r="N34" s="1913"/>
      <c r="O34" s="1913"/>
    </row>
    <row r="35" spans="1:15" ht="12" customHeight="1" x14ac:dyDescent="0.2">
      <c r="A35" s="1549" t="s">
        <v>1378</v>
      </c>
      <c r="B35" s="1550"/>
      <c r="C35" s="2361"/>
      <c r="D35" s="2361"/>
      <c r="E35" s="2361"/>
      <c r="F35" s="2362"/>
    </row>
    <row r="36" spans="1:15" ht="12" customHeight="1" x14ac:dyDescent="0.2">
      <c r="A36" s="2352"/>
      <c r="B36" s="2353"/>
      <c r="C36" s="2353"/>
      <c r="D36" s="2353"/>
      <c r="E36" s="2353"/>
      <c r="F36" s="2354"/>
    </row>
    <row r="37" spans="1:15" ht="12" customHeight="1" x14ac:dyDescent="0.2">
      <c r="A37" s="2352"/>
      <c r="B37" s="2353"/>
      <c r="C37" s="2353"/>
      <c r="D37" s="2353"/>
      <c r="E37" s="2353"/>
      <c r="F37" s="2354"/>
    </row>
    <row r="38" spans="1:15" ht="12" customHeight="1" x14ac:dyDescent="0.2">
      <c r="A38" s="2366"/>
      <c r="B38" s="2367"/>
      <c r="C38" s="2367"/>
      <c r="D38" s="2367"/>
      <c r="E38" s="2367"/>
      <c r="F38" s="2368"/>
    </row>
    <row r="39" spans="1:15" ht="4.5" hidden="1" customHeight="1" x14ac:dyDescent="0.2">
      <c r="A39" s="1551"/>
      <c r="B39" s="1551"/>
      <c r="C39" s="1551"/>
      <c r="D39" s="1551"/>
      <c r="E39" s="1551"/>
      <c r="F39" s="1551"/>
    </row>
    <row r="40" spans="1:15" s="1548" customFormat="1" ht="12" customHeight="1" x14ac:dyDescent="0.25">
      <c r="A40" s="1552" t="s">
        <v>1377</v>
      </c>
      <c r="B40" s="1553"/>
      <c r="C40" s="2369"/>
      <c r="D40" s="2369"/>
      <c r="E40" s="2369"/>
      <c r="F40" s="2370"/>
      <c r="H40" s="1557"/>
      <c r="I40" s="1557"/>
      <c r="J40" s="1557"/>
      <c r="K40" s="1557"/>
    </row>
    <row r="41" spans="1:15" s="1548" customFormat="1" ht="12" customHeight="1" x14ac:dyDescent="0.25">
      <c r="A41" s="2371"/>
      <c r="B41" s="2372"/>
      <c r="C41" s="2372"/>
      <c r="D41" s="2372"/>
      <c r="E41" s="2372"/>
      <c r="F41" s="2373"/>
      <c r="H41" s="1557"/>
      <c r="I41" s="1557"/>
      <c r="J41" s="1557"/>
      <c r="K41" s="1557"/>
    </row>
    <row r="42" spans="1:15" s="1548" customFormat="1" ht="12" customHeight="1" x14ac:dyDescent="0.25">
      <c r="A42" s="2371"/>
      <c r="B42" s="2372"/>
      <c r="C42" s="2372"/>
      <c r="D42" s="2372"/>
      <c r="E42" s="2372"/>
      <c r="F42" s="2373"/>
      <c r="H42" s="1557"/>
      <c r="I42" s="1557"/>
      <c r="J42" s="1557"/>
      <c r="K42" s="1557"/>
    </row>
    <row r="43" spans="1:15" s="1548" customFormat="1" ht="15" x14ac:dyDescent="0.25">
      <c r="A43" s="2363"/>
      <c r="B43" s="2364"/>
      <c r="C43" s="2364"/>
      <c r="D43" s="2364"/>
      <c r="E43" s="2364"/>
      <c r="F43" s="2365"/>
      <c r="H43" s="1557"/>
      <c r="I43" s="1557"/>
      <c r="J43" s="1557"/>
      <c r="K43" s="1557"/>
    </row>
    <row r="44" spans="1:15" s="1548" customFormat="1" ht="12" hidden="1" customHeight="1" x14ac:dyDescent="0.25">
      <c r="A44" s="2363"/>
      <c r="B44" s="2364"/>
      <c r="C44" s="2364"/>
      <c r="D44" s="2364"/>
      <c r="E44" s="2364"/>
      <c r="F44" s="2365"/>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G35" sqref="G35"/>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79" t="str">
        <f>COVER!A17</f>
        <v>Breese SD 12</v>
      </c>
      <c r="J6" s="2380"/>
      <c r="K6" s="2381"/>
      <c r="R6" s="1427"/>
    </row>
    <row r="7" spans="1:18" x14ac:dyDescent="0.2">
      <c r="A7" s="2382" t="s">
        <v>864</v>
      </c>
      <c r="B7" s="2383"/>
      <c r="C7" s="2383"/>
      <c r="D7" s="2383"/>
      <c r="E7" s="2384"/>
      <c r="F7" s="847"/>
      <c r="G7" s="839"/>
      <c r="H7" s="846" t="s">
        <v>369</v>
      </c>
      <c r="I7" s="2385">
        <f>COVER!A13</f>
        <v>13014012004</v>
      </c>
      <c r="J7" s="2385"/>
      <c r="K7" s="2385"/>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86" t="s">
        <v>478</v>
      </c>
      <c r="B11" s="2387"/>
      <c r="C11" s="2388"/>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59813</v>
      </c>
      <c r="F12" s="1864"/>
      <c r="G12" s="1863">
        <f t="shared" ref="G12:G18" si="0">SUM(E12:F12)</f>
        <v>59813</v>
      </c>
      <c r="H12" s="1865">
        <v>144408</v>
      </c>
      <c r="I12" s="1864"/>
      <c r="J12" s="1865">
        <v>0</v>
      </c>
      <c r="K12" s="1863">
        <f t="shared" ref="K12:K18" si="1">SUM(H12:J12)</f>
        <v>144408</v>
      </c>
    </row>
    <row r="13" spans="1:18" ht="15" customHeight="1" x14ac:dyDescent="0.2">
      <c r="A13" s="863">
        <v>2</v>
      </c>
      <c r="B13" s="864" t="s">
        <v>42</v>
      </c>
      <c r="C13" s="865"/>
      <c r="D13" s="866">
        <v>2330</v>
      </c>
      <c r="E13" s="1863">
        <f>'Expenditures 15-22'!K51</f>
        <v>0</v>
      </c>
      <c r="F13" s="1864"/>
      <c r="G13" s="1863">
        <f t="shared" si="0"/>
        <v>0</v>
      </c>
      <c r="H13" s="1865">
        <v>0</v>
      </c>
      <c r="I13" s="1864"/>
      <c r="J13" s="1865">
        <v>0</v>
      </c>
      <c r="K13" s="1863">
        <f t="shared" si="1"/>
        <v>0</v>
      </c>
    </row>
    <row r="14" spans="1:18" ht="15" customHeight="1" x14ac:dyDescent="0.2">
      <c r="A14" s="863">
        <v>3</v>
      </c>
      <c r="B14" s="864" t="s">
        <v>43</v>
      </c>
      <c r="C14" s="865"/>
      <c r="D14" s="867">
        <v>2490</v>
      </c>
      <c r="E14" s="1863">
        <f>'Expenditures 15-22'!K56</f>
        <v>0</v>
      </c>
      <c r="F14" s="1864"/>
      <c r="G14" s="1863">
        <f t="shared" si="0"/>
        <v>0</v>
      </c>
      <c r="H14" s="1865">
        <v>0</v>
      </c>
      <c r="I14" s="1864"/>
      <c r="J14" s="1865">
        <v>0</v>
      </c>
      <c r="K14" s="1863">
        <f t="shared" si="1"/>
        <v>0</v>
      </c>
    </row>
    <row r="15" spans="1:18" ht="15" customHeight="1" x14ac:dyDescent="0.2">
      <c r="A15" s="863">
        <v>4</v>
      </c>
      <c r="B15" s="864" t="s">
        <v>1061</v>
      </c>
      <c r="C15" s="865"/>
      <c r="D15" s="866">
        <v>2510</v>
      </c>
      <c r="E15" s="1863">
        <f>'Expenditures 15-22'!K59</f>
        <v>50313</v>
      </c>
      <c r="F15" s="1863">
        <f>'Expenditures 15-22'!K122</f>
        <v>0</v>
      </c>
      <c r="G15" s="1863">
        <f t="shared" si="0"/>
        <v>50313</v>
      </c>
      <c r="H15" s="1865">
        <v>51712</v>
      </c>
      <c r="I15" s="1865">
        <v>0</v>
      </c>
      <c r="J15" s="1865">
        <v>0</v>
      </c>
      <c r="K15" s="1863">
        <f t="shared" si="1"/>
        <v>51712</v>
      </c>
    </row>
    <row r="16" spans="1:18" ht="15" customHeight="1" x14ac:dyDescent="0.2">
      <c r="A16" s="863">
        <v>5</v>
      </c>
      <c r="B16" s="864" t="s">
        <v>101</v>
      </c>
      <c r="C16" s="865"/>
      <c r="D16" s="866">
        <v>2570</v>
      </c>
      <c r="E16" s="1863">
        <f>'Expenditures 15-22'!K64</f>
        <v>0</v>
      </c>
      <c r="F16" s="1864"/>
      <c r="G16" s="1863">
        <f t="shared" si="0"/>
        <v>0</v>
      </c>
      <c r="H16" s="1865">
        <v>0</v>
      </c>
      <c r="I16" s="1864"/>
      <c r="J16" s="1865">
        <v>0</v>
      </c>
      <c r="K16" s="1863">
        <f t="shared" si="1"/>
        <v>0</v>
      </c>
    </row>
    <row r="17" spans="1:11" ht="15" customHeight="1" x14ac:dyDescent="0.2">
      <c r="A17" s="863">
        <v>6</v>
      </c>
      <c r="B17" s="864" t="s">
        <v>1053</v>
      </c>
      <c r="C17" s="865"/>
      <c r="D17" s="866">
        <v>2610</v>
      </c>
      <c r="E17" s="1863">
        <f>'Expenditures 15-22'!K67</f>
        <v>0</v>
      </c>
      <c r="F17" s="1864"/>
      <c r="G17" s="1863">
        <f t="shared" si="0"/>
        <v>0</v>
      </c>
      <c r="H17" s="1865">
        <v>0</v>
      </c>
      <c r="I17" s="1864"/>
      <c r="J17" s="1865">
        <v>0</v>
      </c>
      <c r="K17" s="1863">
        <f t="shared" si="1"/>
        <v>0</v>
      </c>
    </row>
    <row r="18" spans="1:11" ht="22.5" customHeight="1" x14ac:dyDescent="0.2">
      <c r="A18" s="868">
        <v>7</v>
      </c>
      <c r="B18" s="2389" t="s">
        <v>7</v>
      </c>
      <c r="C18" s="2390"/>
      <c r="D18" s="2391"/>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110126</v>
      </c>
      <c r="F19" s="1868">
        <f t="shared" si="2"/>
        <v>0</v>
      </c>
      <c r="G19" s="1868">
        <f t="shared" si="2"/>
        <v>110126</v>
      </c>
      <c r="H19" s="1868">
        <f t="shared" si="2"/>
        <v>196120</v>
      </c>
      <c r="I19" s="1868">
        <f t="shared" si="2"/>
        <v>0</v>
      </c>
      <c r="J19" s="1868">
        <f t="shared" si="2"/>
        <v>0</v>
      </c>
      <c r="K19" s="1868">
        <f t="shared" si="2"/>
        <v>196120</v>
      </c>
    </row>
    <row r="20" spans="1:11" ht="13.5" thickTop="1" x14ac:dyDescent="0.2">
      <c r="A20" s="863">
        <v>9</v>
      </c>
      <c r="B20" s="2392" t="str">
        <f>"Percent Increase (Decrease) for FY"&amp;'AFR20'!E2+1&amp;" (Budgeted) over FY"&amp;'AFR20'!E2&amp;" (Actual)"</f>
        <v>Percent Increase (Decrease) for FY2021 (Budgeted) over FY2020 (Actual)</v>
      </c>
      <c r="C20" s="2392"/>
      <c r="D20" s="2393"/>
      <c r="E20" s="1869"/>
      <c r="F20" s="1869"/>
      <c r="G20" s="1869"/>
      <c r="H20" s="1869"/>
      <c r="I20" s="1869"/>
      <c r="J20" s="1977"/>
      <c r="K20" s="1870">
        <f>IF(AND(G19&gt;0,K19&gt;0),(((K19-G19)/G19)),"Enter Budget Data")</f>
        <v>0.78086918620489254</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8"/>
      <c r="D26" s="2398"/>
      <c r="E26" s="874"/>
      <c r="F26" s="2397"/>
      <c r="G26" s="2397"/>
    </row>
    <row r="27" spans="1:11" x14ac:dyDescent="0.2">
      <c r="B27" s="871"/>
      <c r="C27" s="875" t="s">
        <v>1026</v>
      </c>
      <c r="D27" s="876"/>
      <c r="E27" s="877"/>
      <c r="F27" s="2394" t="s">
        <v>1495</v>
      </c>
      <c r="G27" s="2394"/>
    </row>
    <row r="28" spans="1:11" ht="28.5" customHeight="1" x14ac:dyDescent="0.2">
      <c r="B28" s="871"/>
      <c r="C28" s="2396"/>
      <c r="D28" s="2396"/>
      <c r="E28" s="878"/>
      <c r="F28" s="2396"/>
      <c r="G28" s="2396"/>
    </row>
    <row r="29" spans="1:11" x14ac:dyDescent="0.2">
      <c r="B29" s="871"/>
      <c r="C29" s="879" t="s">
        <v>1547</v>
      </c>
      <c r="E29" s="880"/>
      <c r="F29" s="2395" t="s">
        <v>1496</v>
      </c>
      <c r="G29" s="2395"/>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6"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7"/>
      <c r="E33" s="2377"/>
      <c r="F33" s="2377"/>
      <c r="G33" s="2377"/>
      <c r="H33" s="2377"/>
      <c r="I33" s="2377"/>
      <c r="J33" s="1975"/>
    </row>
    <row r="34" spans="1:11" ht="10.35" customHeight="1" x14ac:dyDescent="0.2">
      <c r="C34" s="2377"/>
      <c r="D34" s="2377"/>
      <c r="E34" s="2377"/>
      <c r="F34" s="2377"/>
      <c r="G34" s="2377"/>
      <c r="H34" s="2377"/>
      <c r="I34" s="2377"/>
      <c r="J34" s="1975"/>
    </row>
    <row r="35" spans="1:11" ht="7.5" customHeight="1" x14ac:dyDescent="0.2">
      <c r="C35" s="886"/>
    </row>
    <row r="36" spans="1:11" ht="13.5" customHeight="1" x14ac:dyDescent="0.2">
      <c r="B36" s="885" t="s">
        <v>2021</v>
      </c>
      <c r="C36" s="2378"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7"/>
      <c r="E36" s="2377"/>
      <c r="F36" s="2377"/>
      <c r="G36" s="2377"/>
      <c r="H36" s="2377"/>
      <c r="I36" s="2377"/>
      <c r="J36" s="1975"/>
      <c r="K36" s="887"/>
    </row>
    <row r="37" spans="1:11" ht="22.5" customHeight="1" x14ac:dyDescent="0.2">
      <c r="C37" s="2377"/>
      <c r="D37" s="2377"/>
      <c r="E37" s="2377"/>
      <c r="F37" s="2377"/>
      <c r="G37" s="2377"/>
      <c r="H37" s="2377"/>
      <c r="I37" s="2377"/>
      <c r="J37" s="1975"/>
      <c r="K37" s="887"/>
    </row>
    <row r="38" spans="1:11" ht="7.5" customHeight="1" x14ac:dyDescent="0.2">
      <c r="C38" s="886"/>
      <c r="D38" s="888"/>
      <c r="E38" s="889"/>
      <c r="F38" s="890"/>
      <c r="G38" s="889"/>
    </row>
    <row r="39" spans="1:11" ht="13.5" customHeight="1" x14ac:dyDescent="0.2">
      <c r="B39" s="885"/>
      <c r="C39" s="2374" t="str">
        <f>"The district will amend their budget to become in compliance with the limitation."</f>
        <v>The district will amend their budget to become in compliance with the limitation.</v>
      </c>
      <c r="D39" s="2375"/>
      <c r="E39" s="2375"/>
      <c r="F39" s="2375"/>
      <c r="G39" s="2375"/>
      <c r="H39" s="2375"/>
      <c r="I39" s="2375"/>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6"/>
  <sheetViews>
    <sheetView showGridLines="0" zoomScale="110" zoomScaleNormal="110" workbookViewId="0">
      <selection activeCell="G35" sqref="G35"/>
    </sheetView>
  </sheetViews>
  <sheetFormatPr defaultColWidth="9.140625" defaultRowHeight="12.75" x14ac:dyDescent="0.2"/>
  <cols>
    <col min="1" max="1" width="3" style="307" customWidth="1"/>
    <col min="2" max="2" width="16.28515625" style="307" customWidth="1"/>
    <col min="3" max="3" width="3.140625" style="307" customWidth="1"/>
    <col min="4" max="4" width="15.42578125" style="307" customWidth="1"/>
    <col min="5" max="5" width="3.7109375" style="307" customWidth="1"/>
    <col min="6" max="6" width="28.28515625" style="307" bestFit="1" customWidth="1"/>
    <col min="7" max="7" width="3.7109375" style="307" customWidth="1"/>
    <col min="8" max="8" width="36.140625" style="307" customWidth="1"/>
    <col min="9" max="9" width="3.7109375" style="307" customWidth="1"/>
    <col min="10" max="10" width="11" style="307" customWidth="1"/>
    <col min="11" max="16384" width="9.140625" style="307"/>
  </cols>
  <sheetData>
    <row r="2" spans="1:10" x14ac:dyDescent="0.2">
      <c r="A2" s="366" t="s">
        <v>256</v>
      </c>
    </row>
    <row r="3" spans="1:10" x14ac:dyDescent="0.2">
      <c r="A3" s="307" t="s">
        <v>257</v>
      </c>
    </row>
    <row r="5" spans="1:10" x14ac:dyDescent="0.2">
      <c r="A5" s="892"/>
      <c r="B5" s="1989" t="s">
        <v>2049</v>
      </c>
      <c r="C5" s="1990"/>
      <c r="D5" s="1989" t="s">
        <v>2050</v>
      </c>
      <c r="E5" s="1990"/>
      <c r="F5" s="1989" t="s">
        <v>1070</v>
      </c>
      <c r="G5" s="1990"/>
      <c r="H5" s="1989" t="s">
        <v>478</v>
      </c>
      <c r="I5" s="1990"/>
      <c r="J5" s="1989" t="s">
        <v>860</v>
      </c>
    </row>
    <row r="6" spans="1:10" x14ac:dyDescent="0.2">
      <c r="A6" s="892"/>
      <c r="J6" s="1991"/>
    </row>
    <row r="7" spans="1:10" x14ac:dyDescent="0.2">
      <c r="A7" s="892"/>
      <c r="B7" s="1990" t="s">
        <v>2056</v>
      </c>
      <c r="C7" s="1990"/>
      <c r="D7" s="1990" t="s">
        <v>2057</v>
      </c>
      <c r="E7" s="1990"/>
      <c r="F7" s="1990" t="s">
        <v>2058</v>
      </c>
      <c r="G7" s="1990"/>
      <c r="H7" s="2399" t="s">
        <v>2055</v>
      </c>
      <c r="J7" s="1991">
        <v>100000</v>
      </c>
    </row>
    <row r="8" spans="1:10" x14ac:dyDescent="0.2">
      <c r="A8" s="892"/>
      <c r="B8" s="1990"/>
      <c r="C8" s="1990"/>
      <c r="D8" s="1990"/>
      <c r="E8" s="1990"/>
      <c r="F8" s="1990"/>
      <c r="G8" s="1990"/>
      <c r="H8" s="2399"/>
      <c r="J8" s="1991"/>
    </row>
    <row r="9" spans="1:10" x14ac:dyDescent="0.2">
      <c r="A9" s="892"/>
      <c r="B9" s="1990"/>
      <c r="C9" s="1990"/>
      <c r="D9" s="1990"/>
      <c r="E9" s="1990"/>
      <c r="F9" s="1990"/>
      <c r="G9" s="1990"/>
      <c r="H9" s="1990"/>
      <c r="J9" s="1991"/>
    </row>
    <row r="10" spans="1:10" x14ac:dyDescent="0.2">
      <c r="A10" s="893"/>
      <c r="B10" s="1990">
        <v>14</v>
      </c>
      <c r="C10" s="1990"/>
      <c r="D10" s="1990">
        <v>1190</v>
      </c>
      <c r="E10" s="1990"/>
      <c r="F10" s="1990" t="s">
        <v>434</v>
      </c>
      <c r="G10" s="1990"/>
      <c r="H10" s="1990" t="s">
        <v>2051</v>
      </c>
      <c r="J10" s="1991">
        <v>7082</v>
      </c>
    </row>
    <row r="11" spans="1:10" x14ac:dyDescent="0.2">
      <c r="A11" s="893"/>
      <c r="B11" s="1990"/>
      <c r="C11" s="1990"/>
      <c r="D11" s="1990"/>
      <c r="E11" s="1990"/>
      <c r="F11" s="1990"/>
      <c r="G11" s="1990"/>
      <c r="H11" s="1990"/>
      <c r="J11" s="1991"/>
    </row>
    <row r="12" spans="1:10" x14ac:dyDescent="0.2">
      <c r="A12" s="893"/>
      <c r="B12" s="1990">
        <v>16</v>
      </c>
      <c r="C12" s="1990"/>
      <c r="D12" s="1990">
        <v>1999</v>
      </c>
      <c r="E12" s="1990"/>
      <c r="F12" s="1990" t="s">
        <v>2052</v>
      </c>
      <c r="G12" s="1990"/>
      <c r="H12" s="1990" t="s">
        <v>2053</v>
      </c>
      <c r="J12" s="1991">
        <v>14419</v>
      </c>
    </row>
    <row r="13" spans="1:10" x14ac:dyDescent="0.2">
      <c r="A13" s="893"/>
      <c r="B13" s="1990"/>
      <c r="C13" s="1990"/>
      <c r="D13" s="1990"/>
      <c r="E13" s="1990"/>
      <c r="F13" s="1990"/>
      <c r="G13" s="1990"/>
      <c r="H13" s="1990"/>
      <c r="J13" s="1991"/>
    </row>
    <row r="14" spans="1:10" x14ac:dyDescent="0.2">
      <c r="A14" s="893"/>
      <c r="B14" s="1990">
        <v>17</v>
      </c>
      <c r="C14" s="1990"/>
      <c r="D14" s="1990">
        <v>3999</v>
      </c>
      <c r="E14" s="1990"/>
      <c r="F14" s="1990" t="s">
        <v>2052</v>
      </c>
      <c r="G14" s="1990"/>
      <c r="H14" s="1990" t="s">
        <v>2054</v>
      </c>
      <c r="J14" s="1991">
        <v>750</v>
      </c>
    </row>
    <row r="15" spans="1:10" x14ac:dyDescent="0.2">
      <c r="A15" s="893"/>
      <c r="B15" s="1990"/>
      <c r="C15" s="1990"/>
      <c r="D15" s="1990"/>
      <c r="E15" s="1990"/>
      <c r="F15" s="1990"/>
      <c r="G15" s="1990"/>
      <c r="H15" s="1990"/>
      <c r="J15" s="1991"/>
    </row>
    <row r="16" spans="1:10" x14ac:dyDescent="0.2">
      <c r="A16" s="893"/>
      <c r="B16" s="1990"/>
      <c r="C16" s="1990"/>
      <c r="D16" s="1990"/>
      <c r="E16" s="1990"/>
      <c r="F16" s="1990"/>
      <c r="G16" s="1990"/>
      <c r="H16" s="1990"/>
      <c r="J16" s="1991"/>
    </row>
    <row r="17" spans="1:10" x14ac:dyDescent="0.2">
      <c r="A17" s="893"/>
      <c r="B17" s="1990"/>
      <c r="C17" s="1990"/>
      <c r="D17" s="1990"/>
      <c r="E17" s="1990"/>
      <c r="F17" s="1990"/>
      <c r="G17" s="1990"/>
      <c r="H17" s="1990"/>
      <c r="J17" s="1991"/>
    </row>
    <row r="18" spans="1:10" x14ac:dyDescent="0.2">
      <c r="A18" s="893"/>
      <c r="B18" s="1990"/>
      <c r="C18" s="1990"/>
      <c r="D18" s="1990"/>
      <c r="E18" s="1990"/>
      <c r="F18" s="1990"/>
      <c r="G18" s="1990"/>
      <c r="H18" s="1990"/>
      <c r="J18" s="1991"/>
    </row>
    <row r="19" spans="1:10" x14ac:dyDescent="0.2">
      <c r="A19" s="893"/>
      <c r="B19" s="1990"/>
      <c r="C19" s="1990"/>
      <c r="D19" s="1990"/>
      <c r="E19" s="1990"/>
      <c r="F19" s="1990"/>
      <c r="G19" s="1990"/>
      <c r="H19" s="1990"/>
      <c r="J19" s="1991"/>
    </row>
    <row r="20" spans="1:10" x14ac:dyDescent="0.2">
      <c r="A20" s="893"/>
      <c r="B20" s="1990"/>
      <c r="C20" s="1990"/>
      <c r="D20" s="1990"/>
      <c r="E20" s="1990"/>
      <c r="F20" s="1990"/>
      <c r="G20" s="1990"/>
      <c r="H20" s="1990"/>
      <c r="J20" s="1991"/>
    </row>
    <row r="21" spans="1:10" x14ac:dyDescent="0.2">
      <c r="A21" s="893"/>
      <c r="B21" s="1990"/>
      <c r="C21" s="1990"/>
      <c r="D21" s="1990"/>
      <c r="E21" s="1990"/>
      <c r="F21" s="1990"/>
      <c r="G21" s="1990"/>
      <c r="H21" s="1990"/>
      <c r="J21" s="1991"/>
    </row>
    <row r="22" spans="1:10" x14ac:dyDescent="0.2">
      <c r="A22" s="893"/>
      <c r="B22" s="1990"/>
      <c r="C22" s="1990"/>
      <c r="D22" s="1990"/>
      <c r="E22" s="1990"/>
      <c r="F22" s="1990"/>
      <c r="G22" s="1990"/>
      <c r="H22" s="1990"/>
      <c r="J22" s="1991"/>
    </row>
    <row r="23" spans="1:10" x14ac:dyDescent="0.2">
      <c r="A23" s="893"/>
      <c r="J23" s="1991"/>
    </row>
    <row r="24" spans="1:10" x14ac:dyDescent="0.2">
      <c r="A24" s="893"/>
      <c r="J24" s="1991"/>
    </row>
    <row r="25" spans="1:10" x14ac:dyDescent="0.2">
      <c r="A25" s="893"/>
      <c r="J25" s="1991"/>
    </row>
    <row r="26" spans="1:10" x14ac:dyDescent="0.2">
      <c r="A26" s="893"/>
      <c r="J26" s="1991"/>
    </row>
    <row r="27" spans="1:10" x14ac:dyDescent="0.2">
      <c r="A27" s="893"/>
      <c r="J27" s="1991"/>
    </row>
    <row r="28" spans="1:10" x14ac:dyDescent="0.2">
      <c r="A28" s="893"/>
      <c r="J28" s="1991"/>
    </row>
    <row r="29" spans="1:10" x14ac:dyDescent="0.2">
      <c r="A29" s="893"/>
      <c r="J29" s="1991"/>
    </row>
    <row r="30" spans="1:10" x14ac:dyDescent="0.2">
      <c r="A30" s="893"/>
      <c r="J30" s="1991"/>
    </row>
    <row r="31" spans="1:10" x14ac:dyDescent="0.2">
      <c r="A31" s="893"/>
      <c r="J31" s="1991"/>
    </row>
    <row r="32" spans="1:10" x14ac:dyDescent="0.2">
      <c r="A32" s="893"/>
      <c r="J32" s="1991"/>
    </row>
    <row r="33" spans="1:10" x14ac:dyDescent="0.2">
      <c r="A33" s="893"/>
      <c r="J33" s="1991"/>
    </row>
    <row r="34" spans="1:10" x14ac:dyDescent="0.2">
      <c r="A34" s="893"/>
      <c r="J34" s="1991"/>
    </row>
    <row r="35" spans="1:10" x14ac:dyDescent="0.2">
      <c r="A35" s="893"/>
      <c r="J35" s="1991"/>
    </row>
    <row r="36" spans="1:10" x14ac:dyDescent="0.2">
      <c r="A36" s="893"/>
      <c r="J36" s="1991"/>
    </row>
    <row r="37" spans="1:10" x14ac:dyDescent="0.2">
      <c r="A37" s="893"/>
      <c r="J37" s="1991"/>
    </row>
    <row r="38" spans="1:10" x14ac:dyDescent="0.2">
      <c r="A38" s="893"/>
      <c r="J38" s="1991"/>
    </row>
    <row r="39" spans="1:10" x14ac:dyDescent="0.2">
      <c r="A39" s="893"/>
      <c r="J39" s="1991"/>
    </row>
    <row r="40" spans="1:10" x14ac:dyDescent="0.2">
      <c r="A40" s="893"/>
    </row>
    <row r="41" spans="1:10" x14ac:dyDescent="0.2">
      <c r="A41" s="893"/>
    </row>
    <row r="42" spans="1:10" x14ac:dyDescent="0.2">
      <c r="A42" s="893"/>
    </row>
    <row r="43" spans="1:10" x14ac:dyDescent="0.2">
      <c r="A43" s="893"/>
    </row>
    <row r="44" spans="1:10" x14ac:dyDescent="0.2">
      <c r="A44" s="893"/>
    </row>
    <row r="45" spans="1:10" x14ac:dyDescent="0.2">
      <c r="A45" s="893"/>
    </row>
    <row r="46" spans="1:10" x14ac:dyDescent="0.2">
      <c r="A46" s="893"/>
    </row>
    <row r="47" spans="1:10" x14ac:dyDescent="0.2">
      <c r="A47" s="893"/>
    </row>
    <row r="48" spans="1:10" x14ac:dyDescent="0.2">
      <c r="A48" s="893"/>
    </row>
    <row r="49" spans="1:1" x14ac:dyDescent="0.2">
      <c r="A49" s="893"/>
    </row>
    <row r="50" spans="1:1" x14ac:dyDescent="0.2">
      <c r="A50" s="893"/>
    </row>
    <row r="51" spans="1:1" x14ac:dyDescent="0.2">
      <c r="A51" s="893"/>
    </row>
    <row r="52" spans="1:1" x14ac:dyDescent="0.2">
      <c r="A52" s="893"/>
    </row>
    <row r="53" spans="1:1" x14ac:dyDescent="0.2">
      <c r="A53" s="893"/>
    </row>
    <row r="54" spans="1:1" x14ac:dyDescent="0.2">
      <c r="A54" s="893"/>
    </row>
    <row r="55" spans="1:1" x14ac:dyDescent="0.2">
      <c r="A55" s="893"/>
    </row>
    <row r="56" spans="1:1" x14ac:dyDescent="0.2">
      <c r="A56" s="893"/>
    </row>
    <row r="57" spans="1:1" x14ac:dyDescent="0.2">
      <c r="A57" s="893"/>
    </row>
    <row r="58" spans="1:1" x14ac:dyDescent="0.2">
      <c r="A58" s="893"/>
    </row>
    <row r="59" spans="1:1" x14ac:dyDescent="0.2">
      <c r="A59" s="893"/>
    </row>
    <row r="60" spans="1:1" x14ac:dyDescent="0.2">
      <c r="A60" s="893"/>
    </row>
    <row r="61" spans="1:1" x14ac:dyDescent="0.2">
      <c r="A61" s="893"/>
    </row>
    <row r="62" spans="1:1" x14ac:dyDescent="0.2">
      <c r="A62" s="893"/>
    </row>
    <row r="63" spans="1:1" x14ac:dyDescent="0.2">
      <c r="A63" s="893"/>
    </row>
    <row r="64" spans="1:1" x14ac:dyDescent="0.2">
      <c r="A64" s="893"/>
    </row>
    <row r="65" spans="1:2" x14ac:dyDescent="0.2">
      <c r="A65" s="893"/>
      <c r="B65" s="253" t="str">
        <f>COVER!A17</f>
        <v>Breese SD 12</v>
      </c>
    </row>
    <row r="66" spans="1:2" x14ac:dyDescent="0.2">
      <c r="B66" s="894">
        <f>COVER!A13</f>
        <v>13014012004</v>
      </c>
    </row>
  </sheetData>
  <mergeCells count="1">
    <mergeCell ref="H7:H8"/>
  </mergeCells>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G35" sqref="G3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0" t="s">
        <v>1668</v>
      </c>
      <c r="B18" s="240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619125</xdr:colOff>
                <xdr:row>3</xdr:row>
                <xdr:rowOff>133350</xdr:rowOff>
              </from>
              <to>
                <xdr:col>1</xdr:col>
                <xdr:colOff>1533525</xdr:colOff>
                <xdr:row>8</xdr:row>
                <xdr:rowOff>9525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C49" sqref="C49"/>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1" t="s">
        <v>1672</v>
      </c>
      <c r="B1" s="2402"/>
      <c r="C1" s="2402"/>
      <c r="D1" s="2402"/>
      <c r="E1" s="2402"/>
      <c r="F1" s="2403"/>
    </row>
    <row r="2" spans="1:8" ht="45" customHeight="1" x14ac:dyDescent="0.2">
      <c r="A2" s="241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2"/>
      <c r="C2" s="2412"/>
      <c r="D2" s="2412"/>
      <c r="E2" s="2412"/>
      <c r="F2" s="2413"/>
      <c r="G2" s="898"/>
      <c r="H2" s="898"/>
    </row>
    <row r="3" spans="1:8" ht="57" customHeight="1" x14ac:dyDescent="0.2">
      <c r="A3" s="2414" t="s">
        <v>1975</v>
      </c>
      <c r="B3" s="2415"/>
      <c r="C3" s="2415"/>
      <c r="D3" s="2415"/>
      <c r="E3" s="2415"/>
      <c r="F3" s="2416"/>
      <c r="G3" s="898"/>
      <c r="H3" s="898"/>
    </row>
    <row r="4" spans="1:8" ht="14.25" customHeight="1" x14ac:dyDescent="0.2">
      <c r="A4" s="242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1"/>
      <c r="C4" s="2421"/>
      <c r="D4" s="2421"/>
      <c r="E4" s="2421"/>
      <c r="F4" s="2422"/>
      <c r="G4" s="898"/>
      <c r="H4" s="898"/>
    </row>
    <row r="5" spans="1:8" ht="14.25" customHeight="1" x14ac:dyDescent="0.2">
      <c r="A5" s="242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4"/>
      <c r="C5" s="2424"/>
      <c r="D5" s="2424"/>
      <c r="E5" s="2424"/>
      <c r="F5" s="2425"/>
      <c r="G5" s="898"/>
      <c r="H5" s="898"/>
    </row>
    <row r="6" spans="1:8" s="899" customFormat="1" ht="41.25" customHeight="1" x14ac:dyDescent="0.2">
      <c r="A6" s="2417" t="s">
        <v>1673</v>
      </c>
      <c r="B6" s="2418"/>
      <c r="C6" s="2418"/>
      <c r="D6" s="2418"/>
      <c r="E6" s="2418"/>
      <c r="F6" s="2419"/>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3268618</v>
      </c>
      <c r="C8" s="1871">
        <f>'Acct Summary 7-8'!D8</f>
        <v>318898</v>
      </c>
      <c r="D8" s="1871">
        <f>'Acct Summary 7-8'!F8</f>
        <v>344109</v>
      </c>
      <c r="E8" s="1871">
        <f>'Acct Summary 7-8'!I8</f>
        <v>63780</v>
      </c>
      <c r="F8" s="1871">
        <f>SUM(B8:E8)</f>
        <v>3995405</v>
      </c>
    </row>
    <row r="9" spans="1:8" s="903" customFormat="1" ht="14.25" customHeight="1" thickBot="1" x14ac:dyDescent="0.25">
      <c r="A9" s="902" t="s">
        <v>1355</v>
      </c>
      <c r="B9" s="1872">
        <f>'Acct Summary 7-8'!C17</f>
        <v>3187426</v>
      </c>
      <c r="C9" s="1872">
        <f>'Acct Summary 7-8'!D17</f>
        <v>294766</v>
      </c>
      <c r="D9" s="1872">
        <f>'Acct Summary 7-8'!F17</f>
        <v>251309</v>
      </c>
      <c r="E9" s="1871"/>
      <c r="F9" s="1871">
        <f>SUM(B9:E9)</f>
        <v>3733501</v>
      </c>
    </row>
    <row r="10" spans="1:8" s="903" customFormat="1" ht="14.25" thickTop="1" thickBot="1" x14ac:dyDescent="0.25">
      <c r="A10" s="904" t="s">
        <v>1356</v>
      </c>
      <c r="B10" s="1873">
        <f>(B8-B9)</f>
        <v>81192</v>
      </c>
      <c r="C10" s="1873">
        <f>(C8-C9)</f>
        <v>24132</v>
      </c>
      <c r="D10" s="1873">
        <f>(D8-D9)</f>
        <v>92800</v>
      </c>
      <c r="E10" s="1872">
        <f>(E8-E9)</f>
        <v>63780</v>
      </c>
      <c r="F10" s="1874">
        <f>SUM(F8-F9)</f>
        <v>261904</v>
      </c>
    </row>
    <row r="11" spans="1:8" s="903" customFormat="1" ht="14.25" thickTop="1" thickBot="1" x14ac:dyDescent="0.25">
      <c r="A11" s="905" t="s">
        <v>1906</v>
      </c>
      <c r="B11" s="1875">
        <f>'Acct Summary 7-8'!C81</f>
        <v>370629</v>
      </c>
      <c r="C11" s="1875">
        <f>'Acct Summary 7-8'!D81</f>
        <v>176637</v>
      </c>
      <c r="D11" s="1875">
        <f>'Acct Summary 7-8'!F81</f>
        <v>629106</v>
      </c>
      <c r="E11" s="1875">
        <f>'Acct Summary 7-8'!I81</f>
        <v>988758</v>
      </c>
      <c r="F11" s="1876">
        <f>SUM(B11:E11)</f>
        <v>2165130</v>
      </c>
    </row>
    <row r="12" spans="1:8" ht="16.5" customHeight="1" thickTop="1" x14ac:dyDescent="0.2">
      <c r="A12" s="906"/>
      <c r="B12" s="907"/>
      <c r="C12" s="2405" t="str">
        <f>IF(AND(F10&lt;0,F11&gt;=0,ABS(F10*3)&gt;ABS(F11)),A16,IF(AND(F10&lt;0,F11&gt;0,ABS(F10*3)&lt;=ABS(F11)),A17,IF(AND(F10&lt;0,F11&lt;0),A16,IF(F11=0,A19,A18))))</f>
        <v>Balanced - no deficit reduction plan is required.</v>
      </c>
      <c r="D12" s="2406"/>
      <c r="E12" s="2406"/>
      <c r="F12" s="2407"/>
    </row>
    <row r="13" spans="1:8" ht="19.5" customHeight="1" x14ac:dyDescent="0.2">
      <c r="A13" s="908"/>
      <c r="B13" s="909"/>
      <c r="C13" s="2405"/>
      <c r="D13" s="2406"/>
      <c r="E13" s="2406"/>
      <c r="F13" s="2407"/>
      <c r="H13" s="898"/>
    </row>
    <row r="14" spans="1:8" ht="19.5" customHeight="1" x14ac:dyDescent="0.2">
      <c r="A14" s="908"/>
      <c r="B14" s="909"/>
      <c r="C14" s="2405"/>
      <c r="D14" s="2406"/>
      <c r="E14" s="2406"/>
      <c r="F14" s="2407"/>
      <c r="H14" s="898"/>
    </row>
    <row r="15" spans="1:8" ht="17.25" customHeight="1" x14ac:dyDescent="0.2">
      <c r="A15" s="908"/>
      <c r="B15" s="909"/>
      <c r="C15" s="2408"/>
      <c r="D15" s="2409"/>
      <c r="E15" s="2409"/>
      <c r="F15" s="2410"/>
      <c r="H15" s="898"/>
    </row>
    <row r="16" spans="1:8" s="288" customFormat="1" ht="51.75" hidden="1" customHeight="1" x14ac:dyDescent="0.2">
      <c r="A16" s="2404" t="s">
        <v>1669</v>
      </c>
      <c r="B16" s="2404"/>
      <c r="C16" s="2404"/>
      <c r="D16" s="2404"/>
      <c r="E16" s="2404"/>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50">
    <tabColor indexed="39"/>
  </sheetPr>
  <dimension ref="A1:L84"/>
  <sheetViews>
    <sheetView showGridLines="0" defaultGridColor="0" topLeftCell="A25" colorId="8" zoomScale="110" zoomScaleNormal="110" workbookViewId="0">
      <selection activeCell="G35" sqref="G35"/>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6" t="s">
        <v>660</v>
      </c>
      <c r="B3" s="2427"/>
      <c r="C3" s="2427"/>
      <c r="D3" s="2428"/>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7" t="s">
        <v>1490</v>
      </c>
      <c r="D7" s="2438"/>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9" t="s">
        <v>1001</v>
      </c>
      <c r="B15" s="2430"/>
      <c r="C15" s="2430"/>
      <c r="D15" s="2431"/>
    </row>
    <row r="16" spans="1:4" s="542" customFormat="1" ht="24" customHeight="1" x14ac:dyDescent="0.2">
      <c r="A16" s="2432" t="s">
        <v>658</v>
      </c>
      <c r="B16" s="2433"/>
      <c r="C16" s="2433"/>
      <c r="D16" s="2434"/>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1" t="s">
        <v>311</v>
      </c>
      <c r="D21" s="2442"/>
    </row>
    <row r="22" spans="1:10" ht="12.75" x14ac:dyDescent="0.2">
      <c r="A22" s="963"/>
      <c r="B22" s="964">
        <v>2</v>
      </c>
      <c r="C22" s="2439" t="s">
        <v>1510</v>
      </c>
      <c r="D22" s="2440"/>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b">
        <f>IF('Aud Quest 2'!B53="X",IF('Aud Quest 2'!F53&gt;"00/00/00 ","Enter Effective Date","ok"))</f>
        <v>0</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3" t="s">
        <v>533</v>
      </c>
      <c r="D43" s="2444"/>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5" t="s">
        <v>779</v>
      </c>
      <c r="D56" s="2436"/>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5" t="s">
        <v>1677</v>
      </c>
      <c r="D70" s="2436"/>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29'!$D$39&gt;0,"OK","PLEASE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13014012004</v>
      </c>
      <c r="E2" s="1592">
        <v>2020</v>
      </c>
      <c r="F2" s="1592">
        <v>1</v>
      </c>
      <c r="G2" s="1961">
        <v>101000300</v>
      </c>
    </row>
    <row r="3" spans="1:7" ht="15" x14ac:dyDescent="0.25">
      <c r="A3" t="s">
        <v>950</v>
      </c>
      <c r="B3" s="135" t="str">
        <f>COVER!A15</f>
        <v>Clinton</v>
      </c>
      <c r="E3" s="1888" t="s">
        <v>1974</v>
      </c>
      <c r="F3" s="1888" t="s">
        <v>1973</v>
      </c>
      <c r="G3" s="1961">
        <v>101000400</v>
      </c>
    </row>
    <row r="4" spans="1:7" ht="15" x14ac:dyDescent="0.25">
      <c r="A4" t="s">
        <v>1000</v>
      </c>
      <c r="B4" s="135" t="str">
        <f>COVER!A17</f>
        <v>Breese SD 12</v>
      </c>
      <c r="E4" s="1886">
        <v>44119</v>
      </c>
      <c r="F4" s="1887">
        <v>44151</v>
      </c>
      <c r="G4" s="1961">
        <v>101000600</v>
      </c>
    </row>
    <row r="5" spans="1:7" ht="15" x14ac:dyDescent="0.25">
      <c r="A5" t="s">
        <v>699</v>
      </c>
      <c r="B5" s="135" t="str">
        <f>COVER!A38</f>
        <v>Travis Schmale</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Ron Daniels</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No</v>
      </c>
      <c r="G14" s="1961">
        <v>402100300</v>
      </c>
    </row>
    <row r="15" spans="1:7" ht="15" x14ac:dyDescent="0.25">
      <c r="A15" t="s">
        <v>573</v>
      </c>
      <c r="B15" s="135" t="str">
        <f>COVER!T23</f>
        <v>065-026956</v>
      </c>
      <c r="G15" s="1961">
        <v>402100400</v>
      </c>
    </row>
    <row r="16" spans="1:7" ht="15" x14ac:dyDescent="0.25">
      <c r="A16" t="s">
        <v>419</v>
      </c>
      <c r="B16" s="135" t="str">
        <f>COVER!T13</f>
        <v>Scheffel Boyle</v>
      </c>
      <c r="G16" s="1961">
        <v>402100600</v>
      </c>
    </row>
    <row r="17" spans="1:7" ht="15" x14ac:dyDescent="0.25">
      <c r="A17" t="s">
        <v>878</v>
      </c>
      <c r="B17" s="135" t="str">
        <f>COVER!T15</f>
        <v>Dale Holtmann</v>
      </c>
      <c r="G17" s="1961">
        <v>402100800</v>
      </c>
    </row>
    <row r="18" spans="1:7" ht="15" x14ac:dyDescent="0.25">
      <c r="A18" t="s">
        <v>1142</v>
      </c>
      <c r="B18" s="135" t="str">
        <f>COVER!T17</f>
        <v>222 East Main Street</v>
      </c>
      <c r="G18" s="1961">
        <v>102200300</v>
      </c>
    </row>
    <row r="19" spans="1:7" ht="15" x14ac:dyDescent="0.25">
      <c r="A19" t="s">
        <v>880</v>
      </c>
      <c r="B19" s="135" t="str">
        <f>COVER!T25</f>
        <v>dale.holtmann@scheffelboyle.com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Yes</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0</v>
      </c>
      <c r="G49" s="1961">
        <v>102540800</v>
      </c>
    </row>
    <row r="50" spans="1:7" ht="15" x14ac:dyDescent="0.25">
      <c r="A50" s="1" t="s">
        <v>1466</v>
      </c>
      <c r="B50" s="146">
        <f>'Aud Quest 2'!H53</f>
        <v>0</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370629</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362272</v>
      </c>
      <c r="D92" s="2" t="str">
        <f t="shared" si="0"/>
        <v>Error?</v>
      </c>
      <c r="G92" s="1961">
        <v>102640600</v>
      </c>
    </row>
    <row r="93" spans="1:7" ht="15" x14ac:dyDescent="0.25">
      <c r="A93" s="5">
        <v>32</v>
      </c>
      <c r="B93" s="1890">
        <f>'Assets-Liab 5-6'!C41</f>
        <v>370629</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176637</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176637</v>
      </c>
      <c r="D123" s="2" t="str">
        <f t="shared" si="0"/>
        <v>Error?</v>
      </c>
      <c r="G123" s="1961">
        <v>203000400</v>
      </c>
    </row>
    <row r="124" spans="1:7" ht="15" x14ac:dyDescent="0.25">
      <c r="A124" s="5">
        <v>63</v>
      </c>
      <c r="B124" s="1890">
        <f>'Assets-Liab 5-6'!D41</f>
        <v>176637</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17389</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17389</v>
      </c>
      <c r="D140" s="2" t="str">
        <f t="shared" si="1"/>
        <v>Error?</v>
      </c>
    </row>
    <row r="141" spans="1:7" x14ac:dyDescent="0.2">
      <c r="A141" s="5">
        <v>80</v>
      </c>
      <c r="B141" s="1890">
        <f>'Assets-Liab 5-6'!E41</f>
        <v>17389</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629106</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629106</v>
      </c>
      <c r="D170" s="2" t="str">
        <f t="shared" si="1"/>
        <v>Error?</v>
      </c>
    </row>
    <row r="171" spans="1:4" x14ac:dyDescent="0.2">
      <c r="A171" s="5">
        <v>110</v>
      </c>
      <c r="B171" s="1890">
        <f>'Assets-Liab 5-6'!F41</f>
        <v>629106</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148791</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146342</v>
      </c>
      <c r="D189" s="2" t="str">
        <f t="shared" si="1"/>
        <v>Error?</v>
      </c>
    </row>
    <row r="190" spans="1:4" x14ac:dyDescent="0.2">
      <c r="A190" s="5">
        <v>129</v>
      </c>
      <c r="B190" s="1890">
        <f>'Assets-Liab 5-6'!G41</f>
        <v>148791</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17427</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17427</v>
      </c>
      <c r="D212" s="2" t="str">
        <f t="shared" si="2"/>
        <v>Error?</v>
      </c>
    </row>
    <row r="213" spans="1:4" x14ac:dyDescent="0.2">
      <c r="A213" s="12">
        <v>152</v>
      </c>
      <c r="B213" s="1890">
        <f>'Assets-Liab 5-6'!H41</f>
        <v>17427</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68360</v>
      </c>
      <c r="D273" s="2" t="str">
        <f t="shared" si="3"/>
        <v>Error?</v>
      </c>
    </row>
    <row r="274" spans="1:4" x14ac:dyDescent="0.2">
      <c r="A274" s="5">
        <v>213</v>
      </c>
      <c r="B274" s="1890">
        <f>'Assets-Liab 5-6'!M17</f>
        <v>8113602</v>
      </c>
      <c r="D274" s="2" t="str">
        <f t="shared" si="3"/>
        <v>Error?</v>
      </c>
    </row>
    <row r="275" spans="1:4" x14ac:dyDescent="0.2">
      <c r="A275" s="5">
        <v>214</v>
      </c>
      <c r="B275" s="1890">
        <f>'Assets-Liab 5-6'!M18</f>
        <v>151121</v>
      </c>
      <c r="D275" s="2" t="str">
        <f t="shared" si="3"/>
        <v>Error?</v>
      </c>
    </row>
    <row r="276" spans="1:4" x14ac:dyDescent="0.2">
      <c r="A276" s="5">
        <v>215</v>
      </c>
      <c r="B276" s="1890">
        <f>'Assets-Liab 5-6'!M19</f>
        <v>956467</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9289550</v>
      </c>
      <c r="C279" s="2" t="s">
        <v>569</v>
      </c>
      <c r="D279" s="2" t="str">
        <f t="shared" si="3"/>
        <v>Error?</v>
      </c>
    </row>
    <row r="280" spans="1:4" x14ac:dyDescent="0.2">
      <c r="A280" s="5">
        <v>219</v>
      </c>
      <c r="B280" s="1890">
        <f>'Assets-Liab 5-6'!M40</f>
        <v>9289550</v>
      </c>
      <c r="D280" s="2" t="str">
        <f t="shared" si="3"/>
        <v>Error?</v>
      </c>
    </row>
    <row r="281" spans="1:4" x14ac:dyDescent="0.2">
      <c r="A281" s="5">
        <v>220</v>
      </c>
      <c r="B281" s="1890">
        <f>'Assets-Liab 5-6'!M41</f>
        <v>9289550</v>
      </c>
      <c r="C281" s="2" t="s">
        <v>569</v>
      </c>
      <c r="D281" s="2" t="str">
        <f t="shared" si="3"/>
        <v>Error?</v>
      </c>
    </row>
    <row r="282" spans="1:4" x14ac:dyDescent="0.2">
      <c r="A282" s="5">
        <v>221</v>
      </c>
      <c r="B282" s="1890">
        <f>'Assets-Liab 5-6'!N21</f>
        <v>17389</v>
      </c>
      <c r="D282" s="2" t="str">
        <f t="shared" si="3"/>
        <v>Error?</v>
      </c>
    </row>
    <row r="283" spans="1:4" x14ac:dyDescent="0.2">
      <c r="A283" s="5">
        <v>222</v>
      </c>
      <c r="B283" s="1890">
        <f>'Assets-Liab 5-6'!N22</f>
        <v>1713611</v>
      </c>
      <c r="D283" s="2" t="str">
        <f t="shared" si="3"/>
        <v>Error?</v>
      </c>
    </row>
    <row r="284" spans="1:4" x14ac:dyDescent="0.2">
      <c r="A284" s="5">
        <v>223</v>
      </c>
      <c r="B284" s="1890">
        <f>'Assets-Liab 5-6'!N23</f>
        <v>1731000</v>
      </c>
      <c r="C284" s="2" t="s">
        <v>569</v>
      </c>
      <c r="D284" s="2" t="str">
        <f t="shared" si="3"/>
        <v>Error?</v>
      </c>
    </row>
    <row r="285" spans="1:4" x14ac:dyDescent="0.2">
      <c r="A285" s="5">
        <v>224</v>
      </c>
      <c r="B285" s="1890">
        <f>'Assets-Liab 5-6'!N36</f>
        <v>1731000</v>
      </c>
      <c r="D285" s="2" t="str">
        <f t="shared" si="3"/>
        <v>Error?</v>
      </c>
    </row>
    <row r="286" spans="1:4" x14ac:dyDescent="0.2">
      <c r="A286" s="10">
        <v>225</v>
      </c>
      <c r="B286" s="1890"/>
      <c r="D286" s="2" t="str">
        <f t="shared" si="3"/>
        <v>OK</v>
      </c>
    </row>
    <row r="287" spans="1:4" x14ac:dyDescent="0.2">
      <c r="A287" s="5">
        <v>226</v>
      </c>
      <c r="B287" s="1890">
        <f>'Assets-Liab 5-6'!N37</f>
        <v>1731000</v>
      </c>
      <c r="C287" s="2" t="s">
        <v>569</v>
      </c>
      <c r="D287" s="2" t="str">
        <f t="shared" si="3"/>
        <v>Error?</v>
      </c>
    </row>
    <row r="288" spans="1:4" x14ac:dyDescent="0.2">
      <c r="A288" s="5">
        <v>227</v>
      </c>
      <c r="B288" s="1890">
        <f>'Assets-Liab 5-6'!N41</f>
        <v>1731000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1301312</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18877</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111210</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1765515</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11706</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57429</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69135</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24205</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24205</v>
      </c>
      <c r="C731" s="2" t="s">
        <v>569</v>
      </c>
      <c r="D731" s="2" t="str">
        <f t="shared" si="10"/>
        <v>Error?</v>
      </c>
    </row>
    <row r="732" spans="1:4" x14ac:dyDescent="0.2">
      <c r="A732" s="5">
        <v>671</v>
      </c>
      <c r="B732" s="1890">
        <f>'Expenditures 15-22'!C49</f>
        <v>2233</v>
      </c>
      <c r="D732" s="2" t="str">
        <f t="shared" si="10"/>
        <v>Error?</v>
      </c>
    </row>
    <row r="733" spans="1:4" x14ac:dyDescent="0.2">
      <c r="A733" s="5">
        <v>672</v>
      </c>
      <c r="B733" s="1890">
        <f>'Expenditures 15-22'!C50</f>
        <v>47586</v>
      </c>
      <c r="D733" s="2" t="str">
        <f t="shared" si="10"/>
        <v>Error?</v>
      </c>
    </row>
    <row r="734" spans="1:4" x14ac:dyDescent="0.2">
      <c r="A734" s="5">
        <v>673</v>
      </c>
      <c r="B734" s="1890">
        <f>'Expenditures 15-22'!C53</f>
        <v>49819</v>
      </c>
      <c r="C734" s="2" t="s">
        <v>569</v>
      </c>
      <c r="D734" s="2" t="str">
        <f t="shared" si="10"/>
        <v>Error?</v>
      </c>
    </row>
    <row r="735" spans="1:4" x14ac:dyDescent="0.2">
      <c r="A735" s="5">
        <v>674</v>
      </c>
      <c r="B735" s="1890">
        <f>'Expenditures 15-22'!C55</f>
        <v>143157</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143157</v>
      </c>
      <c r="C737" s="2" t="s">
        <v>569</v>
      </c>
      <c r="D737" s="2" t="str">
        <f t="shared" si="10"/>
        <v>Error?</v>
      </c>
    </row>
    <row r="738" spans="1:4" x14ac:dyDescent="0.2">
      <c r="A738" s="5">
        <v>677</v>
      </c>
      <c r="B738" s="1890">
        <f>'Expenditures 15-22'!C59</f>
        <v>47261</v>
      </c>
      <c r="D738" s="2" t="str">
        <f t="shared" si="10"/>
        <v>Error?</v>
      </c>
    </row>
    <row r="739" spans="1:4" x14ac:dyDescent="0.2">
      <c r="A739" s="5">
        <v>678</v>
      </c>
      <c r="B739" s="1890">
        <f>'Expenditures 15-22'!C60</f>
        <v>0</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103</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47364</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333680</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2099195</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330498</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57</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3093</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432089</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8757</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9181</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17938</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8757</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8757</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8757</v>
      </c>
      <c r="D791" s="2" t="str">
        <f t="shared" si="11"/>
        <v>Error?</v>
      </c>
    </row>
    <row r="792" spans="1:4" x14ac:dyDescent="0.2">
      <c r="A792" s="5">
        <v>731</v>
      </c>
      <c r="B792" s="1890">
        <f>'Expenditures 15-22'!D53</f>
        <v>8757</v>
      </c>
      <c r="C792" s="2" t="s">
        <v>569</v>
      </c>
      <c r="D792" s="2" t="str">
        <f t="shared" si="11"/>
        <v>Error?</v>
      </c>
    </row>
    <row r="793" spans="1:4" x14ac:dyDescent="0.2">
      <c r="A793" s="5">
        <v>732</v>
      </c>
      <c r="B793" s="1890">
        <f>'Expenditures 15-22'!D55</f>
        <v>36348</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36348</v>
      </c>
      <c r="C795" s="2" t="s">
        <v>569</v>
      </c>
      <c r="D795" s="2" t="str">
        <f t="shared" si="11"/>
        <v>Error?</v>
      </c>
    </row>
    <row r="796" spans="1:4" x14ac:dyDescent="0.2">
      <c r="A796" s="5">
        <v>735</v>
      </c>
      <c r="B796" s="1890">
        <f>'Expenditures 15-22'!D59</f>
        <v>60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60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71860</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503949</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103563</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8074</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169132</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18456</v>
      </c>
      <c r="D838" s="2" t="str">
        <f t="shared" si="12"/>
        <v>Error?</v>
      </c>
    </row>
    <row r="839" spans="1:4" x14ac:dyDescent="0.2">
      <c r="A839" s="5">
        <v>778</v>
      </c>
      <c r="B839" s="1890">
        <f>'Expenditures 15-22'!E38</f>
        <v>467</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18923</v>
      </c>
      <c r="C843" s="2" t="s">
        <v>569</v>
      </c>
      <c r="D843" s="2" t="str">
        <f t="shared" si="12"/>
        <v>Error?</v>
      </c>
    </row>
    <row r="844" spans="1:4" x14ac:dyDescent="0.2">
      <c r="A844" s="5">
        <v>783</v>
      </c>
      <c r="B844" s="1890">
        <f>'Expenditures 15-22'!E44</f>
        <v>0</v>
      </c>
      <c r="D844" s="2" t="str">
        <f t="shared" si="12"/>
        <v>Error?</v>
      </c>
    </row>
    <row r="845" spans="1:4" x14ac:dyDescent="0.2">
      <c r="A845" s="5">
        <v>784</v>
      </c>
      <c r="B845" s="1890">
        <f>'Expenditures 15-22'!E45</f>
        <v>379</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379</v>
      </c>
      <c r="C847" s="2" t="s">
        <v>569</v>
      </c>
      <c r="D847" s="2" t="str">
        <f t="shared" si="12"/>
        <v>Error?</v>
      </c>
    </row>
    <row r="848" spans="1:4" x14ac:dyDescent="0.2">
      <c r="A848" s="5">
        <v>787</v>
      </c>
      <c r="B848" s="1890">
        <f>'Expenditures 15-22'!E49</f>
        <v>13845</v>
      </c>
      <c r="D848" s="2" t="str">
        <f t="shared" si="12"/>
        <v>Error?</v>
      </c>
    </row>
    <row r="849" spans="1:4" x14ac:dyDescent="0.2">
      <c r="A849" s="5">
        <v>788</v>
      </c>
      <c r="B849" s="1890">
        <f>'Expenditures 15-22'!E50</f>
        <v>1211</v>
      </c>
      <c r="D849" s="2" t="str">
        <f t="shared" si="12"/>
        <v>Error?</v>
      </c>
    </row>
    <row r="850" spans="1:4" x14ac:dyDescent="0.2">
      <c r="A850" s="5">
        <v>789</v>
      </c>
      <c r="B850" s="1890">
        <f>'Expenditures 15-22'!E53</f>
        <v>15056</v>
      </c>
      <c r="C850" s="2" t="s">
        <v>569</v>
      </c>
      <c r="D850" s="2" t="str">
        <f t="shared" si="12"/>
        <v>Error?</v>
      </c>
    </row>
    <row r="851" spans="1:4" x14ac:dyDescent="0.2">
      <c r="A851" s="5">
        <v>790</v>
      </c>
      <c r="B851" s="1890">
        <f>'Expenditures 15-22'!E55</f>
        <v>2031</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2031</v>
      </c>
      <c r="C853" s="2" t="s">
        <v>569</v>
      </c>
      <c r="D853" s="2" t="str">
        <f t="shared" si="12"/>
        <v>Error?</v>
      </c>
    </row>
    <row r="854" spans="1:4" x14ac:dyDescent="0.2">
      <c r="A854" s="5">
        <v>793</v>
      </c>
      <c r="B854" s="1890">
        <f>'Expenditures 15-22'!E59</f>
        <v>2493</v>
      </c>
      <c r="D854" s="2" t="str">
        <f t="shared" si="12"/>
        <v>Error?</v>
      </c>
    </row>
    <row r="855" spans="1:4" x14ac:dyDescent="0.2">
      <c r="A855" s="5">
        <v>794</v>
      </c>
      <c r="B855" s="1890">
        <f>'Expenditures 15-22'!E60</f>
        <v>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642</v>
      </c>
      <c r="D857" s="2" t="str">
        <f t="shared" si="12"/>
        <v>Error?</v>
      </c>
    </row>
    <row r="858" spans="1:4" x14ac:dyDescent="0.2">
      <c r="A858" s="5">
        <v>797</v>
      </c>
      <c r="B858" s="1890">
        <f>'Expenditures 15-22'!E63</f>
        <v>99669</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102804</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139193</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308325</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71903</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8913</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98893</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851</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851</v>
      </c>
      <c r="C901" s="2" t="s">
        <v>569</v>
      </c>
      <c r="D901" s="2" t="str">
        <f t="shared" si="13"/>
        <v>Error?</v>
      </c>
    </row>
    <row r="902" spans="1:4" x14ac:dyDescent="0.2">
      <c r="A902" s="5">
        <v>841</v>
      </c>
      <c r="B902" s="1890">
        <f>'Expenditures 15-22'!F44</f>
        <v>149</v>
      </c>
      <c r="D902" s="2" t="str">
        <f t="shared" si="13"/>
        <v>Error?</v>
      </c>
    </row>
    <row r="903" spans="1:4" x14ac:dyDescent="0.2">
      <c r="A903" s="5">
        <v>842</v>
      </c>
      <c r="B903" s="1890">
        <f>'Expenditures 15-22'!F45</f>
        <v>2403</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2552</v>
      </c>
      <c r="C905" s="2" t="s">
        <v>569</v>
      </c>
      <c r="D905" s="2" t="str">
        <f t="shared" si="13"/>
        <v>Error?</v>
      </c>
    </row>
    <row r="906" spans="1:4" x14ac:dyDescent="0.2">
      <c r="A906" s="5">
        <v>845</v>
      </c>
      <c r="B906" s="1890">
        <f>'Expenditures 15-22'!F49</f>
        <v>2870</v>
      </c>
      <c r="D906" s="2" t="str">
        <f t="shared" si="13"/>
        <v>Error?</v>
      </c>
    </row>
    <row r="907" spans="1:4" x14ac:dyDescent="0.2">
      <c r="A907" s="5">
        <v>846</v>
      </c>
      <c r="B907" s="1890">
        <f>'Expenditures 15-22'!F50</f>
        <v>2259</v>
      </c>
      <c r="D907" s="2" t="str">
        <f t="shared" si="13"/>
        <v>Error?</v>
      </c>
    </row>
    <row r="908" spans="1:4" x14ac:dyDescent="0.2">
      <c r="A908" s="5">
        <v>847</v>
      </c>
      <c r="B908" s="1890">
        <f>'Expenditures 15-22'!F53</f>
        <v>5129</v>
      </c>
      <c r="C908" s="2" t="s">
        <v>569</v>
      </c>
      <c r="D908" s="2" t="str">
        <f t="shared" si="13"/>
        <v>Error?</v>
      </c>
    </row>
    <row r="909" spans="1:4" x14ac:dyDescent="0.2">
      <c r="A909" s="5">
        <v>848</v>
      </c>
      <c r="B909" s="1890">
        <f>'Expenditures 15-22'!F55</f>
        <v>908</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908</v>
      </c>
      <c r="C911" s="2" t="s">
        <v>569</v>
      </c>
      <c r="D911" s="2" t="str">
        <f t="shared" si="13"/>
        <v>Error?</v>
      </c>
    </row>
    <row r="912" spans="1:4" x14ac:dyDescent="0.2">
      <c r="A912" s="5">
        <v>851</v>
      </c>
      <c r="B912" s="1890">
        <f>'Expenditures 15-22'!F59</f>
        <v>499</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16839</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1503</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18841</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28281</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127174</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12355</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11110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30572</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30572</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400</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2534</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2934</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130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130</v>
      </c>
      <c r="C1017" s="2" t="s">
        <v>569</v>
      </c>
      <c r="D1017" s="2" t="str">
        <f t="shared" si="14"/>
        <v>Error?</v>
      </c>
    </row>
    <row r="1018" spans="1:4" x14ac:dyDescent="0.2">
      <c r="A1018" s="5">
        <v>957</v>
      </c>
      <c r="B1018" s="1890">
        <f>'Expenditures 15-22'!H44</f>
        <v>6066</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6066</v>
      </c>
      <c r="C1021" s="2" t="s">
        <v>569</v>
      </c>
      <c r="D1021" s="2" t="str">
        <f t="shared" si="14"/>
        <v>Error?</v>
      </c>
    </row>
    <row r="1022" spans="1:4" x14ac:dyDescent="0.2">
      <c r="A1022" s="5">
        <v>961</v>
      </c>
      <c r="B1022" s="1890">
        <f>'Expenditures 15-22'!H49</f>
        <v>4567</v>
      </c>
      <c r="D1022" s="2" t="str">
        <f t="shared" si="14"/>
        <v>Error?</v>
      </c>
    </row>
    <row r="1023" spans="1:4" x14ac:dyDescent="0.2">
      <c r="A1023" s="5">
        <v>962</v>
      </c>
      <c r="B1023" s="1890">
        <f>'Expenditures 15-22'!H50</f>
        <v>0</v>
      </c>
      <c r="D1023" s="2" t="str">
        <f t="shared" ref="D1023:D1086" si="15">IF(ISBLANK(B1023),"OK",IF(A1023-B1023=0,"OK","Error?"))</f>
        <v>Error?</v>
      </c>
    </row>
    <row r="1024" spans="1:4" x14ac:dyDescent="0.2">
      <c r="A1024" s="5">
        <v>963</v>
      </c>
      <c r="B1024" s="1890">
        <f>'Expenditures 15-22'!H53</f>
        <v>4567</v>
      </c>
      <c r="C1024" s="2" t="s">
        <v>569</v>
      </c>
      <c r="D1024" s="2" t="str">
        <f t="shared" si="15"/>
        <v>Error?</v>
      </c>
    </row>
    <row r="1025" spans="1:4" x14ac:dyDescent="0.2">
      <c r="A1025" s="5">
        <v>964</v>
      </c>
      <c r="B1025" s="1890">
        <f>'Expenditures 15-22'!H55</f>
        <v>829</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829</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0</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0</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11592</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103685</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118211</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1820031</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18934</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144934</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2499135</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18456</v>
      </c>
      <c r="C1110" s="2" t="s">
        <v>569</v>
      </c>
      <c r="D1110" s="2" t="str">
        <f t="shared" si="16"/>
        <v>Error?</v>
      </c>
    </row>
    <row r="1111" spans="1:4" x14ac:dyDescent="0.2">
      <c r="A1111" s="5">
        <v>1050</v>
      </c>
      <c r="B1111" s="1890">
        <f>'Expenditures 15-22'!K38</f>
        <v>21911</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66610</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106977</v>
      </c>
      <c r="C1115" s="2" t="s">
        <v>569</v>
      </c>
      <c r="D1115" s="2" t="str">
        <f t="shared" si="16"/>
        <v>Error?</v>
      </c>
    </row>
    <row r="1116" spans="1:4" x14ac:dyDescent="0.2">
      <c r="A1116" s="5">
        <v>1055</v>
      </c>
      <c r="B1116" s="1890">
        <f>'Expenditures 15-22'!K44</f>
        <v>6215</v>
      </c>
      <c r="C1116" s="2" t="s">
        <v>569</v>
      </c>
      <c r="D1116" s="2" t="str">
        <f t="shared" si="16"/>
        <v>Error?</v>
      </c>
    </row>
    <row r="1117" spans="1:4" x14ac:dyDescent="0.2">
      <c r="A1117" s="5">
        <v>1056</v>
      </c>
      <c r="B1117" s="1890">
        <f>'Expenditures 15-22'!K45</f>
        <v>35744</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41959</v>
      </c>
      <c r="C1119" s="2" t="s">
        <v>569</v>
      </c>
      <c r="D1119" s="2" t="str">
        <f t="shared" si="16"/>
        <v>Error?</v>
      </c>
    </row>
    <row r="1120" spans="1:4" x14ac:dyDescent="0.2">
      <c r="A1120" s="5">
        <v>1059</v>
      </c>
      <c r="B1120" s="1890">
        <f>'Expenditures 15-22'!K49</f>
        <v>23515</v>
      </c>
      <c r="C1120" s="2" t="s">
        <v>569</v>
      </c>
      <c r="D1120" s="2" t="str">
        <f t="shared" si="16"/>
        <v>Error?</v>
      </c>
    </row>
    <row r="1121" spans="1:4" x14ac:dyDescent="0.2">
      <c r="A1121" s="5">
        <v>1060</v>
      </c>
      <c r="B1121" s="1890">
        <f>'Expenditures 15-22'!K50</f>
        <v>59813</v>
      </c>
      <c r="C1121" s="2" t="s">
        <v>569</v>
      </c>
      <c r="D1121" s="2" t="str">
        <f t="shared" si="16"/>
        <v>Error?</v>
      </c>
    </row>
    <row r="1122" spans="1:4" x14ac:dyDescent="0.2">
      <c r="A1122" s="5">
        <v>1061</v>
      </c>
      <c r="B1122" s="1890">
        <f>'Expenditures 15-22'!K53</f>
        <v>83328</v>
      </c>
      <c r="C1122" s="2" t="s">
        <v>569</v>
      </c>
      <c r="D1122" s="2" t="str">
        <f t="shared" si="16"/>
        <v>Error?</v>
      </c>
    </row>
    <row r="1123" spans="1:4" x14ac:dyDescent="0.2">
      <c r="A1123" s="5">
        <v>1062</v>
      </c>
      <c r="B1123" s="1890">
        <f>'Expenditures 15-22'!K55</f>
        <v>183273</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183273</v>
      </c>
      <c r="C1125" s="2" t="s">
        <v>569</v>
      </c>
      <c r="D1125" s="2" t="str">
        <f t="shared" si="16"/>
        <v>Error?</v>
      </c>
    </row>
    <row r="1126" spans="1:4" x14ac:dyDescent="0.2">
      <c r="A1126" s="5">
        <v>1065</v>
      </c>
      <c r="B1126" s="1890">
        <f>'Expenditures 15-22'!K59</f>
        <v>50313</v>
      </c>
      <c r="C1126" s="2" t="s">
        <v>569</v>
      </c>
      <c r="D1126" s="2" t="str">
        <f t="shared" si="16"/>
        <v>Error?</v>
      </c>
    </row>
    <row r="1127" spans="1:4" x14ac:dyDescent="0.2">
      <c r="A1127" s="5">
        <v>1066</v>
      </c>
      <c r="B1127" s="1890">
        <f>'Expenditures 15-22'!K60</f>
        <v>0</v>
      </c>
      <c r="C1127" s="2" t="s">
        <v>569</v>
      </c>
      <c r="D1127" s="2" t="str">
        <f t="shared" si="16"/>
        <v>Error?</v>
      </c>
    </row>
    <row r="1128" spans="1:4" x14ac:dyDescent="0.2">
      <c r="A1128" s="5">
        <v>1067</v>
      </c>
      <c r="B1128" s="1890">
        <f>'Expenditures 15-22'!K61</f>
        <v>16839</v>
      </c>
      <c r="C1128" s="2" t="s">
        <v>569</v>
      </c>
      <c r="D1128" s="2" t="str">
        <f t="shared" si="16"/>
        <v>Error?</v>
      </c>
    </row>
    <row r="1129" spans="1:4" x14ac:dyDescent="0.2">
      <c r="A1129" s="5">
        <v>1068</v>
      </c>
      <c r="B1129" s="1890">
        <f>'Expenditures 15-22'!K62</f>
        <v>642</v>
      </c>
      <c r="C1129" s="2" t="s">
        <v>569</v>
      </c>
      <c r="D1129" s="2" t="str">
        <f t="shared" si="16"/>
        <v>Error?</v>
      </c>
    </row>
    <row r="1130" spans="1:4" x14ac:dyDescent="0.2">
      <c r="A1130" s="5">
        <v>1069</v>
      </c>
      <c r="B1130" s="1890">
        <f>'Expenditures 15-22'!K63</f>
        <v>101275</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169069</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584606</v>
      </c>
      <c r="C1143" s="2" t="s">
        <v>569</v>
      </c>
      <c r="D1143" s="2" t="str">
        <f t="shared" si="16"/>
        <v>Error?</v>
      </c>
    </row>
    <row r="1144" spans="1:4" x14ac:dyDescent="0.2">
      <c r="A1144" s="5">
        <v>1083</v>
      </c>
      <c r="B1144" s="1890">
        <f>'Expenditures 15-22'!K75</f>
        <v>0</v>
      </c>
      <c r="C1144" s="2" t="s">
        <v>569</v>
      </c>
      <c r="D1144" s="2" t="str">
        <f t="shared" si="16"/>
        <v>Error?</v>
      </c>
    </row>
    <row r="1145" spans="1:4" x14ac:dyDescent="0.2">
      <c r="A1145" s="5">
        <v>1084</v>
      </c>
      <c r="B1145" s="1890">
        <f>'Expenditures 15-22'!K102</f>
        <v>103685</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3187426</v>
      </c>
      <c r="C1152" s="2" t="s">
        <v>569</v>
      </c>
      <c r="D1152" s="2" t="str">
        <f t="shared" si="17"/>
        <v>Error?</v>
      </c>
    </row>
    <row r="1153" spans="1:4" x14ac:dyDescent="0.2">
      <c r="A1153" s="5">
        <v>1092</v>
      </c>
      <c r="B1153" s="1890">
        <f>'Expenditures 15-22'!K115</f>
        <v>81192</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101683</v>
      </c>
      <c r="D1221" s="2" t="str">
        <f t="shared" si="18"/>
        <v>Error?</v>
      </c>
    </row>
    <row r="1222" spans="1:4" x14ac:dyDescent="0.2">
      <c r="A1222" s="10">
        <v>1161</v>
      </c>
      <c r="B1222" s="1890"/>
      <c r="D1222" s="2" t="str">
        <f t="shared" si="18"/>
        <v>OK</v>
      </c>
    </row>
    <row r="1223" spans="1:4" x14ac:dyDescent="0.2">
      <c r="A1223" s="5">
        <v>1162</v>
      </c>
      <c r="B1223" s="1890">
        <f>'Expenditures 15-22'!C127</f>
        <v>101683</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101683</v>
      </c>
      <c r="C1225" s="2" t="s">
        <v>569</v>
      </c>
      <c r="D1225" s="2" t="str">
        <f t="shared" si="18"/>
        <v>Error?</v>
      </c>
    </row>
    <row r="1226" spans="1:4" x14ac:dyDescent="0.2">
      <c r="A1226" s="5">
        <v>1165</v>
      </c>
      <c r="B1226" s="1890">
        <f>'Expenditures 15-22'!C151</f>
        <v>101683</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35028</v>
      </c>
      <c r="D1229" s="2" t="str">
        <f t="shared" si="18"/>
        <v>Error?</v>
      </c>
    </row>
    <row r="1230" spans="1:4" x14ac:dyDescent="0.2">
      <c r="A1230" s="10">
        <v>1169</v>
      </c>
      <c r="B1230" s="1890"/>
      <c r="D1230" s="2" t="str">
        <f t="shared" si="18"/>
        <v>OK</v>
      </c>
    </row>
    <row r="1231" spans="1:4" x14ac:dyDescent="0.2">
      <c r="A1231" s="5">
        <v>1170</v>
      </c>
      <c r="B1231" s="1890">
        <f>'Expenditures 15-22'!D127</f>
        <v>35028</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35028</v>
      </c>
      <c r="C1233" s="2" t="s">
        <v>569</v>
      </c>
      <c r="D1233" s="2" t="str">
        <f t="shared" si="18"/>
        <v>Error?</v>
      </c>
    </row>
    <row r="1234" spans="1:4" x14ac:dyDescent="0.2">
      <c r="A1234" s="5">
        <v>1173</v>
      </c>
      <c r="B1234" s="1890">
        <f>'Expenditures 15-22'!D151</f>
        <v>35028</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50744</v>
      </c>
      <c r="D1237" s="2" t="str">
        <f t="shared" si="18"/>
        <v>Error?</v>
      </c>
    </row>
    <row r="1238" spans="1:4" x14ac:dyDescent="0.2">
      <c r="A1238" s="10">
        <v>1177</v>
      </c>
      <c r="B1238" s="1890"/>
      <c r="D1238" s="2" t="str">
        <f t="shared" si="18"/>
        <v>OK</v>
      </c>
    </row>
    <row r="1239" spans="1:4" x14ac:dyDescent="0.2">
      <c r="A1239" s="5">
        <v>1178</v>
      </c>
      <c r="B1239" s="1890">
        <f>'Expenditures 15-22'!E127</f>
        <v>50744</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50744</v>
      </c>
      <c r="C1241" s="2" t="s">
        <v>569</v>
      </c>
      <c r="D1241" s="2" t="str">
        <f t="shared" si="18"/>
        <v>Error?</v>
      </c>
    </row>
    <row r="1242" spans="1:4" x14ac:dyDescent="0.2">
      <c r="A1242" s="5">
        <v>1181</v>
      </c>
      <c r="B1242" s="1890">
        <f>'Expenditures 15-22'!E151</f>
        <v>50744</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107311</v>
      </c>
      <c r="D1245" s="2" t="str">
        <f t="shared" si="18"/>
        <v>Error?</v>
      </c>
    </row>
    <row r="1246" spans="1:4" x14ac:dyDescent="0.2">
      <c r="A1246" s="10">
        <v>1185</v>
      </c>
      <c r="B1246" s="1890"/>
      <c r="D1246" s="2" t="str">
        <f t="shared" si="18"/>
        <v>OK</v>
      </c>
    </row>
    <row r="1247" spans="1:4" x14ac:dyDescent="0.2">
      <c r="A1247" s="5">
        <v>1186</v>
      </c>
      <c r="B1247" s="1890">
        <f>'Expenditures 15-22'!F127</f>
        <v>107311</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107311</v>
      </c>
      <c r="C1249" s="2" t="s">
        <v>569</v>
      </c>
      <c r="D1249" s="2" t="str">
        <f t="shared" si="18"/>
        <v>Error?</v>
      </c>
    </row>
    <row r="1250" spans="1:4" x14ac:dyDescent="0.2">
      <c r="A1250" s="5">
        <v>1189</v>
      </c>
      <c r="B1250" s="1890">
        <f>'Expenditures 15-22'!F151</f>
        <v>107311</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294766</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294766</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294766</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294766</v>
      </c>
      <c r="C1288" s="2" t="s">
        <v>569</v>
      </c>
      <c r="D1288" s="2" t="str">
        <f t="shared" si="19"/>
        <v>Error?</v>
      </c>
    </row>
    <row r="1289" spans="1:4" x14ac:dyDescent="0.2">
      <c r="A1289" s="5">
        <v>1228</v>
      </c>
      <c r="B1289" s="1890">
        <f>'Expenditures 15-22'!K152</f>
        <v>24132</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84915</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473000</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557915</v>
      </c>
      <c r="C1317" s="2" t="s">
        <v>569</v>
      </c>
      <c r="D1317" s="2" t="str">
        <f t="shared" si="19"/>
        <v>Error?</v>
      </c>
    </row>
    <row r="1318" spans="1:4" x14ac:dyDescent="0.2">
      <c r="A1318" s="5">
        <v>1257</v>
      </c>
      <c r="B1318" s="1890">
        <f>'Expenditures 15-22'!H174</f>
        <v>557915</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84915</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473000</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557915</v>
      </c>
      <c r="C1331" s="2" t="s">
        <v>569</v>
      </c>
      <c r="D1331" s="2" t="str">
        <f t="shared" si="19"/>
        <v>Error?</v>
      </c>
    </row>
    <row r="1332" spans="1:4" x14ac:dyDescent="0.2">
      <c r="A1332" s="5">
        <v>1271</v>
      </c>
      <c r="B1332" s="1890">
        <f>'Expenditures 15-22'!K174</f>
        <v>557915</v>
      </c>
      <c r="C1332" s="2" t="s">
        <v>569</v>
      </c>
      <c r="D1332" s="2" t="str">
        <f t="shared" si="19"/>
        <v>Error?</v>
      </c>
    </row>
    <row r="1333" spans="1:4" x14ac:dyDescent="0.2">
      <c r="A1333" s="5">
        <v>1272</v>
      </c>
      <c r="B1333" s="1890">
        <f>'Expenditures 15-22'!K175</f>
        <v>-15208</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96132</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96132</v>
      </c>
      <c r="C1339" s="2" t="s">
        <v>569</v>
      </c>
      <c r="D1339" s="2" t="str">
        <f t="shared" si="19"/>
        <v>Error?</v>
      </c>
    </row>
    <row r="1340" spans="1:4" x14ac:dyDescent="0.2">
      <c r="A1340" s="5">
        <v>1279</v>
      </c>
      <c r="B1340" s="1890">
        <f>'Expenditures 15-22'!C210</f>
        <v>96132</v>
      </c>
      <c r="C1340" s="2" t="s">
        <v>569</v>
      </c>
      <c r="D1340" s="2" t="str">
        <f t="shared" si="19"/>
        <v>Error?</v>
      </c>
    </row>
    <row r="1341" spans="1:4" x14ac:dyDescent="0.2">
      <c r="A1341" s="5">
        <v>1280</v>
      </c>
      <c r="B1341" s="1890">
        <f>'Expenditures 15-22'!D182</f>
        <v>8844</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8844</v>
      </c>
      <c r="C1345" s="2" t="s">
        <v>569</v>
      </c>
      <c r="D1345" s="2" t="str">
        <f t="shared" si="20"/>
        <v>Error?</v>
      </c>
    </row>
    <row r="1346" spans="1:4" x14ac:dyDescent="0.2">
      <c r="A1346" s="5">
        <v>1285</v>
      </c>
      <c r="B1346" s="1890">
        <f>'Expenditures 15-22'!D210</f>
        <v>8844</v>
      </c>
      <c r="C1346" s="2" t="s">
        <v>569</v>
      </c>
      <c r="D1346" s="2" t="str">
        <f t="shared" si="20"/>
        <v>Error?</v>
      </c>
    </row>
    <row r="1347" spans="1:4" x14ac:dyDescent="0.2">
      <c r="A1347" s="5">
        <v>1286</v>
      </c>
      <c r="B1347" s="1890">
        <f>'Expenditures 15-22'!E182</f>
        <v>109390</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109390</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109390</v>
      </c>
      <c r="C1353" s="2" t="s">
        <v>569</v>
      </c>
      <c r="D1353" s="2" t="str">
        <f t="shared" si="20"/>
        <v>Error?</v>
      </c>
    </row>
    <row r="1354" spans="1:4" x14ac:dyDescent="0.2">
      <c r="A1354" s="5">
        <v>1293</v>
      </c>
      <c r="B1354" s="1890">
        <f>'Expenditures 15-22'!F182</f>
        <v>36943</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36943</v>
      </c>
      <c r="C1358" s="2" t="s">
        <v>569</v>
      </c>
      <c r="D1358" s="2" t="str">
        <f t="shared" si="20"/>
        <v>Error?</v>
      </c>
    </row>
    <row r="1359" spans="1:4" x14ac:dyDescent="0.2">
      <c r="A1359" s="5">
        <v>1298</v>
      </c>
      <c r="B1359" s="1890">
        <f>'Expenditures 15-22'!F210</f>
        <v>36943</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251309</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251309</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251309</v>
      </c>
      <c r="C1388" s="2" t="s">
        <v>569</v>
      </c>
      <c r="D1388" s="2" t="str">
        <f t="shared" si="20"/>
        <v>Error?</v>
      </c>
    </row>
    <row r="1389" spans="1:4" x14ac:dyDescent="0.2">
      <c r="A1389" s="5">
        <v>1328</v>
      </c>
      <c r="B1389" s="1890">
        <f>'Expenditures 15-22'!K211</f>
        <v>92800</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3236</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2635</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68796</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3927</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938</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4865</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3327</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3327</v>
      </c>
      <c r="C1421" s="2" t="s">
        <v>569</v>
      </c>
      <c r="D1421" s="2" t="str">
        <f t="shared" si="21"/>
        <v>Error?</v>
      </c>
    </row>
    <row r="1422" spans="1:4" x14ac:dyDescent="0.2">
      <c r="A1422" s="5">
        <v>1361</v>
      </c>
      <c r="B1422" s="1890">
        <f>'Expenditures 15-22'!D245</f>
        <v>194</v>
      </c>
      <c r="D1422" s="2" t="str">
        <f t="shared" si="21"/>
        <v>Error?</v>
      </c>
    </row>
    <row r="1423" spans="1:4" x14ac:dyDescent="0.2">
      <c r="A1423" s="5">
        <v>1362</v>
      </c>
      <c r="B1423" s="1890">
        <f>'Expenditures 15-22'!D246</f>
        <v>3798</v>
      </c>
      <c r="D1423" s="2" t="str">
        <f t="shared" si="21"/>
        <v>Error?</v>
      </c>
    </row>
    <row r="1424" spans="1:4" x14ac:dyDescent="0.2">
      <c r="A1424" s="5">
        <v>1363</v>
      </c>
      <c r="B1424" s="1890">
        <f>'Expenditures 15-22'!D257</f>
        <v>3992</v>
      </c>
      <c r="C1424" s="2" t="s">
        <v>569</v>
      </c>
      <c r="D1424" s="2" t="str">
        <f t="shared" si="21"/>
        <v>Error?</v>
      </c>
    </row>
    <row r="1425" spans="1:4" x14ac:dyDescent="0.2">
      <c r="A1425" s="5">
        <v>1364</v>
      </c>
      <c r="B1425" s="1890">
        <f>'Expenditures 15-22'!D259</f>
        <v>7644</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7644</v>
      </c>
      <c r="C1427" s="2" t="s">
        <v>569</v>
      </c>
      <c r="D1427" s="2" t="str">
        <f t="shared" si="21"/>
        <v>Error?</v>
      </c>
    </row>
    <row r="1428" spans="1:4" x14ac:dyDescent="0.2">
      <c r="A1428" s="5">
        <v>1367</v>
      </c>
      <c r="B1428" s="1890">
        <f>'Expenditures 15-22'!D263</f>
        <v>7177</v>
      </c>
      <c r="D1428" s="2" t="str">
        <f t="shared" si="21"/>
        <v>Error?</v>
      </c>
    </row>
    <row r="1429" spans="1:4" x14ac:dyDescent="0.2">
      <c r="A1429" s="5">
        <v>1368</v>
      </c>
      <c r="B1429" s="1890">
        <f>'Expenditures 15-22'!D264</f>
        <v>0</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22502</v>
      </c>
      <c r="D1431" s="2" t="str">
        <f t="shared" si="21"/>
        <v>Error?</v>
      </c>
    </row>
    <row r="1432" spans="1:4" x14ac:dyDescent="0.2">
      <c r="A1432" s="5">
        <v>1371</v>
      </c>
      <c r="B1432" s="1890">
        <f>'Expenditures 15-22'!D267</f>
        <v>12747</v>
      </c>
      <c r="D1432" s="2" t="str">
        <f t="shared" si="21"/>
        <v>Error?</v>
      </c>
    </row>
    <row r="1433" spans="1:4" x14ac:dyDescent="0.2">
      <c r="A1433" s="5">
        <v>1372</v>
      </c>
      <c r="B1433" s="1890">
        <f>'Expenditures 15-22'!D268</f>
        <v>0</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42426</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62254</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131050</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3236</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2635</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68796</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3927</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938</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4865</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3327</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3327</v>
      </c>
      <c r="C1485" s="2" t="s">
        <v>569</v>
      </c>
      <c r="D1485" s="2" t="str">
        <f t="shared" si="22"/>
        <v>Error?</v>
      </c>
    </row>
    <row r="1486" spans="1:4" x14ac:dyDescent="0.2">
      <c r="A1486" s="5">
        <v>1425</v>
      </c>
      <c r="B1486" s="1890">
        <f>'Expenditures 15-22'!K245</f>
        <v>194</v>
      </c>
      <c r="C1486" s="2" t="s">
        <v>569</v>
      </c>
      <c r="D1486" s="2" t="str">
        <f t="shared" si="22"/>
        <v>Error?</v>
      </c>
    </row>
    <row r="1487" spans="1:4" x14ac:dyDescent="0.2">
      <c r="A1487" s="5">
        <v>1426</v>
      </c>
      <c r="B1487" s="1890">
        <f>'Expenditures 15-22'!K246</f>
        <v>3798</v>
      </c>
      <c r="C1487" s="2" t="s">
        <v>569</v>
      </c>
      <c r="D1487" s="2" t="str">
        <f t="shared" si="22"/>
        <v>Error?</v>
      </c>
    </row>
    <row r="1488" spans="1:4" x14ac:dyDescent="0.2">
      <c r="A1488" s="5">
        <v>1427</v>
      </c>
      <c r="B1488" s="1890">
        <f>'Expenditures 15-22'!K257</f>
        <v>3992</v>
      </c>
      <c r="C1488" s="2" t="s">
        <v>569</v>
      </c>
      <c r="D1488" s="2" t="str">
        <f t="shared" si="22"/>
        <v>Error?</v>
      </c>
    </row>
    <row r="1489" spans="1:4" x14ac:dyDescent="0.2">
      <c r="A1489" s="5">
        <v>1428</v>
      </c>
      <c r="B1489" s="1890">
        <f>'Expenditures 15-22'!K259</f>
        <v>7644</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7644</v>
      </c>
      <c r="C1491" s="2" t="s">
        <v>569</v>
      </c>
      <c r="D1491" s="2" t="str">
        <f t="shared" si="22"/>
        <v>Error?</v>
      </c>
    </row>
    <row r="1492" spans="1:4" x14ac:dyDescent="0.2">
      <c r="A1492" s="5">
        <v>1431</v>
      </c>
      <c r="B1492" s="1890">
        <f>'Expenditures 15-22'!K263</f>
        <v>7177</v>
      </c>
      <c r="C1492" s="2" t="s">
        <v>569</v>
      </c>
      <c r="D1492" s="2" t="str">
        <f t="shared" si="22"/>
        <v>Error?</v>
      </c>
    </row>
    <row r="1493" spans="1:4" x14ac:dyDescent="0.2">
      <c r="A1493" s="5">
        <v>1432</v>
      </c>
      <c r="B1493" s="1890">
        <f>'Expenditures 15-22'!K264</f>
        <v>0</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22502</v>
      </c>
      <c r="C1495" s="2" t="s">
        <v>569</v>
      </c>
      <c r="D1495" s="2" t="str">
        <f t="shared" si="22"/>
        <v>Error?</v>
      </c>
    </row>
    <row r="1496" spans="1:4" x14ac:dyDescent="0.2">
      <c r="A1496" s="5">
        <v>1435</v>
      </c>
      <c r="B1496" s="1890">
        <f>'Expenditures 15-22'!K267</f>
        <v>12747</v>
      </c>
      <c r="C1496" s="2" t="s">
        <v>569</v>
      </c>
      <c r="D1496" s="2" t="str">
        <f t="shared" si="22"/>
        <v>Error?</v>
      </c>
    </row>
    <row r="1497" spans="1:4" x14ac:dyDescent="0.2">
      <c r="A1497" s="5">
        <v>1436</v>
      </c>
      <c r="B1497" s="1890">
        <f>'Expenditures 15-22'!K268</f>
        <v>0</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42426</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62254</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131050</v>
      </c>
      <c r="C1517" s="2" t="s">
        <v>569</v>
      </c>
      <c r="D1517" s="2" t="str">
        <f t="shared" si="22"/>
        <v>Error?</v>
      </c>
    </row>
    <row r="1518" spans="1:4" x14ac:dyDescent="0.2">
      <c r="A1518" s="5">
        <v>1457</v>
      </c>
      <c r="B1518" s="1890">
        <f>'Expenditures 15-22'!K296</f>
        <v>27415</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0</v>
      </c>
      <c r="C1559" s="2" t="s">
        <v>569</v>
      </c>
      <c r="D1559" s="2" t="str">
        <f t="shared" si="23"/>
        <v>Error?</v>
      </c>
    </row>
    <row r="1560" spans="1:4" x14ac:dyDescent="0.2">
      <c r="A1560" s="5">
        <v>1499</v>
      </c>
      <c r="B1560" s="1890">
        <f>'Expenditures 15-22'!K312</f>
        <v>0</v>
      </c>
      <c r="C1560" s="2" t="s">
        <v>569</v>
      </c>
      <c r="D1560" s="2" t="str">
        <f t="shared" si="23"/>
        <v>Error?</v>
      </c>
    </row>
    <row r="1561" spans="1:4" x14ac:dyDescent="0.2">
      <c r="A1561" s="5">
        <v>1500</v>
      </c>
      <c r="B1561" s="1890">
        <f>'Expenditures 15-22'!K313</f>
        <v>7082</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289437</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370629</v>
      </c>
      <c r="C1630" s="2" t="s">
        <v>569</v>
      </c>
      <c r="D1630" s="2" t="str">
        <f t="shared" si="24"/>
        <v>Error?</v>
      </c>
    </row>
    <row r="1631" spans="1:4" x14ac:dyDescent="0.2">
      <c r="A1631" s="5">
        <v>1570</v>
      </c>
      <c r="B1631" s="1890">
        <f>'Acct Summary 7-8'!D79</f>
        <v>52505</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176637</v>
      </c>
      <c r="C1644" s="2" t="s">
        <v>569</v>
      </c>
      <c r="D1644" s="2" t="str">
        <f t="shared" si="24"/>
        <v>Error?</v>
      </c>
    </row>
    <row r="1645" spans="1:4" x14ac:dyDescent="0.2">
      <c r="A1645" s="5">
        <v>1584</v>
      </c>
      <c r="B1645" s="1890">
        <f>'Acct Summary 7-8'!E79</f>
        <v>32597</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17389</v>
      </c>
      <c r="C1658" s="2" t="s">
        <v>569</v>
      </c>
      <c r="D1658" s="2" t="str">
        <f t="shared" si="24"/>
        <v>Error?</v>
      </c>
    </row>
    <row r="1659" spans="1:4" x14ac:dyDescent="0.2">
      <c r="A1659" s="5">
        <v>1598</v>
      </c>
      <c r="B1659" s="1890">
        <f>'Acct Summary 7-8'!F79</f>
        <v>536306</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629106</v>
      </c>
      <c r="C1672" s="2" t="s">
        <v>569</v>
      </c>
      <c r="D1672" s="2" t="str">
        <f t="shared" si="25"/>
        <v>Error?</v>
      </c>
    </row>
    <row r="1673" spans="1:4" x14ac:dyDescent="0.2">
      <c r="A1673" s="5">
        <v>1612</v>
      </c>
      <c r="B1673" s="1890">
        <f>'Acct Summary 7-8'!G79</f>
        <v>121376</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148791</v>
      </c>
      <c r="C1686" s="2" t="s">
        <v>569</v>
      </c>
      <c r="D1686" s="2" t="str">
        <f t="shared" si="25"/>
        <v>Error?</v>
      </c>
    </row>
    <row r="1687" spans="1:4" x14ac:dyDescent="0.2">
      <c r="A1687" s="5">
        <v>1626</v>
      </c>
      <c r="B1687" s="1890">
        <f>'Acct Summary 7-8'!H79</f>
        <v>10345</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17427</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1172932</v>
      </c>
      <c r="C1744" s="2" t="s">
        <v>569</v>
      </c>
      <c r="D1744" s="2" t="str">
        <f t="shared" si="26"/>
        <v>Error?</v>
      </c>
    </row>
    <row r="1745" spans="1:5" x14ac:dyDescent="0.2">
      <c r="A1745" s="5">
        <v>1684</v>
      </c>
      <c r="B1745" s="1890">
        <f>'Tax Sched 23'!B5</f>
        <v>318730</v>
      </c>
      <c r="C1745" s="2" t="s">
        <v>569</v>
      </c>
      <c r="D1745" s="2" t="str">
        <f t="shared" si="26"/>
        <v>Error?</v>
      </c>
    </row>
    <row r="1746" spans="1:5" x14ac:dyDescent="0.2">
      <c r="A1746" s="5">
        <v>1685</v>
      </c>
      <c r="B1746" s="1890">
        <f>'Tax Sched 23'!B6</f>
        <v>542608</v>
      </c>
      <c r="C1746" s="2" t="s">
        <v>569</v>
      </c>
      <c r="D1746" s="2" t="str">
        <f t="shared" si="26"/>
        <v>Error?</v>
      </c>
    </row>
    <row r="1747" spans="1:5" x14ac:dyDescent="0.2">
      <c r="A1747" s="5">
        <v>1686</v>
      </c>
      <c r="B1747" s="1890">
        <f>'Tax Sched 23'!B7</f>
        <v>152995</v>
      </c>
      <c r="C1747" s="2" t="s">
        <v>569</v>
      </c>
      <c r="D1747" s="2" t="str">
        <f t="shared" si="26"/>
        <v>Error?</v>
      </c>
    </row>
    <row r="1748" spans="1:5" x14ac:dyDescent="0.2">
      <c r="A1748" s="5">
        <v>1687</v>
      </c>
      <c r="B1748" s="1890">
        <f>'Tax Sched 23'!B8</f>
        <v>79195</v>
      </c>
      <c r="C1748" s="2" t="s">
        <v>569</v>
      </c>
      <c r="D1748" s="2" t="str">
        <f t="shared" si="26"/>
        <v>Error?</v>
      </c>
    </row>
    <row r="1749" spans="1:5" x14ac:dyDescent="0.2">
      <c r="A1749" s="5">
        <v>1688</v>
      </c>
      <c r="B1749" s="1890">
        <f>'Tax Sched 23'!B10</f>
        <v>63746</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426663</v>
      </c>
      <c r="C1752" s="2" t="s">
        <v>569</v>
      </c>
      <c r="D1752" s="2" t="str">
        <f t="shared" si="26"/>
        <v>Error?</v>
      </c>
    </row>
    <row r="1753" spans="1:5" x14ac:dyDescent="0.2">
      <c r="A1753" s="5">
        <v>1692</v>
      </c>
      <c r="B1753" s="1890">
        <f>'Tax Sched 23'!B12</f>
        <v>63746</v>
      </c>
      <c r="C1753" s="2" t="s">
        <v>569</v>
      </c>
      <c r="D1753" s="2" t="str">
        <f t="shared" si="26"/>
        <v>Error?</v>
      </c>
    </row>
    <row r="1754" spans="1:5" x14ac:dyDescent="0.2">
      <c r="A1754" s="5">
        <v>1693</v>
      </c>
      <c r="B1754" s="1890">
        <f>'Tax Sched 23'!B14</f>
        <v>25503</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2996141</v>
      </c>
      <c r="C1759" s="2" t="s">
        <v>569</v>
      </c>
      <c r="D1759" s="2" t="str">
        <f t="shared" si="26"/>
        <v>Error?</v>
      </c>
    </row>
    <row r="1760" spans="1:5" x14ac:dyDescent="0.2">
      <c r="A1760" s="5">
        <v>1699</v>
      </c>
      <c r="B1760" s="1890">
        <f>'Tax Sched 23'!D4</f>
        <v>1172932</v>
      </c>
      <c r="C1760" s="2" t="s">
        <v>569</v>
      </c>
      <c r="D1760" s="2" t="str">
        <f t="shared" si="26"/>
        <v>Error?</v>
      </c>
    </row>
    <row r="1761" spans="1:7" x14ac:dyDescent="0.2">
      <c r="A1761" s="5">
        <v>1700</v>
      </c>
      <c r="B1761" s="1890">
        <f>'Tax Sched 23'!D5</f>
        <v>318730</v>
      </c>
      <c r="C1761" s="2" t="s">
        <v>569</v>
      </c>
      <c r="D1761" s="2" t="str">
        <f t="shared" si="26"/>
        <v>Error?</v>
      </c>
    </row>
    <row r="1762" spans="1:7" s="8" customFormat="1" x14ac:dyDescent="0.2">
      <c r="A1762" s="5">
        <v>1701</v>
      </c>
      <c r="B1762" s="1890">
        <f>'Tax Sched 23'!D6</f>
        <v>542608</v>
      </c>
      <c r="C1762" s="2" t="s">
        <v>569</v>
      </c>
      <c r="D1762" s="2" t="str">
        <f t="shared" si="26"/>
        <v>Error?</v>
      </c>
      <c r="E1762" s="9"/>
      <c r="G1762"/>
    </row>
    <row r="1763" spans="1:7" x14ac:dyDescent="0.2">
      <c r="A1763" s="5">
        <v>1702</v>
      </c>
      <c r="B1763" s="1890">
        <f>'Tax Sched 23'!D7</f>
        <v>152995</v>
      </c>
      <c r="C1763" s="2" t="s">
        <v>569</v>
      </c>
      <c r="D1763" s="2" t="str">
        <f t="shared" si="26"/>
        <v>Error?</v>
      </c>
    </row>
    <row r="1764" spans="1:7" x14ac:dyDescent="0.2">
      <c r="A1764" s="5">
        <v>1703</v>
      </c>
      <c r="B1764" s="1890">
        <f>'Tax Sched 23'!D8</f>
        <v>79195</v>
      </c>
      <c r="C1764" s="2" t="s">
        <v>569</v>
      </c>
      <c r="D1764" s="2" t="str">
        <f t="shared" si="26"/>
        <v>Error?</v>
      </c>
    </row>
    <row r="1765" spans="1:7" x14ac:dyDescent="0.2">
      <c r="A1765" s="5">
        <v>1704</v>
      </c>
      <c r="B1765" s="1890">
        <f>'Tax Sched 23'!D10</f>
        <v>63746</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426663</v>
      </c>
      <c r="C1768" s="2" t="s">
        <v>569</v>
      </c>
      <c r="D1768" s="2" t="str">
        <f t="shared" si="26"/>
        <v>Error?</v>
      </c>
    </row>
    <row r="1769" spans="1:7" x14ac:dyDescent="0.2">
      <c r="A1769" s="5">
        <v>1708</v>
      </c>
      <c r="B1769" s="1890">
        <f>'Tax Sched 23'!D12</f>
        <v>63746</v>
      </c>
      <c r="C1769" s="2" t="s">
        <v>569</v>
      </c>
      <c r="D1769" s="2" t="str">
        <f t="shared" si="26"/>
        <v>Error?</v>
      </c>
    </row>
    <row r="1770" spans="1:7" x14ac:dyDescent="0.2">
      <c r="A1770" s="5">
        <v>1709</v>
      </c>
      <c r="B1770" s="1890">
        <f>'Tax Sched 23'!D14</f>
        <v>25503</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2996141</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1345944</v>
      </c>
      <c r="C1792" s="2" t="s">
        <v>569</v>
      </c>
      <c r="D1792" s="2" t="str">
        <f t="shared" si="27"/>
        <v>Error?</v>
      </c>
    </row>
    <row r="1793" spans="1:4" x14ac:dyDescent="0.2">
      <c r="A1793" s="5">
        <v>1732</v>
      </c>
      <c r="B1793" s="1890">
        <f>'Tax Sched 23'!F5</f>
        <v>365744</v>
      </c>
      <c r="C1793" s="2" t="s">
        <v>569</v>
      </c>
      <c r="D1793" s="2" t="str">
        <f t="shared" si="27"/>
        <v>Error?</v>
      </c>
    </row>
    <row r="1794" spans="1:4" x14ac:dyDescent="0.2">
      <c r="A1794" s="5">
        <v>1733</v>
      </c>
      <c r="B1794" s="1890">
        <f>'Tax Sched 23'!F6</f>
        <v>542349</v>
      </c>
      <c r="C1794" s="2" t="s">
        <v>569</v>
      </c>
      <c r="D1794" s="2" t="str">
        <f t="shared" si="27"/>
        <v>Error?</v>
      </c>
    </row>
    <row r="1795" spans="1:4" x14ac:dyDescent="0.2">
      <c r="A1795" s="5">
        <v>1734</v>
      </c>
      <c r="B1795" s="1890">
        <f>'Tax Sched 23'!F7</f>
        <v>175563</v>
      </c>
      <c r="C1795" s="2" t="s">
        <v>569</v>
      </c>
      <c r="D1795" s="2" t="str">
        <f t="shared" si="27"/>
        <v>Error?</v>
      </c>
    </row>
    <row r="1796" spans="1:4" x14ac:dyDescent="0.2">
      <c r="A1796" s="5">
        <v>1735</v>
      </c>
      <c r="B1796" s="1890">
        <f>'Tax Sched 23'!F8</f>
        <v>83373</v>
      </c>
      <c r="C1796" s="2" t="s">
        <v>569</v>
      </c>
      <c r="D1796" s="2" t="str">
        <f t="shared" si="27"/>
        <v>Error?</v>
      </c>
    </row>
    <row r="1797" spans="1:4" x14ac:dyDescent="0.2">
      <c r="A1797" s="5">
        <v>1736</v>
      </c>
      <c r="B1797" s="1890">
        <f>'Tax Sched 23'!F10</f>
        <v>73150</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449171</v>
      </c>
      <c r="C1800" s="2" t="s">
        <v>569</v>
      </c>
      <c r="D1800" s="2" t="str">
        <f t="shared" si="27"/>
        <v>Error?</v>
      </c>
    </row>
    <row r="1801" spans="1:4" x14ac:dyDescent="0.2">
      <c r="A1801" s="5">
        <v>1740</v>
      </c>
      <c r="B1801" s="1890">
        <f>'Tax Sched 23'!F12</f>
        <v>73150</v>
      </c>
      <c r="C1801" s="2" t="s">
        <v>569</v>
      </c>
      <c r="D1801" s="2" t="str">
        <f t="shared" si="27"/>
        <v>Error?</v>
      </c>
    </row>
    <row r="1802" spans="1:4" x14ac:dyDescent="0.2">
      <c r="A1802" s="5">
        <v>1741</v>
      </c>
      <c r="B1802" s="1890">
        <f>'Tax Sched 23'!F14</f>
        <v>29265</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3294232</v>
      </c>
      <c r="C1807" s="2" t="s">
        <v>569</v>
      </c>
      <c r="D1807" s="2" t="str">
        <f t="shared" si="27"/>
        <v>Error?</v>
      </c>
    </row>
    <row r="1808" spans="1:4" x14ac:dyDescent="0.2">
      <c r="A1808" s="5">
        <v>1747</v>
      </c>
      <c r="B1808" s="1890">
        <f>'Tax Sched 23'!E4</f>
        <v>1345944</v>
      </c>
      <c r="D1808" s="2" t="str">
        <f t="shared" si="27"/>
        <v>Error?</v>
      </c>
    </row>
    <row r="1809" spans="1:4" x14ac:dyDescent="0.2">
      <c r="A1809" s="5">
        <v>1748</v>
      </c>
      <c r="B1809" s="1890">
        <f>'Tax Sched 23'!E5</f>
        <v>365744</v>
      </c>
      <c r="D1809" s="2" t="str">
        <f t="shared" si="27"/>
        <v>Error?</v>
      </c>
    </row>
    <row r="1810" spans="1:4" x14ac:dyDescent="0.2">
      <c r="A1810" s="5">
        <v>1749</v>
      </c>
      <c r="B1810" s="1890">
        <f>'Tax Sched 23'!E6</f>
        <v>542349</v>
      </c>
      <c r="D1810" s="2" t="str">
        <f t="shared" si="27"/>
        <v>Error?</v>
      </c>
    </row>
    <row r="1811" spans="1:4" x14ac:dyDescent="0.2">
      <c r="A1811" s="5">
        <v>1750</v>
      </c>
      <c r="B1811" s="1890">
        <f>'Tax Sched 23'!E7</f>
        <v>175563</v>
      </c>
      <c r="D1811" s="2" t="str">
        <f t="shared" si="27"/>
        <v>Error?</v>
      </c>
    </row>
    <row r="1812" spans="1:4" x14ac:dyDescent="0.2">
      <c r="A1812" s="5">
        <v>1751</v>
      </c>
      <c r="B1812" s="1890">
        <f>'Tax Sched 23'!E8</f>
        <v>83373</v>
      </c>
      <c r="D1812" s="2" t="str">
        <f t="shared" si="27"/>
        <v>Error?</v>
      </c>
    </row>
    <row r="1813" spans="1:4" x14ac:dyDescent="0.2">
      <c r="A1813" s="5">
        <v>1752</v>
      </c>
      <c r="B1813" s="1890">
        <f>'Tax Sched 23'!E10</f>
        <v>73150</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449171</v>
      </c>
      <c r="D1816" s="2" t="str">
        <f t="shared" si="27"/>
        <v>Error?</v>
      </c>
    </row>
    <row r="1817" spans="1:4" x14ac:dyDescent="0.2">
      <c r="A1817" s="5">
        <v>1756</v>
      </c>
      <c r="B1817" s="1890">
        <f>'Tax Sched 23'!E12</f>
        <v>73150</v>
      </c>
      <c r="D1817" s="2" t="str">
        <f t="shared" si="27"/>
        <v>Error?</v>
      </c>
    </row>
    <row r="1818" spans="1:4" x14ac:dyDescent="0.2">
      <c r="A1818" s="5">
        <v>1757</v>
      </c>
      <c r="B1818" s="1890">
        <f>'Tax Sched 23'!E14</f>
        <v>29265</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3294232</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2204000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25503</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25503</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25503</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68360</v>
      </c>
      <c r="D2008" s="2" t="str">
        <f t="shared" si="30"/>
        <v>Error?</v>
      </c>
    </row>
    <row r="2009" spans="1:4" x14ac:dyDescent="0.2">
      <c r="A2009" s="5">
        <v>1948</v>
      </c>
      <c r="B2009" s="1890">
        <f>'Cap Outlay Deprec 26'!C8</f>
        <v>8113602</v>
      </c>
      <c r="D2009" s="2" t="str">
        <f t="shared" si="30"/>
        <v>Error?</v>
      </c>
    </row>
    <row r="2010" spans="1:4" x14ac:dyDescent="0.2">
      <c r="A2010" s="5">
        <v>1949</v>
      </c>
      <c r="B2010" s="1890">
        <f>'Cap Outlay Deprec 26'!C10</f>
        <v>151121</v>
      </c>
      <c r="D2010" s="2" t="str">
        <f t="shared" si="30"/>
        <v>Error?</v>
      </c>
    </row>
    <row r="2011" spans="1:4" x14ac:dyDescent="0.2">
      <c r="A2011" s="5">
        <v>1950</v>
      </c>
      <c r="B2011" s="1890">
        <f>'Cap Outlay Deprec 26'!C12</f>
        <v>819433</v>
      </c>
      <c r="D2011" s="2" t="str">
        <f t="shared" si="30"/>
        <v>Error?</v>
      </c>
    </row>
    <row r="2012" spans="1:4" x14ac:dyDescent="0.2">
      <c r="A2012" s="5">
        <v>1951</v>
      </c>
      <c r="B2012" s="1890">
        <f>'Cap Outlay Deprec 26'!C13</f>
        <v>106462</v>
      </c>
      <c r="D2012" s="2" t="str">
        <f t="shared" si="30"/>
        <v>Error?</v>
      </c>
    </row>
    <row r="2013" spans="1:4" x14ac:dyDescent="0.2">
      <c r="A2013" s="5">
        <v>1952</v>
      </c>
      <c r="B2013" s="1890">
        <f>'Cap Outlay Deprec 26'!C16</f>
        <v>9258978</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30572</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30572</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68360</v>
      </c>
      <c r="C2026" s="2" t="s">
        <v>569</v>
      </c>
      <c r="D2026" s="2" t="str">
        <f t="shared" si="30"/>
        <v>Error?</v>
      </c>
    </row>
    <row r="2027" spans="1:4" x14ac:dyDescent="0.2">
      <c r="A2027" s="5">
        <v>1966</v>
      </c>
      <c r="B2027" s="1890">
        <f>'Cap Outlay Deprec 26'!F8</f>
        <v>8113602</v>
      </c>
      <c r="C2027" s="2" t="s">
        <v>569</v>
      </c>
      <c r="D2027" s="2" t="str">
        <f t="shared" si="30"/>
        <v>Error?</v>
      </c>
    </row>
    <row r="2028" spans="1:4" x14ac:dyDescent="0.2">
      <c r="A2028" s="5">
        <v>1967</v>
      </c>
      <c r="B2028" s="1890">
        <f>'Cap Outlay Deprec 26'!F10</f>
        <v>151121</v>
      </c>
      <c r="C2028" s="2" t="s">
        <v>569</v>
      </c>
      <c r="D2028" s="2" t="str">
        <f t="shared" si="30"/>
        <v>Error?</v>
      </c>
    </row>
    <row r="2029" spans="1:4" x14ac:dyDescent="0.2">
      <c r="A2029" s="5">
        <v>1968</v>
      </c>
      <c r="B2029" s="1890">
        <f>'Cap Outlay Deprec 26'!F12</f>
        <v>850005</v>
      </c>
      <c r="C2029" s="2" t="s">
        <v>569</v>
      </c>
      <c r="D2029" s="2" t="str">
        <f t="shared" si="30"/>
        <v>Error?</v>
      </c>
    </row>
    <row r="2030" spans="1:4" x14ac:dyDescent="0.2">
      <c r="A2030" s="5">
        <v>1969</v>
      </c>
      <c r="B2030" s="1890">
        <f>'Cap Outlay Deprec 26'!F13</f>
        <v>106462</v>
      </c>
      <c r="C2030" s="2" t="s">
        <v>569</v>
      </c>
      <c r="D2030" s="2" t="str">
        <f t="shared" si="30"/>
        <v>Error?</v>
      </c>
    </row>
    <row r="2031" spans="1:4" x14ac:dyDescent="0.2">
      <c r="A2031" s="5">
        <v>1970</v>
      </c>
      <c r="B2031" s="1890">
        <f>'Cap Outlay Deprec 26'!F16</f>
        <v>9289550</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3474392</v>
      </c>
      <c r="D2033" s="2" t="str">
        <f t="shared" si="30"/>
        <v>Error?</v>
      </c>
    </row>
    <row r="2034" spans="1:4" x14ac:dyDescent="0.2">
      <c r="A2034" s="5">
        <v>1973</v>
      </c>
      <c r="B2034" s="1890">
        <f>'Cap Outlay Deprec 26'!H10</f>
        <v>150297</v>
      </c>
      <c r="D2034" s="2" t="str">
        <f t="shared" si="30"/>
        <v>Error?</v>
      </c>
    </row>
    <row r="2035" spans="1:4" x14ac:dyDescent="0.2">
      <c r="A2035" s="5">
        <v>1974</v>
      </c>
      <c r="B2035" s="1890">
        <f>'Cap Outlay Deprec 26'!H12</f>
        <v>576789</v>
      </c>
      <c r="D2035" s="2" t="str">
        <f t="shared" si="30"/>
        <v>Error?</v>
      </c>
    </row>
    <row r="2036" spans="1:4" x14ac:dyDescent="0.2">
      <c r="A2036" s="5">
        <v>1975</v>
      </c>
      <c r="B2036" s="1890">
        <f>'Cap Outlay Deprec 26'!H13</f>
        <v>53789</v>
      </c>
      <c r="D2036" s="2" t="str">
        <f t="shared" si="30"/>
        <v>Error?</v>
      </c>
    </row>
    <row r="2037" spans="1:4" x14ac:dyDescent="0.2">
      <c r="A2037" s="5">
        <v>1976</v>
      </c>
      <c r="B2037" s="1890">
        <f>'Cap Outlay Deprec 26'!H16</f>
        <v>4255267</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160321</v>
      </c>
      <c r="D2039" s="2" t="str">
        <f t="shared" si="30"/>
        <v>Error?</v>
      </c>
    </row>
    <row r="2040" spans="1:4" x14ac:dyDescent="0.2">
      <c r="A2040" s="5">
        <v>1979</v>
      </c>
      <c r="B2040" s="1890">
        <f>'Cap Outlay Deprec 26'!I10</f>
        <v>274</v>
      </c>
      <c r="D2040" s="2" t="str">
        <f t="shared" si="30"/>
        <v>Error?</v>
      </c>
    </row>
    <row r="2041" spans="1:4" x14ac:dyDescent="0.2">
      <c r="A2041" s="5">
        <v>1980</v>
      </c>
      <c r="B2041" s="1890">
        <f>'Cap Outlay Deprec 26'!I12</f>
        <v>40807</v>
      </c>
      <c r="D2041" s="2" t="str">
        <f t="shared" si="30"/>
        <v>Error?</v>
      </c>
    </row>
    <row r="2042" spans="1:4" x14ac:dyDescent="0.2">
      <c r="A2042" s="5">
        <v>1981</v>
      </c>
      <c r="B2042" s="1890">
        <f>'Cap Outlay Deprec 26'!I13</f>
        <v>11492</v>
      </c>
      <c r="D2042" s="2" t="str">
        <f t="shared" si="30"/>
        <v>Error?</v>
      </c>
    </row>
    <row r="2043" spans="1:4" x14ac:dyDescent="0.2">
      <c r="A2043" s="5">
        <v>1982</v>
      </c>
      <c r="B2043" s="1890">
        <f>'Cap Outlay Deprec 26'!I16</f>
        <v>212894</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3634713</v>
      </c>
      <c r="C2051" s="2" t="s">
        <v>569</v>
      </c>
      <c r="D2051" s="2" t="str">
        <f t="shared" si="31"/>
        <v>Error?</v>
      </c>
    </row>
    <row r="2052" spans="1:4" x14ac:dyDescent="0.2">
      <c r="A2052" s="5">
        <v>1991</v>
      </c>
      <c r="B2052" s="1890">
        <f>'Cap Outlay Deprec 26'!K10</f>
        <v>150571</v>
      </c>
      <c r="C2052" s="2" t="s">
        <v>569</v>
      </c>
      <c r="D2052" s="2" t="str">
        <f t="shared" si="31"/>
        <v>Error?</v>
      </c>
    </row>
    <row r="2053" spans="1:4" x14ac:dyDescent="0.2">
      <c r="A2053" s="5">
        <v>1992</v>
      </c>
      <c r="B2053" s="1890">
        <f>'Cap Outlay Deprec 26'!K12</f>
        <v>617596</v>
      </c>
      <c r="C2053" s="2" t="s">
        <v>569</v>
      </c>
      <c r="D2053" s="2" t="str">
        <f t="shared" si="31"/>
        <v>Error?</v>
      </c>
    </row>
    <row r="2054" spans="1:4" x14ac:dyDescent="0.2">
      <c r="A2054" s="5">
        <v>1993</v>
      </c>
      <c r="B2054" s="1890">
        <f>'Cap Outlay Deprec 26'!K13</f>
        <v>65281</v>
      </c>
      <c r="C2054" s="2" t="s">
        <v>569</v>
      </c>
      <c r="D2054" s="2" t="str">
        <f t="shared" si="31"/>
        <v>Error?</v>
      </c>
    </row>
    <row r="2055" spans="1:4" x14ac:dyDescent="0.2">
      <c r="A2055" s="5">
        <v>1994</v>
      </c>
      <c r="B2055" s="1890">
        <f>'Cap Outlay Deprec 26'!K16</f>
        <v>4468161</v>
      </c>
      <c r="C2055" s="2" t="s">
        <v>569</v>
      </c>
      <c r="D2055" s="2" t="str">
        <f t="shared" si="31"/>
        <v>Error?</v>
      </c>
    </row>
    <row r="2056" spans="1:4" x14ac:dyDescent="0.2">
      <c r="A2056" s="5">
        <v>1995</v>
      </c>
      <c r="B2056" s="1890">
        <f>'Cap Outlay Deprec 26'!L5</f>
        <v>68360</v>
      </c>
      <c r="C2056" s="2" t="s">
        <v>569</v>
      </c>
      <c r="D2056" s="2" t="str">
        <f t="shared" si="31"/>
        <v>Error?</v>
      </c>
    </row>
    <row r="2057" spans="1:4" x14ac:dyDescent="0.2">
      <c r="A2057" s="5">
        <v>1996</v>
      </c>
      <c r="B2057" s="1890">
        <f>'Cap Outlay Deprec 26'!L8</f>
        <v>4478889</v>
      </c>
      <c r="C2057" s="2" t="s">
        <v>569</v>
      </c>
      <c r="D2057" s="2" t="str">
        <f t="shared" si="31"/>
        <v>Error?</v>
      </c>
    </row>
    <row r="2058" spans="1:4" x14ac:dyDescent="0.2">
      <c r="A2058" s="5">
        <v>1997</v>
      </c>
      <c r="B2058" s="1890">
        <f>'Cap Outlay Deprec 26'!L10</f>
        <v>550</v>
      </c>
      <c r="C2058" s="2" t="s">
        <v>569</v>
      </c>
      <c r="D2058" s="2" t="str">
        <f t="shared" si="31"/>
        <v>Error?</v>
      </c>
    </row>
    <row r="2059" spans="1:4" x14ac:dyDescent="0.2">
      <c r="A2059" s="5">
        <v>1998</v>
      </c>
      <c r="B2059" s="1890">
        <f>'Cap Outlay Deprec 26'!L12</f>
        <v>232409</v>
      </c>
      <c r="C2059" s="2" t="s">
        <v>569</v>
      </c>
      <c r="D2059" s="2" t="str">
        <f t="shared" si="31"/>
        <v>Error?</v>
      </c>
    </row>
    <row r="2060" spans="1:4" x14ac:dyDescent="0.2">
      <c r="A2060" s="5">
        <v>1999</v>
      </c>
      <c r="B2060" s="1890">
        <f>'Cap Outlay Deprec 26'!L13</f>
        <v>41181</v>
      </c>
      <c r="C2060" s="2" t="s">
        <v>569</v>
      </c>
      <c r="D2060" s="2" t="str">
        <f t="shared" si="31"/>
        <v>Error?</v>
      </c>
    </row>
    <row r="2061" spans="1:4" x14ac:dyDescent="0.2">
      <c r="A2061" s="5">
        <v>2000</v>
      </c>
      <c r="B2061" s="1890">
        <f>'Cap Outlay Deprec 26'!L16</f>
        <v>4821389</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103685</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103685</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8357</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2449</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1611043</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1368103</v>
      </c>
      <c r="C2553" s="2" t="s">
        <v>569</v>
      </c>
      <c r="D2553" s="2" t="str">
        <f t="shared" si="38"/>
        <v>Error?</v>
      </c>
    </row>
    <row r="2554" spans="1:4" x14ac:dyDescent="0.2">
      <c r="A2554" s="5">
        <v>2493</v>
      </c>
      <c r="B2554" s="1890">
        <f>'Acct Summary 7-8'!C7</f>
        <v>289472</v>
      </c>
      <c r="C2554" s="2" t="s">
        <v>569</v>
      </c>
      <c r="D2554" s="2" t="str">
        <f t="shared" si="38"/>
        <v>Error?</v>
      </c>
    </row>
    <row r="2555" spans="1:4" x14ac:dyDescent="0.2">
      <c r="A2555" s="5">
        <v>2494</v>
      </c>
      <c r="B2555" s="1890">
        <f>'Acct Summary 7-8'!C8</f>
        <v>3268618</v>
      </c>
      <c r="C2555" s="2" t="s">
        <v>569</v>
      </c>
      <c r="D2555" s="2" t="str">
        <f t="shared" si="38"/>
        <v>Error?</v>
      </c>
    </row>
    <row r="2556" spans="1:4" x14ac:dyDescent="0.2">
      <c r="A2556" s="5">
        <v>2495</v>
      </c>
      <c r="B2556" s="1890">
        <f>'Acct Summary 7-8'!C12</f>
        <v>2499135</v>
      </c>
      <c r="C2556" s="2" t="s">
        <v>569</v>
      </c>
      <c r="D2556" s="2" t="str">
        <f t="shared" si="38"/>
        <v>Error?</v>
      </c>
    </row>
    <row r="2557" spans="1:4" x14ac:dyDescent="0.2">
      <c r="A2557" s="5">
        <v>2496</v>
      </c>
      <c r="B2557" s="1890">
        <f>'Acct Summary 7-8'!C13</f>
        <v>584606</v>
      </c>
      <c r="C2557" s="2" t="s">
        <v>569</v>
      </c>
      <c r="D2557" s="2" t="str">
        <f t="shared" si="38"/>
        <v>Error?</v>
      </c>
    </row>
    <row r="2558" spans="1:4" x14ac:dyDescent="0.2">
      <c r="A2558" s="5">
        <v>2497</v>
      </c>
      <c r="B2558" s="1890">
        <f>'Acct Summary 7-8'!C14</f>
        <v>0</v>
      </c>
      <c r="C2558" s="2" t="s">
        <v>569</v>
      </c>
      <c r="D2558" s="2" t="str">
        <f t="shared" si="38"/>
        <v>Error?</v>
      </c>
    </row>
    <row r="2559" spans="1:4" x14ac:dyDescent="0.2">
      <c r="A2559" s="5">
        <v>2498</v>
      </c>
      <c r="B2559" s="1890">
        <f>'Acct Summary 7-8'!C15</f>
        <v>103685</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3187426</v>
      </c>
      <c r="C2561" s="2" t="s">
        <v>569</v>
      </c>
      <c r="D2561" s="2" t="str">
        <f t="shared" si="39"/>
        <v>Error?</v>
      </c>
    </row>
    <row r="2562" spans="1:4" x14ac:dyDescent="0.2">
      <c r="A2562" s="5">
        <v>2501</v>
      </c>
      <c r="B2562" s="1890">
        <f>'Acct Summary 7-8'!C20</f>
        <v>81192</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318898</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318898</v>
      </c>
      <c r="C2568" s="2" t="s">
        <v>569</v>
      </c>
      <c r="D2568" s="2" t="str">
        <f t="shared" si="39"/>
        <v>Error?</v>
      </c>
    </row>
    <row r="2569" spans="1:4" x14ac:dyDescent="0.2">
      <c r="A2569" s="5">
        <v>2508</v>
      </c>
      <c r="B2569" s="1890">
        <f>'Acct Summary 7-8'!D13</f>
        <v>294766</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294766</v>
      </c>
      <c r="C2573" s="2" t="s">
        <v>569</v>
      </c>
      <c r="D2573" s="2" t="str">
        <f t="shared" si="39"/>
        <v>Error?</v>
      </c>
    </row>
    <row r="2574" spans="1:4" x14ac:dyDescent="0.2">
      <c r="A2574" s="5">
        <v>2513</v>
      </c>
      <c r="B2574" s="1890">
        <f>'Acct Summary 7-8'!D20</f>
        <v>24132</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295831</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48278</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344109</v>
      </c>
      <c r="C2595" s="2" t="s">
        <v>569</v>
      </c>
      <c r="D2595" s="2" t="str">
        <f t="shared" si="39"/>
        <v>Error?</v>
      </c>
    </row>
    <row r="2596" spans="1:4" x14ac:dyDescent="0.2">
      <c r="A2596" s="5">
        <v>2535</v>
      </c>
      <c r="B2596" s="1890">
        <f>'Acct Summary 7-8'!F13</f>
        <v>251309</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251309</v>
      </c>
      <c r="C2600" s="2" t="s">
        <v>569</v>
      </c>
      <c r="D2600" s="2" t="str">
        <f t="shared" si="39"/>
        <v>Error?</v>
      </c>
    </row>
    <row r="2601" spans="1:4" x14ac:dyDescent="0.2">
      <c r="A2601" s="5">
        <v>2540</v>
      </c>
      <c r="B2601" s="1890">
        <f>'Acct Summary 7-8'!F20</f>
        <v>92800</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158465</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158465</v>
      </c>
      <c r="C2606" s="2" t="s">
        <v>569</v>
      </c>
      <c r="D2606" s="2" t="str">
        <f t="shared" si="39"/>
        <v>Error?</v>
      </c>
    </row>
    <row r="2607" spans="1:4" x14ac:dyDescent="0.2">
      <c r="A2607" s="5">
        <v>2546</v>
      </c>
      <c r="B2607" s="1890">
        <f>'Acct Summary 7-8'!G12</f>
        <v>68796</v>
      </c>
      <c r="C2607" s="2" t="s">
        <v>569</v>
      </c>
      <c r="D2607" s="2" t="str">
        <f t="shared" si="39"/>
        <v>Error?</v>
      </c>
    </row>
    <row r="2608" spans="1:4" x14ac:dyDescent="0.2">
      <c r="A2608" s="5">
        <v>2547</v>
      </c>
      <c r="B2608" s="1890">
        <f>'Acct Summary 7-8'!G13</f>
        <v>62254</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131050</v>
      </c>
      <c r="C2612" s="2" t="s">
        <v>569</v>
      </c>
      <c r="D2612" s="2" t="str">
        <f t="shared" si="39"/>
        <v>Error?</v>
      </c>
    </row>
    <row r="2613" spans="1:4" x14ac:dyDescent="0.2">
      <c r="A2613" s="5">
        <v>2552</v>
      </c>
      <c r="B2613" s="1890">
        <f>'Acct Summary 7-8'!G20</f>
        <v>27415</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542707</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542707</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557915</v>
      </c>
      <c r="C2634" s="2" t="s">
        <v>569</v>
      </c>
      <c r="D2634" s="2" t="str">
        <f t="shared" si="40"/>
        <v>Error?</v>
      </c>
    </row>
    <row r="2635" spans="1:4" x14ac:dyDescent="0.2">
      <c r="A2635" s="5">
        <v>2574</v>
      </c>
      <c r="B2635" s="1890">
        <f>'Acct Summary 7-8'!E17</f>
        <v>557915</v>
      </c>
      <c r="C2635" s="2" t="s">
        <v>569</v>
      </c>
      <c r="D2635" s="2" t="str">
        <f t="shared" si="40"/>
        <v>Error?</v>
      </c>
    </row>
    <row r="2636" spans="1:4" x14ac:dyDescent="0.2">
      <c r="A2636" s="5">
        <v>2575</v>
      </c>
      <c r="B2636" s="1890">
        <f>'Acct Summary 7-8'!E20</f>
        <v>-15208</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7082</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7082</v>
      </c>
      <c r="C2658" s="2" t="s">
        <v>569</v>
      </c>
      <c r="D2658" s="2" t="str">
        <f t="shared" si="40"/>
        <v>Error?</v>
      </c>
    </row>
    <row r="2659" spans="1:4" x14ac:dyDescent="0.2">
      <c r="A2659" s="5">
        <v>2598</v>
      </c>
      <c r="B2659" s="1890">
        <f>'Acct Summary 7-8'!H13</f>
        <v>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0</v>
      </c>
      <c r="C2661" s="2" t="s">
        <v>569</v>
      </c>
      <c r="D2661" s="2" t="str">
        <f t="shared" si="40"/>
        <v>Error?</v>
      </c>
    </row>
    <row r="2662" spans="1:4" x14ac:dyDescent="0.2">
      <c r="A2662" s="5">
        <v>2601</v>
      </c>
      <c r="B2662" s="1890">
        <f>'Acct Summary 7-8'!H20</f>
        <v>7082</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988758</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0</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988758</v>
      </c>
      <c r="D2912" s="2" t="str">
        <f t="shared" si="44"/>
        <v>Error?</v>
      </c>
    </row>
    <row r="2913" spans="1:4" x14ac:dyDescent="0.2">
      <c r="A2913" s="5">
        <v>2852</v>
      </c>
      <c r="B2913" s="1890">
        <f>'Assets-Liab 5-6'!I41</f>
        <v>988758</v>
      </c>
      <c r="C2913" s="2" t="s">
        <v>569</v>
      </c>
      <c r="D2913" s="2" t="str">
        <f t="shared" si="44"/>
        <v>Error?</v>
      </c>
    </row>
    <row r="2914" spans="1:4" x14ac:dyDescent="0.2">
      <c r="A2914" s="5">
        <v>2853</v>
      </c>
      <c r="B2914" s="1890">
        <f>'Assets-Liab 5-6'!L33</f>
        <v>0</v>
      </c>
      <c r="D2914" s="2" t="str">
        <f t="shared" si="44"/>
        <v>Error?</v>
      </c>
    </row>
    <row r="2915" spans="1:4" x14ac:dyDescent="0.2">
      <c r="A2915" s="10">
        <v>2854</v>
      </c>
      <c r="B2915" s="1890"/>
      <c r="D2915" s="2" t="str">
        <f t="shared" si="44"/>
        <v>OK</v>
      </c>
    </row>
    <row r="2916" spans="1:4" x14ac:dyDescent="0.2">
      <c r="A2916" s="5">
        <v>2855</v>
      </c>
      <c r="B2916" s="1890">
        <f>'Assets-Liab 5-6'!L34</f>
        <v>0</v>
      </c>
      <c r="C2916" s="2" t="s">
        <v>569</v>
      </c>
      <c r="D2916" s="2" t="str">
        <f t="shared" si="44"/>
        <v>Error?</v>
      </c>
    </row>
    <row r="2917" spans="1:4" x14ac:dyDescent="0.2">
      <c r="A2917" s="5">
        <v>2856</v>
      </c>
      <c r="B2917" s="1890">
        <f>'Assets-Liab 5-6'!L41</f>
        <v>0</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103685</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103685</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84092</v>
      </c>
      <c r="D3055" s="2" t="str">
        <f t="shared" si="46"/>
        <v>Error?</v>
      </c>
    </row>
    <row r="3056" spans="1:4" x14ac:dyDescent="0.2">
      <c r="A3056" s="5">
        <v>2995</v>
      </c>
      <c r="B3056" s="1890">
        <f>'Expenditures 15-22'!D10</f>
        <v>10118</v>
      </c>
      <c r="D3056" s="2" t="str">
        <f t="shared" si="46"/>
        <v>Error?</v>
      </c>
    </row>
    <row r="3057" spans="1:4" x14ac:dyDescent="0.2">
      <c r="A3057" s="5">
        <v>2996</v>
      </c>
      <c r="B3057" s="1890">
        <f>'Expenditures 15-22'!E10</f>
        <v>7497</v>
      </c>
      <c r="D3057" s="2" t="str">
        <f t="shared" si="46"/>
        <v>Error?</v>
      </c>
    </row>
    <row r="3058" spans="1:4" x14ac:dyDescent="0.2">
      <c r="A3058" s="5">
        <v>2997</v>
      </c>
      <c r="B3058" s="1890">
        <f>'Expenditures 15-22'!F10</f>
        <v>9390</v>
      </c>
      <c r="D3058" s="2" t="str">
        <f t="shared" si="46"/>
        <v>Error?</v>
      </c>
    </row>
    <row r="3059" spans="1:4" x14ac:dyDescent="0.2">
      <c r="A3059" s="5">
        <v>2998</v>
      </c>
      <c r="B3059" s="1890">
        <f>'Expenditures 15-22'!G10</f>
        <v>570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111667</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14209</v>
      </c>
      <c r="D3064" s="2" t="str">
        <f t="shared" si="46"/>
        <v>Error?</v>
      </c>
    </row>
    <row r="3065" spans="1:4" x14ac:dyDescent="0.2">
      <c r="A3065" s="5">
        <v>3004</v>
      </c>
      <c r="B3065" s="1890">
        <f>'Expenditures 15-22'!K219</f>
        <v>14209</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63780</v>
      </c>
      <c r="C3225" s="2" t="s">
        <v>569</v>
      </c>
      <c r="D3225" s="2" t="str">
        <f t="shared" si="49"/>
        <v>Error?</v>
      </c>
    </row>
    <row r="3226" spans="1:4" x14ac:dyDescent="0.2">
      <c r="A3226" s="5">
        <v>3165</v>
      </c>
      <c r="B3226" s="1890">
        <f>'Acct Summary 7-8'!I8</f>
        <v>63780</v>
      </c>
      <c r="C3226" s="2" t="s">
        <v>569</v>
      </c>
      <c r="D3226" s="2" t="str">
        <f t="shared" si="49"/>
        <v>Error?</v>
      </c>
    </row>
    <row r="3227" spans="1:4" x14ac:dyDescent="0.2">
      <c r="A3227" s="5">
        <v>3166</v>
      </c>
      <c r="B3227" s="1890">
        <f>'Acct Summary 7-8'!I20</f>
        <v>63780</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81192</v>
      </c>
      <c r="C3233" s="2" t="s">
        <v>569</v>
      </c>
      <c r="D3233" s="2" t="str">
        <f t="shared" si="49"/>
        <v>Error?</v>
      </c>
    </row>
    <row r="3234" spans="1:4" x14ac:dyDescent="0.2">
      <c r="A3234" s="5">
        <v>3173</v>
      </c>
      <c r="B3234" s="1890">
        <f>'Acct Summary 7-8'!D43</f>
        <v>100000</v>
      </c>
      <c r="D3234" s="2" t="str">
        <f t="shared" si="49"/>
        <v>Error?</v>
      </c>
    </row>
    <row r="3235" spans="1:4" x14ac:dyDescent="0.2">
      <c r="A3235" s="5">
        <v>3174</v>
      </c>
      <c r="B3235" s="1890">
        <f>'Acct Summary 7-8'!D44</f>
        <v>100000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100000</v>
      </c>
      <c r="C3238" s="2" t="s">
        <v>569</v>
      </c>
      <c r="D3238" s="2" t="str">
        <f t="shared" si="49"/>
        <v>Error?</v>
      </c>
    </row>
    <row r="3239" spans="1:4" x14ac:dyDescent="0.2">
      <c r="A3239" s="5">
        <v>3178</v>
      </c>
      <c r="B3239" s="1890">
        <f>'Acct Summary 7-8'!D78</f>
        <v>124132</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92800</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27415</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-15208</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7082</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63780</v>
      </c>
      <c r="C3320" s="2" t="s">
        <v>569</v>
      </c>
      <c r="D3320" s="2" t="str">
        <f t="shared" si="50"/>
        <v>Error?</v>
      </c>
    </row>
    <row r="3321" spans="1:4" x14ac:dyDescent="0.2">
      <c r="A3321" s="5">
        <v>3260</v>
      </c>
      <c r="B3321" s="1890">
        <f>'Acct Summary 7-8'!I79</f>
        <v>924978</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988758</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160657</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73748</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46552</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435</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281392</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37650</v>
      </c>
      <c r="D3387" s="2" t="str">
        <f t="shared" si="51"/>
        <v>Error?</v>
      </c>
    </row>
    <row r="3388" spans="1:4" x14ac:dyDescent="0.2">
      <c r="A3388" s="5">
        <v>3327</v>
      </c>
      <c r="B3388" s="1890">
        <f>'Expenditures 15-22'!D217</f>
        <v>6485</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37650</v>
      </c>
      <c r="C3390" s="2" t="s">
        <v>569</v>
      </c>
      <c r="D3390" s="2" t="str">
        <f t="shared" si="51"/>
        <v>Error?</v>
      </c>
    </row>
    <row r="3391" spans="1:4" x14ac:dyDescent="0.2">
      <c r="A3391" s="5">
        <v>3330</v>
      </c>
      <c r="B3391" s="1890">
        <f>'Expenditures 15-22'!K217</f>
        <v>6485</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370629</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176637</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17389</v>
      </c>
      <c r="D3417" s="2" t="str">
        <f t="shared" si="52"/>
        <v>Error?</v>
      </c>
    </row>
    <row r="3418" spans="1:4" x14ac:dyDescent="0.2">
      <c r="A3418" s="10">
        <v>3357</v>
      </c>
      <c r="B3418" s="1890"/>
      <c r="D3418" s="2" t="str">
        <f t="shared" si="52"/>
        <v>OK</v>
      </c>
    </row>
    <row r="3419" spans="1:4" x14ac:dyDescent="0.2">
      <c r="A3419" s="5">
        <v>3358</v>
      </c>
      <c r="B3419" s="1890">
        <f>'Assets-Liab 5-6'!F4</f>
        <v>629106</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148791</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17427</v>
      </c>
      <c r="D3425" s="2" t="str">
        <f t="shared" si="52"/>
        <v>Error?</v>
      </c>
    </row>
    <row r="3426" spans="1:4" x14ac:dyDescent="0.2">
      <c r="A3426" s="10">
        <v>3365</v>
      </c>
      <c r="B3426" s="1890"/>
      <c r="D3426" s="2" t="str">
        <f t="shared" si="52"/>
        <v>OK</v>
      </c>
    </row>
    <row r="3427" spans="1:4" x14ac:dyDescent="0.2">
      <c r="A3427" s="5">
        <v>3366</v>
      </c>
      <c r="B3427" s="1890">
        <f>'Assets-Liab 5-6'!I4</f>
        <v>988758</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0</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79195</v>
      </c>
      <c r="C3446" s="2" t="s">
        <v>569</v>
      </c>
      <c r="D3446" s="2" t="str">
        <f t="shared" si="52"/>
        <v>Error?</v>
      </c>
    </row>
    <row r="3447" spans="1:4" x14ac:dyDescent="0.2">
      <c r="A3447" s="5">
        <v>3386</v>
      </c>
      <c r="B3447" s="1890">
        <f>'Tax Sched 23'!D16</f>
        <v>79195</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83373</v>
      </c>
      <c r="C3449" s="2" t="s">
        <v>569</v>
      </c>
      <c r="D3449" s="2" t="str">
        <f t="shared" si="52"/>
        <v>Error?</v>
      </c>
    </row>
    <row r="3450" spans="1:4" x14ac:dyDescent="0.2">
      <c r="A3450" s="5">
        <v>3389</v>
      </c>
      <c r="B3450" s="1890">
        <f>'Tax Sched 23'!E16</f>
        <v>83373</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238677</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238677</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238677</v>
      </c>
      <c r="D3567" s="2" t="str">
        <f t="shared" si="54"/>
        <v>Error?</v>
      </c>
    </row>
    <row r="3568" spans="1:4" x14ac:dyDescent="0.2">
      <c r="A3568" s="5">
        <v>3507</v>
      </c>
      <c r="B3568" s="1890">
        <f>'Assets-Liab 5-6'!K41</f>
        <v>238677</v>
      </c>
      <c r="C3568" s="2" t="s">
        <v>569</v>
      </c>
      <c r="D3568" s="2" t="str">
        <f t="shared" si="54"/>
        <v>Error?</v>
      </c>
    </row>
    <row r="3569" spans="1:4" x14ac:dyDescent="0.2">
      <c r="A3569" s="5">
        <v>3508</v>
      </c>
      <c r="B3569" s="1890">
        <f>'Acct Summary 7-8'!K4</f>
        <v>63780</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63780</v>
      </c>
      <c r="C3571" s="2" t="s">
        <v>569</v>
      </c>
      <c r="D3571" s="2" t="str">
        <f t="shared" si="54"/>
        <v>Error?</v>
      </c>
    </row>
    <row r="3572" spans="1:4" x14ac:dyDescent="0.2">
      <c r="A3572" s="5">
        <v>3511</v>
      </c>
      <c r="B3572" s="1890">
        <f>'Acct Summary 7-8'!K13</f>
        <v>24198</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24198</v>
      </c>
      <c r="C3575" s="2" t="s">
        <v>569</v>
      </c>
      <c r="D3575" s="2" t="str">
        <f t="shared" si="54"/>
        <v>Error?</v>
      </c>
    </row>
    <row r="3576" spans="1:4" x14ac:dyDescent="0.2">
      <c r="A3576" s="5">
        <v>3515</v>
      </c>
      <c r="B3576" s="1890">
        <f>'Acct Summary 7-8'!K20</f>
        <v>39582</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39582</v>
      </c>
      <c r="C3588" s="2" t="s">
        <v>569</v>
      </c>
      <c r="D3588" s="2" t="str">
        <f t="shared" si="55"/>
        <v>Error?</v>
      </c>
    </row>
    <row r="3589" spans="1:4" x14ac:dyDescent="0.2">
      <c r="A3589" s="5">
        <v>3528</v>
      </c>
      <c r="B3589" s="1890">
        <f>'Acct Summary 7-8'!K79</f>
        <v>199095</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238677</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24198</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24198</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24198</v>
      </c>
      <c r="C3635" s="2" t="s">
        <v>569</v>
      </c>
      <c r="D3635" s="2" t="str">
        <f t="shared" si="55"/>
        <v>Error?</v>
      </c>
    </row>
    <row r="3636" spans="1:4" x14ac:dyDescent="0.2">
      <c r="A3636" s="5">
        <v>3575</v>
      </c>
      <c r="B3636" s="1890">
        <f>'Expenditures 15-22'!E367</f>
        <v>24198</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24198</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24198</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24198</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24198</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39582</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63746</v>
      </c>
      <c r="C3725" s="2" t="s">
        <v>569</v>
      </c>
      <c r="D3725" s="2" t="str">
        <f t="shared" si="57"/>
        <v>Error?</v>
      </c>
    </row>
    <row r="3726" spans="1:4" x14ac:dyDescent="0.2">
      <c r="A3726" s="5">
        <v>3665</v>
      </c>
      <c r="B3726" s="1890">
        <f>'Tax Sched 23'!D13</f>
        <v>63746</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73150</v>
      </c>
      <c r="C3728" s="2" t="s">
        <v>569</v>
      </c>
      <c r="D3728" s="2" t="str">
        <f t="shared" si="57"/>
        <v>Error?</v>
      </c>
    </row>
    <row r="3729" spans="1:4" x14ac:dyDescent="0.2">
      <c r="A3729" s="5">
        <v>3668</v>
      </c>
      <c r="B3729" s="1890">
        <f>'Tax Sched 23'!E13</f>
        <v>73150</v>
      </c>
      <c r="D3729" s="2" t="str">
        <f t="shared" si="57"/>
        <v>Error?</v>
      </c>
    </row>
    <row r="3730" spans="1:4" x14ac:dyDescent="0.2">
      <c r="A3730" s="5">
        <v>3669</v>
      </c>
      <c r="B3730" s="1890">
        <f>'ICR Computation 30'!E10</f>
        <v>89921</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7082</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7082</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1701595</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4970213</v>
      </c>
      <c r="C4122" s="2" t="s">
        <v>569</v>
      </c>
      <c r="D4122" s="2" t="str">
        <f t="shared" si="63"/>
        <v>Error?</v>
      </c>
    </row>
    <row r="4123" spans="1:4" x14ac:dyDescent="0.2">
      <c r="A4123" s="5">
        <v>4062</v>
      </c>
      <c r="B4123" s="1890">
        <f>'Acct Summary 7-8'!D10</f>
        <v>318898</v>
      </c>
      <c r="C4123" s="2" t="s">
        <v>569</v>
      </c>
      <c r="D4123" s="2" t="str">
        <f t="shared" si="63"/>
        <v>Error?</v>
      </c>
    </row>
    <row r="4124" spans="1:4" x14ac:dyDescent="0.2">
      <c r="A4124" s="5">
        <v>4063</v>
      </c>
      <c r="B4124" s="1890">
        <f>'Acct Summary 7-8'!E10</f>
        <v>542707</v>
      </c>
      <c r="C4124" s="2" t="s">
        <v>569</v>
      </c>
      <c r="D4124" s="2" t="str">
        <f t="shared" si="63"/>
        <v>Error?</v>
      </c>
    </row>
    <row r="4125" spans="1:4" x14ac:dyDescent="0.2">
      <c r="A4125" s="5">
        <v>4064</v>
      </c>
      <c r="B4125" s="1890">
        <f>'Acct Summary 7-8'!F10</f>
        <v>344109</v>
      </c>
      <c r="C4125" s="2" t="s">
        <v>569</v>
      </c>
      <c r="D4125" s="2" t="str">
        <f t="shared" si="63"/>
        <v>Error?</v>
      </c>
    </row>
    <row r="4126" spans="1:4" x14ac:dyDescent="0.2">
      <c r="A4126" s="5">
        <v>4065</v>
      </c>
      <c r="B4126" s="1890">
        <f>'Acct Summary 7-8'!G10</f>
        <v>158465</v>
      </c>
      <c r="C4126" s="2" t="s">
        <v>569</v>
      </c>
      <c r="D4126" s="2" t="str">
        <f t="shared" si="63"/>
        <v>Error?</v>
      </c>
    </row>
    <row r="4127" spans="1:4" x14ac:dyDescent="0.2">
      <c r="A4127" s="5">
        <v>4066</v>
      </c>
      <c r="B4127" s="1890">
        <f>'Acct Summary 7-8'!H10</f>
        <v>7082</v>
      </c>
      <c r="C4127" s="2" t="s">
        <v>569</v>
      </c>
      <c r="D4127" s="2" t="str">
        <f t="shared" si="63"/>
        <v>Error?</v>
      </c>
    </row>
    <row r="4128" spans="1:4" x14ac:dyDescent="0.2">
      <c r="A4128" s="5">
        <v>4067</v>
      </c>
      <c r="B4128" s="1890">
        <f>'Acct Summary 7-8'!I10</f>
        <v>63780</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63780</v>
      </c>
      <c r="C4130" s="2" t="s">
        <v>569</v>
      </c>
      <c r="D4130" s="2" t="str">
        <f t="shared" si="63"/>
        <v>Error?</v>
      </c>
    </row>
    <row r="4131" spans="1:4" x14ac:dyDescent="0.2">
      <c r="A4131" s="5">
        <v>4070</v>
      </c>
      <c r="B4131" s="1890">
        <f>'Acct Summary 7-8'!C18</f>
        <v>1701595</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4889021</v>
      </c>
      <c r="C4136" s="2" t="s">
        <v>569</v>
      </c>
      <c r="D4136" s="2" t="str">
        <f t="shared" si="63"/>
        <v>Error?</v>
      </c>
    </row>
    <row r="4137" spans="1:4" x14ac:dyDescent="0.2">
      <c r="A4137" s="5">
        <v>4076</v>
      </c>
      <c r="B4137" s="1890">
        <f>'Acct Summary 7-8'!D19</f>
        <v>294766</v>
      </c>
      <c r="C4137" s="2" t="s">
        <v>569</v>
      </c>
      <c r="D4137" s="2" t="str">
        <f t="shared" si="63"/>
        <v>Error?</v>
      </c>
    </row>
    <row r="4138" spans="1:4" x14ac:dyDescent="0.2">
      <c r="A4138" s="5">
        <v>4077</v>
      </c>
      <c r="B4138" s="1890">
        <f>'Acct Summary 7-8'!E19</f>
        <v>557915</v>
      </c>
      <c r="C4138" s="2" t="s">
        <v>569</v>
      </c>
      <c r="D4138" s="2" t="str">
        <f t="shared" si="63"/>
        <v>Error?</v>
      </c>
    </row>
    <row r="4139" spans="1:4" x14ac:dyDescent="0.2">
      <c r="A4139" s="5">
        <v>4078</v>
      </c>
      <c r="B4139" s="1890">
        <f>'Acct Summary 7-8'!F19</f>
        <v>251309</v>
      </c>
      <c r="C4139" s="2" t="s">
        <v>569</v>
      </c>
      <c r="D4139" s="2" t="str">
        <f t="shared" si="63"/>
        <v>Error?</v>
      </c>
    </row>
    <row r="4140" spans="1:4" x14ac:dyDescent="0.2">
      <c r="A4140" s="5">
        <v>4079</v>
      </c>
      <c r="B4140" s="1890">
        <f>'Acct Summary 7-8'!G19</f>
        <v>131050</v>
      </c>
      <c r="C4140" s="2" t="s">
        <v>569</v>
      </c>
      <c r="D4140" s="2" t="str">
        <f t="shared" si="63"/>
        <v>Error?</v>
      </c>
    </row>
    <row r="4141" spans="1:4" x14ac:dyDescent="0.2">
      <c r="A4141" s="5">
        <v>4080</v>
      </c>
      <c r="B4141" s="1890">
        <f>'Acct Summary 7-8'!H19</f>
        <v>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24198</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1731000</v>
      </c>
      <c r="C4171" s="2" t="s">
        <v>569</v>
      </c>
      <c r="D4171" s="2" t="str">
        <f t="shared" si="64"/>
        <v>Error?</v>
      </c>
    </row>
    <row r="4172" spans="1:4" x14ac:dyDescent="0.2">
      <c r="A4172" s="5">
        <v>4111</v>
      </c>
      <c r="B4172" s="1890">
        <f>'Short-Term Long-Term Debt 24'!J49</f>
        <v>1713611</v>
      </c>
      <c r="C4172" s="2" t="s">
        <v>569</v>
      </c>
      <c r="D4172" s="2" t="str">
        <f t="shared" si="64"/>
        <v>Error?</v>
      </c>
    </row>
    <row r="4173" spans="1:4" x14ac:dyDescent="0.2">
      <c r="A4173" s="5">
        <v>4112</v>
      </c>
      <c r="B4173" s="1890">
        <f>'Short-Term Long-Term Debt 24'!H49</f>
        <v>473000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920</v>
      </c>
      <c r="C4265" s="2" t="s">
        <v>569</v>
      </c>
      <c r="D4265" s="2" t="str">
        <f t="shared" si="65"/>
        <v>Error?</v>
      </c>
      <c r="E4265" s="125"/>
    </row>
    <row r="4266" spans="1:5" x14ac:dyDescent="0.2">
      <c r="A4266" s="12">
        <v>4205</v>
      </c>
      <c r="B4266" s="1890">
        <f>('FP Info 3'!F10)*100000</f>
        <v>250</v>
      </c>
      <c r="C4266" s="2" t="s">
        <v>569</v>
      </c>
      <c r="D4266" s="2" t="str">
        <f t="shared" si="65"/>
        <v>Error?</v>
      </c>
      <c r="E4266" s="125"/>
    </row>
    <row r="4267" spans="1:5" x14ac:dyDescent="0.2">
      <c r="A4267" s="12">
        <v>4206</v>
      </c>
      <c r="B4267" s="1890">
        <f>('FP Info 3'!H10)*100000</f>
        <v>119.99999999999999</v>
      </c>
      <c r="C4267" s="2" t="s">
        <v>569</v>
      </c>
      <c r="D4267" s="2" t="str">
        <f t="shared" si="65"/>
        <v>Error?</v>
      </c>
      <c r="E4267" s="125"/>
    </row>
    <row r="4268" spans="1:5" x14ac:dyDescent="0.2">
      <c r="A4268" s="12">
        <v>4207</v>
      </c>
      <c r="B4268" s="1890">
        <f>('FP Info 3'!J10)*100000</f>
        <v>1290</v>
      </c>
      <c r="C4268" s="2" t="s">
        <v>569</v>
      </c>
      <c r="D4268" s="2" t="str">
        <f t="shared" si="65"/>
        <v>Error?</v>
      </c>
    </row>
    <row r="4269" spans="1:5" x14ac:dyDescent="0.2">
      <c r="A4269" s="12">
        <v>4208</v>
      </c>
      <c r="B4269" s="1890">
        <f>'FP Info 3'!J16</f>
        <v>2165130</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2636</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5459</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20128</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22686</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50</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750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131311343</v>
      </c>
      <c r="D4995" s="2" t="str">
        <f t="shared" si="77"/>
        <v>Error?</v>
      </c>
    </row>
    <row r="4996" spans="1:4" x14ac:dyDescent="0.2">
      <c r="A4996" s="12">
        <v>4935</v>
      </c>
      <c r="B4996" s="1890">
        <f>'FP Info 3'!H31</f>
        <v>9060482.6670000013</v>
      </c>
      <c r="D4996" s="2" t="str">
        <f t="shared" si="77"/>
        <v>Error?</v>
      </c>
    </row>
    <row r="4997" spans="1:4" x14ac:dyDescent="0.2">
      <c r="A4997" s="12">
        <v>4936</v>
      </c>
      <c r="B4997" s="1890">
        <f>'FP Info 3'!H37</f>
        <v>1731000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63746</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1172932</v>
      </c>
      <c r="D5061" s="2" t="str">
        <f t="shared" si="78"/>
        <v>Error?</v>
      </c>
    </row>
    <row r="5062" spans="1:4" x14ac:dyDescent="0.2">
      <c r="A5062" s="10">
        <v>5001</v>
      </c>
      <c r="B5062" s="1890"/>
      <c r="D5062" s="2" t="str">
        <f t="shared" si="78"/>
        <v>OK</v>
      </c>
    </row>
    <row r="5063" spans="1:4" x14ac:dyDescent="0.2">
      <c r="A5063" s="5">
        <v>5002</v>
      </c>
      <c r="B5063" s="1890">
        <f>'Revenues 9-14'!C7</f>
        <v>25503</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1262181</v>
      </c>
      <c r="C5066" s="2" t="s">
        <v>569</v>
      </c>
      <c r="D5066" s="2" t="str">
        <f t="shared" si="78"/>
        <v>Error?</v>
      </c>
    </row>
    <row r="5067" spans="1:4" x14ac:dyDescent="0.2">
      <c r="A5067" s="5">
        <v>5006</v>
      </c>
      <c r="B5067" s="1890">
        <f>'Revenues 9-14'!C14</f>
        <v>666</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85655</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86321</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11320</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11320</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69710</v>
      </c>
      <c r="C5096" s="2" t="s">
        <v>569</v>
      </c>
      <c r="D5096" s="2" t="str">
        <f t="shared" si="78"/>
        <v>Error?</v>
      </c>
    </row>
    <row r="5097" spans="1:4" x14ac:dyDescent="0.2">
      <c r="A5097" s="5">
        <v>5036</v>
      </c>
      <c r="B5097" s="1890">
        <f>'Revenues 9-14'!C77</f>
        <v>3361</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9285</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12646</v>
      </c>
      <c r="C5102" s="2" t="s">
        <v>569</v>
      </c>
      <c r="D5102" s="2" t="str">
        <f t="shared" si="78"/>
        <v>Error?</v>
      </c>
    </row>
    <row r="5103" spans="1:4" x14ac:dyDescent="0.2">
      <c r="A5103" s="5">
        <v>5042</v>
      </c>
      <c r="B5103" s="1890">
        <f>'Revenues 9-14'!C84</f>
        <v>75237</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75237</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79209</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14419</v>
      </c>
      <c r="D5119" s="2" t="str">
        <f t="shared" ref="D5119:D5182" si="79">IF(ISBLANK(B5119),"OK",IF(A5119-B5119=0,"OK","Error?"))</f>
        <v>Error?</v>
      </c>
    </row>
    <row r="5120" spans="1:4" x14ac:dyDescent="0.2">
      <c r="A5120" s="5">
        <v>5059</v>
      </c>
      <c r="B5120" s="1890">
        <f>'Revenues 9-14'!C108</f>
        <v>93628</v>
      </c>
      <c r="C5120" s="2" t="s">
        <v>569</v>
      </c>
      <c r="D5120" s="2" t="str">
        <f t="shared" si="79"/>
        <v>Error?</v>
      </c>
    </row>
    <row r="5121" spans="1:4" x14ac:dyDescent="0.2">
      <c r="A5121" s="5">
        <v>5060</v>
      </c>
      <c r="B5121" s="1890">
        <f>'Revenues 9-14'!C109</f>
        <v>1611043</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1183856</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1183856</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0</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0</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1258</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182239</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184247</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1368103</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69692</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20229</v>
      </c>
      <c r="D5241" s="2" t="str">
        <f t="shared" si="80"/>
        <v>Error?</v>
      </c>
    </row>
    <row r="5242" spans="1:4" x14ac:dyDescent="0.2">
      <c r="A5242" s="5">
        <v>5181</v>
      </c>
      <c r="B5242" s="1890">
        <f>'Revenues 9-14'!C194</f>
        <v>4426</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94347</v>
      </c>
      <c r="C5246" s="2" t="s">
        <v>569</v>
      </c>
      <c r="D5246" s="2" t="str">
        <f t="shared" si="80"/>
        <v>Error?</v>
      </c>
    </row>
    <row r="5247" spans="1:4" x14ac:dyDescent="0.2">
      <c r="A5247" s="5">
        <v>5186</v>
      </c>
      <c r="B5247" s="1890">
        <f>'Revenues 9-14'!C200</f>
        <v>87936</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20128</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87936</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9970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46310</v>
      </c>
      <c r="D5278" s="2" t="str">
        <f t="shared" si="81"/>
        <v>Error?</v>
      </c>
    </row>
    <row r="5279" spans="1:4" x14ac:dyDescent="0.2">
      <c r="A5279" s="5">
        <v>5218</v>
      </c>
      <c r="B5279" s="1890">
        <f>'Revenues 9-14'!C214</f>
        <v>0</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56280</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289472</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289472</v>
      </c>
      <c r="C5326" s="2" t="s">
        <v>569</v>
      </c>
      <c r="D5326" s="2" t="str">
        <f t="shared" si="82"/>
        <v>Error?</v>
      </c>
    </row>
    <row r="5327" spans="1:5" x14ac:dyDescent="0.2">
      <c r="A5327" s="5">
        <v>5266</v>
      </c>
      <c r="B5327" s="1890">
        <f>'Revenues 9-14'!C268</f>
        <v>3268618</v>
      </c>
      <c r="C5327" s="2" t="s">
        <v>569</v>
      </c>
      <c r="D5327" s="2" t="str">
        <f t="shared" si="82"/>
        <v>Error?</v>
      </c>
    </row>
    <row r="5328" spans="1:5" x14ac:dyDescent="0.2">
      <c r="A5328" s="5">
        <v>5267</v>
      </c>
      <c r="B5328" s="1890">
        <f>'Revenues 9-14'!D5</f>
        <v>318730</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318730</v>
      </c>
      <c r="C5334" s="2" t="s">
        <v>569</v>
      </c>
      <c r="D5334" s="2" t="str">
        <f t="shared" si="82"/>
        <v>Error?</v>
      </c>
    </row>
    <row r="5335" spans="1:4" x14ac:dyDescent="0.2">
      <c r="A5335" s="5">
        <v>5274</v>
      </c>
      <c r="B5335" s="1890">
        <f>'Revenues 9-14'!D14</f>
        <v>168</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168</v>
      </c>
      <c r="C5339" s="2" t="s">
        <v>569</v>
      </c>
      <c r="D5339" s="2" t="str">
        <f t="shared" si="82"/>
        <v>Error?</v>
      </c>
    </row>
    <row r="5340" spans="1:4" x14ac:dyDescent="0.2">
      <c r="A5340" s="5">
        <v>5279</v>
      </c>
      <c r="B5340" s="1890">
        <f>'Revenues 9-14'!D65</f>
        <v>0</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0</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318898</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318898</v>
      </c>
      <c r="C5508" s="2" t="s">
        <v>569</v>
      </c>
      <c r="D5508" s="2" t="str">
        <f t="shared" si="85"/>
        <v>Error?</v>
      </c>
    </row>
    <row r="5509" spans="1:4" x14ac:dyDescent="0.2">
      <c r="A5509" s="5">
        <v>5448</v>
      </c>
      <c r="B5509" s="1890">
        <f>'Revenues 9-14'!E5</f>
        <v>542608</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542608</v>
      </c>
      <c r="C5513" s="2" t="s">
        <v>569</v>
      </c>
      <c r="D5513" s="2" t="str">
        <f t="shared" si="85"/>
        <v>Error?</v>
      </c>
    </row>
    <row r="5514" spans="1:4" x14ac:dyDescent="0.2">
      <c r="A5514" s="5">
        <v>5453</v>
      </c>
      <c r="B5514" s="1890">
        <f>'Revenues 9-14'!E14</f>
        <v>99</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99</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542707</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542707</v>
      </c>
      <c r="C5552" s="2" t="s">
        <v>569</v>
      </c>
      <c r="D5552" s="2" t="str">
        <f t="shared" si="85"/>
        <v>Error?</v>
      </c>
    </row>
    <row r="5553" spans="1:4" x14ac:dyDescent="0.2">
      <c r="A5553" s="5">
        <v>5492</v>
      </c>
      <c r="B5553" s="1890">
        <f>'Revenues 9-14'!F5</f>
        <v>152995</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152995</v>
      </c>
      <c r="C5557" s="2" t="s">
        <v>569</v>
      </c>
      <c r="D5557" s="2" t="str">
        <f t="shared" si="85"/>
        <v>Error?</v>
      </c>
    </row>
    <row r="5558" spans="1:4" x14ac:dyDescent="0.2">
      <c r="A5558" s="5">
        <v>5497</v>
      </c>
      <c r="B5558" s="1890">
        <f>'Revenues 9-14'!F14</f>
        <v>81</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81</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142755</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142755</v>
      </c>
      <c r="C5579" s="2" t="s">
        <v>569</v>
      </c>
      <c r="D5579" s="2" t="str">
        <f t="shared" si="86"/>
        <v>Error?</v>
      </c>
    </row>
    <row r="5580" spans="1:4" x14ac:dyDescent="0.2">
      <c r="A5580" s="5">
        <v>5519</v>
      </c>
      <c r="B5580" s="1890">
        <f>'Revenues 9-14'!F65</f>
        <v>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0</v>
      </c>
      <c r="D5586" s="2" t="str">
        <f t="shared" si="86"/>
        <v>Error?</v>
      </c>
    </row>
    <row r="5587" spans="1:4" x14ac:dyDescent="0.2">
      <c r="A5587" s="5">
        <v>5526</v>
      </c>
      <c r="B5587" s="1890">
        <f>'Revenues 9-14'!F108</f>
        <v>0</v>
      </c>
      <c r="C5587" s="2" t="s">
        <v>569</v>
      </c>
      <c r="D5587" s="2" t="str">
        <f t="shared" si="86"/>
        <v>Error?</v>
      </c>
    </row>
    <row r="5588" spans="1:4" x14ac:dyDescent="0.2">
      <c r="A5588" s="5">
        <v>5527</v>
      </c>
      <c r="B5588" s="1890">
        <f>'Revenues 9-14'!F109</f>
        <v>295831</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20134</v>
      </c>
      <c r="D5615" s="2" t="str">
        <f t="shared" si="86"/>
        <v>Error?</v>
      </c>
    </row>
    <row r="5616" spans="1:4" x14ac:dyDescent="0.2">
      <c r="A5616" s="10">
        <v>5555</v>
      </c>
      <c r="B5616" s="1890"/>
      <c r="D5616" s="2" t="str">
        <f t="shared" si="86"/>
        <v>OK</v>
      </c>
    </row>
    <row r="5617" spans="1:5" x14ac:dyDescent="0.2">
      <c r="A5617" s="5">
        <v>5556</v>
      </c>
      <c r="B5617" s="1890">
        <f>'Revenues 9-14'!F153</f>
        <v>28144</v>
      </c>
      <c r="D5617" s="2" t="str">
        <f t="shared" si="86"/>
        <v>Error?</v>
      </c>
    </row>
    <row r="5618" spans="1:5" x14ac:dyDescent="0.2">
      <c r="A5618" s="5">
        <v>5557</v>
      </c>
      <c r="B5618" s="1890">
        <f>'Revenues 9-14'!F155</f>
        <v>48278</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48278</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48278</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344109</v>
      </c>
      <c r="C5720" s="2" t="s">
        <v>569</v>
      </c>
      <c r="D5720" s="2" t="str">
        <f t="shared" si="88"/>
        <v>Error?</v>
      </c>
    </row>
    <row r="5721" spans="1:4" x14ac:dyDescent="0.2">
      <c r="A5721" s="5">
        <v>5660</v>
      </c>
      <c r="B5721" s="1890">
        <f>'Revenues 9-14'!G5</f>
        <v>79195</v>
      </c>
      <c r="D5721" s="2" t="str">
        <f t="shared" si="88"/>
        <v>Error?</v>
      </c>
    </row>
    <row r="5722" spans="1:4" x14ac:dyDescent="0.2">
      <c r="A5722" s="5">
        <v>5661</v>
      </c>
      <c r="B5722" s="1890">
        <f>'Revenues 9-14'!G7</f>
        <v>0</v>
      </c>
      <c r="D5722" s="2" t="str">
        <f t="shared" si="88"/>
        <v>Error?</v>
      </c>
    </row>
    <row r="5723" spans="1:4" x14ac:dyDescent="0.2">
      <c r="A5723" s="5">
        <v>5662</v>
      </c>
      <c r="B5723" s="1890">
        <f>'Revenues 9-14'!G8</f>
        <v>79195</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158390</v>
      </c>
      <c r="C5725" s="2" t="s">
        <v>569</v>
      </c>
      <c r="D5725" s="2" t="str">
        <f t="shared" si="88"/>
        <v>Error?</v>
      </c>
    </row>
    <row r="5726" spans="1:4" x14ac:dyDescent="0.2">
      <c r="A5726" s="5">
        <v>5665</v>
      </c>
      <c r="B5726" s="1890">
        <f>'Revenues 9-14'!G14</f>
        <v>75</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75</v>
      </c>
      <c r="C5730" s="2" t="s">
        <v>569</v>
      </c>
      <c r="D5730" s="2" t="str">
        <f t="shared" si="88"/>
        <v>Error?</v>
      </c>
    </row>
    <row r="5731" spans="1:4" x14ac:dyDescent="0.2">
      <c r="A5731" s="5">
        <v>5670</v>
      </c>
      <c r="B5731" s="1890">
        <f>'Revenues 9-14'!G65</f>
        <v>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158465</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7082</v>
      </c>
      <c r="D5872" s="2" t="str">
        <f t="shared" si="90"/>
        <v>Error?</v>
      </c>
    </row>
    <row r="5873" spans="1:4" x14ac:dyDescent="0.2">
      <c r="A5873" s="5">
        <v>5812</v>
      </c>
      <c r="B5873" s="1890">
        <f>'Revenues 9-14'!H12</f>
        <v>7082</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7082</v>
      </c>
      <c r="C5915" s="2" t="s">
        <v>569</v>
      </c>
      <c r="D5915" s="2" t="str">
        <f t="shared" si="91"/>
        <v>Error?</v>
      </c>
    </row>
    <row r="5916" spans="1:4" x14ac:dyDescent="0.2">
      <c r="A5916" s="5">
        <v>5855</v>
      </c>
      <c r="B5916" s="1890">
        <f>'Revenues 9-14'!I5</f>
        <v>63746</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63746</v>
      </c>
      <c r="C5918" s="2" t="s">
        <v>569</v>
      </c>
      <c r="D5918" s="2" t="str">
        <f t="shared" si="91"/>
        <v>Error?</v>
      </c>
    </row>
    <row r="5919" spans="1:4" x14ac:dyDescent="0.2">
      <c r="A5919" s="5">
        <v>5858</v>
      </c>
      <c r="B5919" s="1890">
        <f>'Revenues 9-14'!I14</f>
        <v>34</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34</v>
      </c>
      <c r="C5923" s="2" t="s">
        <v>569</v>
      </c>
      <c r="D5923" s="2" t="str">
        <f t="shared" si="91"/>
        <v>Error?</v>
      </c>
    </row>
    <row r="5924" spans="1:4" x14ac:dyDescent="0.2">
      <c r="A5924" s="5">
        <v>5863</v>
      </c>
      <c r="B5924" s="1890">
        <f>'Revenues 9-14'!I65</f>
        <v>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63780</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63746</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63746</v>
      </c>
      <c r="C5987" s="2" t="s">
        <v>569</v>
      </c>
      <c r="D5987" s="2" t="str">
        <f t="shared" si="92"/>
        <v>Error?</v>
      </c>
    </row>
    <row r="5988" spans="1:4" x14ac:dyDescent="0.2">
      <c r="A5988" s="5">
        <v>5927</v>
      </c>
      <c r="B5988" s="1890">
        <f>'Revenues 9-14'!K14</f>
        <v>34</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34</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63780</v>
      </c>
      <c r="C6023" s="2" t="s">
        <v>569</v>
      </c>
      <c r="D6023" s="2" t="str">
        <f t="shared" si="93"/>
        <v>Error?</v>
      </c>
    </row>
    <row r="6024" spans="1:5" x14ac:dyDescent="0.2">
      <c r="A6024" s="5">
        <v>5963</v>
      </c>
      <c r="B6024" s="1890">
        <f>'Revenues 9-14'!G109</f>
        <v>158465</v>
      </c>
      <c r="C6024" s="2" t="s">
        <v>569</v>
      </c>
      <c r="D6024" s="2" t="str">
        <f t="shared" si="93"/>
        <v>Error?</v>
      </c>
    </row>
    <row r="6025" spans="1:5" x14ac:dyDescent="0.2">
      <c r="A6025" s="5">
        <v>5964</v>
      </c>
      <c r="B6025" s="1890">
        <f>'Revenues 9-14'!H109</f>
        <v>7082</v>
      </c>
      <c r="C6025" s="2" t="s">
        <v>569</v>
      </c>
      <c r="D6025" s="2" t="str">
        <f t="shared" si="93"/>
        <v>Error?</v>
      </c>
    </row>
    <row r="6026" spans="1:5" x14ac:dyDescent="0.2">
      <c r="A6026" s="5">
        <v>5965</v>
      </c>
      <c r="B6026" s="1890">
        <f>'Revenues 9-14'!I109</f>
        <v>63780</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63780</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69710</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19684</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560.79999999999995</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250441</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250441</v>
      </c>
      <c r="D6215" s="2" t="str">
        <f t="shared" si="96"/>
        <v>Error?</v>
      </c>
      <c r="E6215" s="2" t="s">
        <v>189</v>
      </c>
    </row>
    <row r="6216" spans="1:5" x14ac:dyDescent="0.2">
      <c r="A6216">
        <v>6155</v>
      </c>
      <c r="B6216" s="1890">
        <f>'Assets-Liab 5-6'!J41</f>
        <v>250441</v>
      </c>
      <c r="D6216" s="2" t="str">
        <f t="shared" si="96"/>
        <v>Error?</v>
      </c>
      <c r="E6216" s="2" t="s">
        <v>189</v>
      </c>
    </row>
    <row r="6217" spans="1:5" x14ac:dyDescent="0.2">
      <c r="A6217">
        <v>6156</v>
      </c>
      <c r="B6217" s="1890">
        <f>'Assets-Liab 5-6'!J4</f>
        <v>250441</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426790</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426790</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426790</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385726</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385726</v>
      </c>
      <c r="D6229" s="2" t="str">
        <f t="shared" si="96"/>
        <v>Error?</v>
      </c>
      <c r="E6229" s="2" t="s">
        <v>189</v>
      </c>
    </row>
    <row r="6230" spans="1:5" x14ac:dyDescent="0.2">
      <c r="A6230">
        <v>6169</v>
      </c>
      <c r="B6230" s="1890">
        <f>'Acct Summary 7-8'!J20</f>
        <v>41064</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100000</v>
      </c>
      <c r="D6260" s="2" t="str">
        <f t="shared" si="96"/>
        <v>Error?</v>
      </c>
      <c r="E6260" s="2" t="s">
        <v>189</v>
      </c>
    </row>
    <row r="6261" spans="1:5" x14ac:dyDescent="0.2">
      <c r="A6261">
        <v>6200</v>
      </c>
      <c r="B6261" s="1890">
        <f>'Acct Summary 7-8'!J76</f>
        <v>100000</v>
      </c>
      <c r="D6261" s="2" t="str">
        <f t="shared" si="96"/>
        <v>Error?</v>
      </c>
      <c r="E6261" s="2" t="s">
        <v>189</v>
      </c>
    </row>
    <row r="6262" spans="1:5" x14ac:dyDescent="0.2">
      <c r="A6262">
        <v>6201</v>
      </c>
      <c r="B6262" s="1890">
        <f>'Acct Summary 7-8'!J77</f>
        <v>-100000</v>
      </c>
      <c r="D6262" s="2" t="str">
        <f t="shared" si="96"/>
        <v>Error?</v>
      </c>
      <c r="E6262" s="2" t="s">
        <v>189</v>
      </c>
    </row>
    <row r="6263" spans="1:5" x14ac:dyDescent="0.2">
      <c r="A6263">
        <v>6202</v>
      </c>
      <c r="B6263" s="1890">
        <f>'Acct Summary 7-8'!J78</f>
        <v>-58936</v>
      </c>
      <c r="D6263" s="2" t="str">
        <f t="shared" si="96"/>
        <v>Error?</v>
      </c>
      <c r="E6263" s="2" t="s">
        <v>189</v>
      </c>
    </row>
    <row r="6264" spans="1:5" x14ac:dyDescent="0.2">
      <c r="A6264">
        <v>6203</v>
      </c>
      <c r="B6264" s="1890">
        <f>'Acct Summary 7-8'!J79</f>
        <v>309377</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250441</v>
      </c>
      <c r="D6266" s="2" t="str">
        <f t="shared" si="96"/>
        <v>Error?</v>
      </c>
      <c r="E6266" s="2" t="s">
        <v>189</v>
      </c>
    </row>
    <row r="6267" spans="1:5" x14ac:dyDescent="0.2">
      <c r="A6267">
        <v>6206</v>
      </c>
      <c r="B6267" s="1890">
        <f>'Acct Summary 7-8'!C82</f>
        <v>81192</v>
      </c>
      <c r="D6267" s="2" t="str">
        <f t="shared" si="96"/>
        <v>Error?</v>
      </c>
      <c r="E6267" s="2" t="s">
        <v>189</v>
      </c>
    </row>
    <row r="6268" spans="1:5" x14ac:dyDescent="0.2">
      <c r="A6268">
        <v>6207</v>
      </c>
      <c r="B6268" s="1890">
        <f>'Acct Summary 7-8'!D82</f>
        <v>124132</v>
      </c>
      <c r="D6268" s="2" t="str">
        <f t="shared" si="96"/>
        <v>Error?</v>
      </c>
      <c r="E6268" s="2" t="s">
        <v>189</v>
      </c>
    </row>
    <row r="6269" spans="1:5" x14ac:dyDescent="0.2">
      <c r="A6269">
        <v>6208</v>
      </c>
      <c r="B6269" s="1890">
        <f>'Acct Summary 7-8'!E82</f>
        <v>-15208</v>
      </c>
      <c r="D6269" s="2" t="str">
        <f t="shared" si="96"/>
        <v>Error?</v>
      </c>
      <c r="E6269" s="2" t="s">
        <v>189</v>
      </c>
    </row>
    <row r="6270" spans="1:5" x14ac:dyDescent="0.2">
      <c r="A6270">
        <v>6209</v>
      </c>
      <c r="B6270" s="1890">
        <f>'Acct Summary 7-8'!F82</f>
        <v>92800</v>
      </c>
      <c r="D6270" s="2" t="str">
        <f t="shared" si="96"/>
        <v>Error?</v>
      </c>
      <c r="E6270" s="2" t="s">
        <v>189</v>
      </c>
    </row>
    <row r="6271" spans="1:5" x14ac:dyDescent="0.2">
      <c r="A6271">
        <v>6210</v>
      </c>
      <c r="B6271" s="1890">
        <f>'Acct Summary 7-8'!G82</f>
        <v>27415</v>
      </c>
      <c r="D6271" s="2" t="str">
        <f t="shared" ref="D6271:D6334" si="97">IF(ISBLANK(B6271),"OK",IF(A6271-B6271=0,"OK","Error?"))</f>
        <v>Error?</v>
      </c>
      <c r="E6271" s="2" t="s">
        <v>189</v>
      </c>
    </row>
    <row r="6272" spans="1:5" x14ac:dyDescent="0.2">
      <c r="A6272">
        <v>6211</v>
      </c>
      <c r="B6272" s="1890">
        <f>'Acct Summary 7-8'!H82</f>
        <v>7082</v>
      </c>
      <c r="D6272" s="2" t="str">
        <f t="shared" si="97"/>
        <v>Error?</v>
      </c>
      <c r="E6272" s="2" t="s">
        <v>189</v>
      </c>
    </row>
    <row r="6273" spans="1:5" x14ac:dyDescent="0.2">
      <c r="A6273">
        <v>6212</v>
      </c>
      <c r="B6273" s="1890">
        <f>'Acct Summary 7-8'!I82</f>
        <v>63780</v>
      </c>
      <c r="D6273" s="2" t="str">
        <f t="shared" si="97"/>
        <v>Error?</v>
      </c>
      <c r="E6273" s="2" t="s">
        <v>189</v>
      </c>
    </row>
    <row r="6274" spans="1:5" x14ac:dyDescent="0.2">
      <c r="A6274">
        <v>6213</v>
      </c>
      <c r="B6274" s="1890">
        <f>'Acct Summary 7-8'!J82</f>
        <v>-58936</v>
      </c>
      <c r="D6274" s="2" t="str">
        <f t="shared" si="97"/>
        <v>Error?</v>
      </c>
      <c r="E6274" s="2" t="s">
        <v>189</v>
      </c>
    </row>
    <row r="6275" spans="1:5" x14ac:dyDescent="0.2">
      <c r="A6275">
        <v>6214</v>
      </c>
      <c r="B6275" s="1890">
        <f>'Acct Summary 7-8'!K82</f>
        <v>39582</v>
      </c>
      <c r="D6275" s="2" t="str">
        <f t="shared" si="97"/>
        <v>Error?</v>
      </c>
      <c r="E6275" s="2" t="s">
        <v>189</v>
      </c>
    </row>
    <row r="6276" spans="1:5" x14ac:dyDescent="0.2">
      <c r="A6276">
        <v>6215</v>
      </c>
      <c r="B6276" s="1890">
        <f>'Acct Summary 7-8'!C83</f>
        <v>0.21906542661259643</v>
      </c>
      <c r="D6276" s="2" t="str">
        <f t="shared" si="97"/>
        <v>Error?</v>
      </c>
      <c r="E6276" s="2" t="s">
        <v>189</v>
      </c>
    </row>
    <row r="6277" spans="1:5" x14ac:dyDescent="0.2">
      <c r="A6277">
        <v>6216</v>
      </c>
      <c r="B6277" s="1890">
        <f>'Acct Summary 7-8'!D83</f>
        <v>0.70275197155748792</v>
      </c>
      <c r="D6277" s="2" t="str">
        <f t="shared" si="97"/>
        <v>Error?</v>
      </c>
      <c r="E6277" s="2" t="s">
        <v>189</v>
      </c>
    </row>
    <row r="6278" spans="1:5" x14ac:dyDescent="0.2">
      <c r="A6278">
        <v>6217</v>
      </c>
      <c r="B6278" s="1890">
        <f>'Acct Summary 7-8'!E83</f>
        <v>-0.87457588130427277</v>
      </c>
      <c r="D6278" s="2" t="str">
        <f t="shared" si="97"/>
        <v>Error?</v>
      </c>
      <c r="E6278" s="2" t="s">
        <v>189</v>
      </c>
    </row>
    <row r="6279" spans="1:5" x14ac:dyDescent="0.2">
      <c r="A6279">
        <v>6218</v>
      </c>
      <c r="B6279" s="1890">
        <f>'Acct Summary 7-8'!F83</f>
        <v>0.14751091231048505</v>
      </c>
      <c r="D6279" s="2" t="str">
        <f t="shared" si="97"/>
        <v>Error?</v>
      </c>
      <c r="E6279" s="2" t="s">
        <v>189</v>
      </c>
    </row>
    <row r="6280" spans="1:5" x14ac:dyDescent="0.2">
      <c r="A6280">
        <v>6219</v>
      </c>
      <c r="B6280" s="1890">
        <f>'Acct Summary 7-8'!G83</f>
        <v>0.18425173565605446</v>
      </c>
      <c r="D6280" s="2" t="str">
        <f t="shared" si="97"/>
        <v>Error?</v>
      </c>
      <c r="E6280" s="2" t="s">
        <v>189</v>
      </c>
    </row>
    <row r="6281" spans="1:5" x14ac:dyDescent="0.2">
      <c r="A6281">
        <v>6220</v>
      </c>
      <c r="B6281" s="1890">
        <f>'Acct Summary 7-8'!H83</f>
        <v>0.4063809031961898</v>
      </c>
      <c r="D6281" s="2" t="str">
        <f t="shared" si="97"/>
        <v>Error?</v>
      </c>
      <c r="E6281" s="2" t="s">
        <v>189</v>
      </c>
    </row>
    <row r="6282" spans="1:5" x14ac:dyDescent="0.2">
      <c r="A6282">
        <v>6221</v>
      </c>
      <c r="B6282" s="1890">
        <f>'Acct Summary 7-8'!I83</f>
        <v>6.450516708840788E-2</v>
      </c>
      <c r="D6282" s="2" t="str">
        <f t="shared" si="97"/>
        <v>Error?</v>
      </c>
      <c r="E6282" s="2" t="s">
        <v>189</v>
      </c>
    </row>
    <row r="6283" spans="1:5" x14ac:dyDescent="0.2">
      <c r="A6283">
        <v>6222</v>
      </c>
      <c r="B6283" s="1890">
        <f>'Acct Summary 7-8'!J83</f>
        <v>-0.23532887985593412</v>
      </c>
      <c r="D6283" s="2" t="str">
        <f t="shared" si="97"/>
        <v>Error?</v>
      </c>
      <c r="E6283" s="2" t="s">
        <v>189</v>
      </c>
    </row>
    <row r="6284" spans="1:5" x14ac:dyDescent="0.2">
      <c r="A6284">
        <v>6223</v>
      </c>
      <c r="B6284" s="1890">
        <f>'Acct Summary 7-8'!K83</f>
        <v>0.16583918852675372</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426663</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426663</v>
      </c>
      <c r="D6301" s="2" t="str">
        <f t="shared" si="97"/>
        <v>Error?</v>
      </c>
      <c r="E6301" s="2" t="s">
        <v>189</v>
      </c>
    </row>
    <row r="6302" spans="1:5" x14ac:dyDescent="0.2">
      <c r="A6302">
        <v>6241</v>
      </c>
      <c r="B6302" s="1890">
        <f>'Revenues 9-14'!J14</f>
        <v>127</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127</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0</v>
      </c>
      <c r="D6350" s="2" t="str">
        <f t="shared" si="98"/>
        <v>Error?</v>
      </c>
      <c r="E6350" s="2" t="s">
        <v>189</v>
      </c>
    </row>
    <row r="6351" spans="1:5" x14ac:dyDescent="0.2">
      <c r="A6351">
        <v>6290</v>
      </c>
      <c r="B6351" s="1890">
        <f>'Revenues 9-14'!J108</f>
        <v>0</v>
      </c>
      <c r="D6351" s="2" t="str">
        <f t="shared" si="98"/>
        <v>Error?</v>
      </c>
      <c r="E6351" s="2" t="s">
        <v>189</v>
      </c>
    </row>
    <row r="6352" spans="1:5" x14ac:dyDescent="0.2">
      <c r="A6352">
        <v>6291</v>
      </c>
      <c r="B6352" s="1890">
        <f>'Revenues 9-14'!J109</f>
        <v>426790</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89367</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122177</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385726</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426790</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4581</v>
      </c>
      <c r="D7073" s="2" t="str">
        <f t="shared" si="109"/>
        <v>Error?</v>
      </c>
    </row>
    <row r="7074" spans="1:4" x14ac:dyDescent="0.2">
      <c r="A7074">
        <v>7013</v>
      </c>
      <c r="B7074" s="1890">
        <f>'Expenditures 15-22'!K216</f>
        <v>4581</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14554</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14554</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36494</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36494</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331866</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2152</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334018</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660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660</v>
      </c>
      <c r="D7198" s="2" t="str">
        <f t="shared" si="111"/>
        <v>Error?</v>
      </c>
    </row>
    <row r="7199" spans="1:4" x14ac:dyDescent="0.2">
      <c r="A7199">
        <v>7138</v>
      </c>
      <c r="B7199" s="1890">
        <f>'Expenditures 15-22'!C330</f>
        <v>331866</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53860</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385726</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331866</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53860</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385726</v>
      </c>
      <c r="D7224" s="2" t="str">
        <f t="shared" si="111"/>
        <v>Error?</v>
      </c>
    </row>
    <row r="7225" spans="1:4" x14ac:dyDescent="0.2">
      <c r="A7225">
        <v>7164</v>
      </c>
      <c r="B7225" s="1890">
        <f>'Expenditures 15-22'!K343</f>
        <v>41064</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14575</v>
      </c>
      <c r="D7246" s="2" t="str">
        <f t="shared" si="112"/>
        <v>Error?</v>
      </c>
    </row>
    <row r="7247" spans="1:4" x14ac:dyDescent="0.2">
      <c r="A7247">
        <f t="shared" si="113"/>
        <v>7186</v>
      </c>
      <c r="B7247" s="1890">
        <f>'Expenditures 15-22'!E7</f>
        <v>3446</v>
      </c>
      <c r="D7247" s="2" t="str">
        <f t="shared" si="112"/>
        <v>Error?</v>
      </c>
    </row>
    <row r="7248" spans="1:4" x14ac:dyDescent="0.2">
      <c r="A7248">
        <f t="shared" si="113"/>
        <v>7187</v>
      </c>
      <c r="B7248" s="1890">
        <f>'Expenditures 15-22'!F7</f>
        <v>8252</v>
      </c>
      <c r="D7248" s="2" t="str">
        <f t="shared" si="112"/>
        <v>Error?</v>
      </c>
    </row>
    <row r="7249" spans="1:4" x14ac:dyDescent="0.2">
      <c r="A7249">
        <f t="shared" si="113"/>
        <v>7188</v>
      </c>
      <c r="B7249" s="1890">
        <f>'Expenditures 15-22'!G7</f>
        <v>6537</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212894</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25503</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3859000</v>
      </c>
      <c r="D7817" s="2" t="str">
        <f t="shared" si="128"/>
        <v>Error?</v>
      </c>
      <c r="E7817" s="4" t="s">
        <v>1969</v>
      </c>
    </row>
    <row r="7818" spans="1:5" x14ac:dyDescent="0.2">
      <c r="A7818">
        <v>7757</v>
      </c>
      <c r="B7818" s="1890">
        <f>'PCTC-OEPP 27-28'!F172</f>
        <v>155831</v>
      </c>
      <c r="D7818" s="2" t="str">
        <f t="shared" si="128"/>
        <v>Error?</v>
      </c>
      <c r="E7818" s="4" t="s">
        <v>1983</v>
      </c>
    </row>
    <row r="7819" spans="1:5" x14ac:dyDescent="0.2">
      <c r="A7819">
        <v>7758</v>
      </c>
      <c r="B7819" s="1890">
        <f>'PCTC-OEPP 27-28'!F173</f>
        <v>1252</v>
      </c>
      <c r="D7819" s="2" t="str">
        <f t="shared" si="128"/>
        <v>Error?</v>
      </c>
      <c r="E7819" s="4" t="s">
        <v>1983</v>
      </c>
    </row>
    <row r="7820" spans="1:5" x14ac:dyDescent="0.2">
      <c r="A7820">
        <v>7759</v>
      </c>
      <c r="B7820" s="1890">
        <f>'ICR Computation 30'!E40</f>
        <v>-74669</v>
      </c>
      <c r="D7820" s="2" t="str">
        <f t="shared" si="128"/>
        <v>Error?</v>
      </c>
    </row>
    <row r="7821" spans="1:5" x14ac:dyDescent="0.2">
      <c r="A7821">
        <v>7760</v>
      </c>
      <c r="B7821" s="1890">
        <f>'ICR Computation 30'!G40</f>
        <v>-74669</v>
      </c>
      <c r="D7821" s="2" t="str">
        <f t="shared" si="128"/>
        <v>Error?</v>
      </c>
    </row>
    <row r="7822" spans="1:5" x14ac:dyDescent="0.2">
      <c r="A7822" s="1">
        <v>7761</v>
      </c>
      <c r="B7822" s="1890">
        <f>'PCTC-OEPP 27-28'!F14</f>
        <v>4808192</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115640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0</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727478</v>
      </c>
      <c r="D7834" s="2" t="str">
        <f t="shared" si="129"/>
        <v>Error?</v>
      </c>
      <c r="E7834" s="4" t="s">
        <v>2001</v>
      </c>
    </row>
    <row r="7835" spans="1:5" x14ac:dyDescent="0.2">
      <c r="A7835">
        <v>7774</v>
      </c>
      <c r="B7835" s="1890">
        <f>'PCTC-OEPP 27-28'!F78</f>
        <v>4080714</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7276.5941512125537</v>
      </c>
      <c r="D7837" s="2" t="str">
        <f t="shared" si="129"/>
        <v>Error?</v>
      </c>
      <c r="E7837" s="4" t="s">
        <v>2001</v>
      </c>
    </row>
    <row r="7838" spans="1:5" x14ac:dyDescent="0.2">
      <c r="A7838">
        <v>7777</v>
      </c>
      <c r="B7838" s="1890">
        <f>'PCTC-OEPP 27-28'!F96</f>
        <v>12646</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0</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48278</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750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94347</v>
      </c>
      <c r="D7858" s="2" t="str">
        <f t="shared" si="129"/>
        <v>Error?</v>
      </c>
      <c r="E7858" s="4" t="s">
        <v>2001</v>
      </c>
    </row>
    <row r="7859" spans="1:5" x14ac:dyDescent="0.2">
      <c r="A7859">
        <v>7798</v>
      </c>
      <c r="B7859" s="1890">
        <f>'PCTC-OEPP 27-28'!F127</f>
        <v>87936</v>
      </c>
      <c r="D7859" s="2" t="str">
        <f t="shared" si="129"/>
        <v>Error?</v>
      </c>
      <c r="E7859" s="4" t="s">
        <v>2001</v>
      </c>
    </row>
    <row r="7860" spans="1:5" x14ac:dyDescent="0.2">
      <c r="A7860">
        <v>7799</v>
      </c>
      <c r="B7860" s="1890">
        <f>'PCTC-OEPP 27-28'!F128</f>
        <v>20128</v>
      </c>
      <c r="D7860" s="2" t="str">
        <f t="shared" si="129"/>
        <v>Error?</v>
      </c>
      <c r="E7860" s="4" t="s">
        <v>2001</v>
      </c>
    </row>
    <row r="7861" spans="1:5" x14ac:dyDescent="0.2">
      <c r="A7861">
        <v>7800</v>
      </c>
      <c r="B7861" s="1890">
        <f>'PCTC-OEPP 27-28'!F129</f>
        <v>46310</v>
      </c>
      <c r="D7861" s="2" t="str">
        <f t="shared" si="129"/>
        <v>Error?</v>
      </c>
      <c r="E7861" s="4" t="s">
        <v>2001</v>
      </c>
    </row>
    <row r="7862" spans="1:5" x14ac:dyDescent="0.2">
      <c r="A7862">
        <v>7801</v>
      </c>
      <c r="B7862" s="1890">
        <f>'PCTC-OEPP 27-28'!F130</f>
        <v>0</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22686</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2636</v>
      </c>
      <c r="D7874" s="2" t="str">
        <f t="shared" si="129"/>
        <v>Error?</v>
      </c>
      <c r="E7874" s="4" t="s">
        <v>2001</v>
      </c>
    </row>
    <row r="7875" spans="1:5" x14ac:dyDescent="0.2">
      <c r="A7875">
        <v>7814</v>
      </c>
      <c r="B7875" s="1890">
        <f>'PCTC-OEPP 27-28'!F170</f>
        <v>5459</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787219</v>
      </c>
      <c r="D7877" s="2" t="str">
        <f t="shared" si="129"/>
        <v>Error?</v>
      </c>
      <c r="E7877" s="4" t="s">
        <v>2001</v>
      </c>
    </row>
    <row r="7878" spans="1:5" x14ac:dyDescent="0.2">
      <c r="A7878">
        <v>7817</v>
      </c>
      <c r="B7878" s="1890">
        <f>'PCTC-OEPP 27-28'!F176</f>
        <v>3293495</v>
      </c>
      <c r="D7878" s="2" t="str">
        <f t="shared" si="129"/>
        <v>Error?</v>
      </c>
      <c r="E7878" s="4" t="s">
        <v>2001</v>
      </c>
    </row>
    <row r="7879" spans="1:5" x14ac:dyDescent="0.2">
      <c r="A7879">
        <v>7818</v>
      </c>
      <c r="B7879" s="1890">
        <f>'PCTC-OEPP 27-28'!F178</f>
        <v>3506389</v>
      </c>
      <c r="D7879" s="2" t="str">
        <f t="shared" si="129"/>
        <v>Error?</v>
      </c>
      <c r="E7879" s="4" t="s">
        <v>2001</v>
      </c>
    </row>
    <row r="7880" spans="1:5" x14ac:dyDescent="0.2">
      <c r="A7880">
        <v>7819</v>
      </c>
      <c r="B7880" s="1890">
        <f>'PCTC-OEPP 27-28'!F180</f>
        <v>6252.4768188302432</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C49" sqref="C49"/>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45" t="s">
        <v>1183</v>
      </c>
      <c r="B2" s="2445"/>
      <c r="C2" s="2445"/>
      <c r="D2" s="2445"/>
      <c r="E2" s="2445"/>
      <c r="F2" s="2445"/>
      <c r="G2" s="2445"/>
      <c r="H2" s="2445"/>
      <c r="I2" s="2445"/>
      <c r="J2" s="2445"/>
      <c r="K2" s="2445"/>
      <c r="L2" s="2445"/>
    </row>
    <row r="3" spans="1:29" ht="13.5" customHeight="1" x14ac:dyDescent="0.2">
      <c r="A3" s="2477" t="s">
        <v>1182</v>
      </c>
      <c r="B3" s="2477"/>
      <c r="C3" s="2477"/>
      <c r="D3" s="2477"/>
      <c r="E3" s="2477"/>
      <c r="F3" s="2477"/>
      <c r="G3" s="2477"/>
      <c r="H3" s="2477"/>
      <c r="I3" s="2477"/>
      <c r="J3" s="2477"/>
      <c r="K3" s="2477"/>
      <c r="L3" s="2477"/>
    </row>
    <row r="4" spans="1:29" ht="13.5" customHeight="1" x14ac:dyDescent="0.2">
      <c r="A4" s="2466" t="str">
        <f>"Year Ending June 30, "&amp;'AFR20'!E2</f>
        <v>Year Ending June 30, 2020</v>
      </c>
      <c r="B4" s="2467"/>
      <c r="C4" s="2467"/>
      <c r="D4" s="2467"/>
      <c r="E4" s="2467"/>
      <c r="F4" s="2467"/>
      <c r="G4" s="2467"/>
      <c r="H4" s="2467"/>
      <c r="I4" s="2467"/>
      <c r="J4" s="2467"/>
      <c r="K4" s="2467"/>
      <c r="L4" s="2467"/>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68" t="str">
        <f>COVER!A17</f>
        <v>Breese SD 12</v>
      </c>
      <c r="B7" s="2469"/>
      <c r="C7" s="2469"/>
      <c r="D7" s="2470"/>
      <c r="E7" s="2471">
        <f>COVER!A13</f>
        <v>13014012004</v>
      </c>
      <c r="F7" s="2472"/>
      <c r="G7" s="2478" t="str">
        <f>COVER!T23</f>
        <v>065-026956</v>
      </c>
      <c r="H7" s="2479"/>
      <c r="I7" s="2479"/>
      <c r="J7" s="2479"/>
      <c r="K7" s="2479"/>
      <c r="L7" s="2480"/>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81"/>
      <c r="B9" s="2482"/>
      <c r="C9" s="2482"/>
      <c r="D9" s="2482"/>
      <c r="E9" s="2482"/>
      <c r="F9" s="2483"/>
      <c r="G9" s="2451" t="str">
        <f>COVER!T13</f>
        <v>Scheffel Boyle</v>
      </c>
      <c r="H9" s="2484"/>
      <c r="I9" s="2484"/>
      <c r="J9" s="2484"/>
      <c r="K9" s="2484"/>
      <c r="L9" s="2485"/>
    </row>
    <row r="10" spans="1:29" ht="13.5" customHeight="1" x14ac:dyDescent="0.2">
      <c r="A10" s="2457" t="str">
        <f>COVER!A38</f>
        <v>Travis Schmale</v>
      </c>
      <c r="B10" s="2458"/>
      <c r="C10" s="2458"/>
      <c r="D10" s="2458"/>
      <c r="E10" s="2458"/>
      <c r="F10" s="2459"/>
      <c r="G10" s="2451" t="str">
        <f>COVER!T17</f>
        <v>222 East Main Street</v>
      </c>
      <c r="H10" s="2452"/>
      <c r="I10" s="2452"/>
      <c r="J10" s="2452"/>
      <c r="K10" s="2452"/>
      <c r="L10" s="2453"/>
    </row>
    <row r="11" spans="1:29" ht="13.5" customHeight="1" x14ac:dyDescent="0.2">
      <c r="A11" s="1008" t="s">
        <v>1505</v>
      </c>
      <c r="B11" s="1009"/>
      <c r="C11" s="1010"/>
      <c r="D11" s="1015"/>
      <c r="E11" s="1010"/>
      <c r="F11" s="1014"/>
      <c r="G11" s="2451" t="str">
        <f>COVER!T19</f>
        <v>Belleville</v>
      </c>
      <c r="H11" s="2452"/>
      <c r="I11" s="2452"/>
      <c r="J11" s="2452"/>
      <c r="K11" s="2452"/>
      <c r="L11" s="2453"/>
    </row>
    <row r="12" spans="1:29" ht="13.5" customHeight="1" x14ac:dyDescent="0.2">
      <c r="A12" s="2460" t="s">
        <v>1504</v>
      </c>
      <c r="B12" s="2461"/>
      <c r="C12" s="2461"/>
      <c r="D12" s="2461"/>
      <c r="E12" s="2461"/>
      <c r="F12" s="2462"/>
      <c r="G12" s="2454"/>
      <c r="H12" s="2455"/>
      <c r="I12" s="2455"/>
      <c r="J12" s="2455"/>
      <c r="K12" s="2455"/>
      <c r="L12" s="2456"/>
    </row>
    <row r="13" spans="1:29" ht="13.5" customHeight="1" x14ac:dyDescent="0.2">
      <c r="A13" s="2451"/>
      <c r="B13" s="2452"/>
      <c r="C13" s="2452"/>
      <c r="D13" s="2452"/>
      <c r="E13" s="2452"/>
      <c r="F13" s="2453"/>
      <c r="G13" s="2446" t="s">
        <v>1506</v>
      </c>
      <c r="H13" s="2447"/>
      <c r="I13" s="2463" t="str">
        <f>COVER!T25</f>
        <v>dale.holtmann@scheffelboyle.com</v>
      </c>
      <c r="J13" s="2464"/>
      <c r="K13" s="2464"/>
      <c r="L13" s="2465"/>
    </row>
    <row r="14" spans="1:29" ht="13.5" customHeight="1" x14ac:dyDescent="0.2">
      <c r="A14" s="2451" t="str">
        <f>COVER!A19</f>
        <v>777 Memorial Drive</v>
      </c>
      <c r="B14" s="2452"/>
      <c r="C14" s="2452"/>
      <c r="D14" s="2452"/>
      <c r="E14" s="2452"/>
      <c r="F14" s="2453"/>
      <c r="G14" s="1019" t="s">
        <v>1177</v>
      </c>
      <c r="H14" s="1017"/>
      <c r="I14" s="1017"/>
      <c r="J14" s="1017"/>
      <c r="K14" s="1017"/>
      <c r="L14" s="1018"/>
    </row>
    <row r="15" spans="1:29" ht="13.5" customHeight="1" x14ac:dyDescent="0.2">
      <c r="A15" s="2451" t="str">
        <f>COVER!A21</f>
        <v>Breese</v>
      </c>
      <c r="B15" s="2452"/>
      <c r="C15" s="2452"/>
      <c r="D15" s="2452"/>
      <c r="E15" s="2452"/>
      <c r="F15" s="2453"/>
      <c r="G15" s="2448" t="str">
        <f>COVER!T15</f>
        <v>Dale Holtmann</v>
      </c>
      <c r="H15" s="2449"/>
      <c r="I15" s="2449"/>
      <c r="J15" s="2449"/>
      <c r="K15" s="2449"/>
      <c r="L15" s="2450"/>
    </row>
    <row r="16" spans="1:29" ht="12.2" customHeight="1" x14ac:dyDescent="0.2">
      <c r="A16" s="2474">
        <f>COVER!A25</f>
        <v>62230</v>
      </c>
      <c r="B16" s="2475"/>
      <c r="C16" s="2475"/>
      <c r="D16" s="2475"/>
      <c r="E16" s="2475"/>
      <c r="F16" s="2476"/>
      <c r="G16" s="2486"/>
      <c r="H16" s="2487"/>
      <c r="I16" s="2487"/>
      <c r="J16" s="2487"/>
      <c r="K16" s="2487"/>
      <c r="L16" s="2488"/>
    </row>
    <row r="17" spans="1:13" ht="12.2" customHeight="1" x14ac:dyDescent="0.2">
      <c r="A17" s="2489"/>
      <c r="B17" s="2475"/>
      <c r="C17" s="2475"/>
      <c r="D17" s="2475"/>
      <c r="E17" s="2475"/>
      <c r="F17" s="2476"/>
      <c r="G17" s="1019" t="s">
        <v>1176</v>
      </c>
      <c r="H17" s="1017"/>
      <c r="I17" s="1017"/>
      <c r="J17" s="1017"/>
      <c r="K17" s="1021" t="s">
        <v>1175</v>
      </c>
      <c r="L17" s="1014"/>
      <c r="M17" s="1007"/>
    </row>
    <row r="18" spans="1:13" ht="12.2" customHeight="1" x14ac:dyDescent="0.2">
      <c r="A18" s="2457"/>
      <c r="B18" s="2458"/>
      <c r="C18" s="2458"/>
      <c r="D18" s="2458"/>
      <c r="E18" s="2458"/>
      <c r="F18" s="2459"/>
      <c r="G18" s="2468" t="str">
        <f>COVER!T21</f>
        <v>618-277-8100</v>
      </c>
      <c r="H18" s="2469"/>
      <c r="I18" s="2469"/>
      <c r="J18" s="2469"/>
      <c r="K18" s="2468" t="str">
        <f>COVER!X21</f>
        <v>618-277-9307</v>
      </c>
      <c r="L18" s="2473"/>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31" zoomScale="125" zoomScaleNormal="125" workbookViewId="0">
      <selection activeCell="C49" sqref="C49"/>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0" t="str">
        <f>'Single Audit Cover'!A7</f>
        <v>Breese SD 12</v>
      </c>
      <c r="B1" s="2491"/>
      <c r="C1" s="2491"/>
      <c r="D1" s="2491"/>
    </row>
    <row r="2" spans="1:11" s="1036" customFormat="1" ht="12.75" x14ac:dyDescent="0.2">
      <c r="A2" s="2492">
        <f>'Single Audit Cover'!E7</f>
        <v>13014012004</v>
      </c>
      <c r="B2" s="2493"/>
      <c r="C2" s="2493"/>
      <c r="D2" s="2493"/>
    </row>
    <row r="3" spans="1:11" s="1036" customFormat="1" ht="12.75" x14ac:dyDescent="0.2">
      <c r="A3" s="2490" t="s">
        <v>1499</v>
      </c>
      <c r="B3" s="2491"/>
      <c r="C3" s="2491"/>
      <c r="D3" s="2491"/>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C49" sqref="C49"/>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5" t="str">
        <f>'Single Audit Cover'!A7</f>
        <v>Breese SD 12</v>
      </c>
      <c r="B1" s="2495"/>
      <c r="C1" s="2495"/>
      <c r="D1" s="2495"/>
      <c r="E1" s="2495"/>
    </row>
    <row r="2" spans="1:5" x14ac:dyDescent="0.2">
      <c r="A2" s="2496">
        <f>'Single Audit Cover'!E7</f>
        <v>13014012004</v>
      </c>
      <c r="B2" s="2496"/>
      <c r="C2" s="2496"/>
      <c r="D2" s="2496"/>
      <c r="E2" s="2496"/>
    </row>
    <row r="3" spans="1:5" ht="4.5" customHeight="1" x14ac:dyDescent="0.2"/>
    <row r="4" spans="1:5" x14ac:dyDescent="0.2">
      <c r="A4" s="2495" t="s">
        <v>1236</v>
      </c>
      <c r="B4" s="2495"/>
      <c r="C4" s="2495"/>
      <c r="D4" s="2495"/>
      <c r="E4" s="2495"/>
    </row>
    <row r="5" spans="1:5" x14ac:dyDescent="0.2">
      <c r="A5" s="2498" t="str">
        <f>'Single Audit Cover'!A4</f>
        <v>Year Ending June 30, 2020</v>
      </c>
      <c r="B5" s="2498"/>
      <c r="C5" s="2498"/>
      <c r="D5" s="2498"/>
      <c r="E5" s="2498"/>
    </row>
    <row r="6" spans="1:5" x14ac:dyDescent="0.2">
      <c r="A6" s="2495" t="s">
        <v>1235</v>
      </c>
      <c r="B6" s="2495"/>
      <c r="C6" s="2495"/>
      <c r="D6" s="2495"/>
      <c r="E6" s="2495"/>
    </row>
    <row r="8" spans="1:5" x14ac:dyDescent="0.2">
      <c r="A8" s="1081" t="s">
        <v>1234</v>
      </c>
    </row>
    <row r="10" spans="1:5" x14ac:dyDescent="0.2">
      <c r="A10" s="1082" t="s">
        <v>1233</v>
      </c>
      <c r="B10" s="1083" t="s">
        <v>1232</v>
      </c>
      <c r="C10" s="1083"/>
      <c r="D10" s="1084">
        <f>SUM('Acct Summary 7-8'!C7:K7)</f>
        <v>289472</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19684</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-5459</v>
      </c>
    </row>
    <row r="19" spans="1:4" ht="13.5" thickBot="1" x14ac:dyDescent="0.25">
      <c r="A19" s="1086" t="s">
        <v>1226</v>
      </c>
      <c r="D19" s="1087">
        <f>SUM(D10:D17)</f>
        <v>303697</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7"/>
      <c r="B24" s="2497"/>
      <c r="D24" s="1089"/>
    </row>
    <row r="25" spans="1:4" x14ac:dyDescent="0.2">
      <c r="A25" s="2494"/>
      <c r="B25" s="2494"/>
      <c r="D25" s="1089"/>
    </row>
    <row r="26" spans="1:4" x14ac:dyDescent="0.2">
      <c r="A26" s="2494"/>
      <c r="B26" s="2494"/>
      <c r="D26" s="1089"/>
    </row>
    <row r="27" spans="1:4" x14ac:dyDescent="0.2">
      <c r="A27" s="2494"/>
      <c r="B27" s="2494"/>
      <c r="D27" s="1089"/>
    </row>
    <row r="28" spans="1:4" x14ac:dyDescent="0.2">
      <c r="A28" s="2494"/>
      <c r="B28" s="2494"/>
      <c r="D28" s="1089"/>
    </row>
    <row r="29" spans="1:4" x14ac:dyDescent="0.2">
      <c r="A29" s="2494"/>
      <c r="B29" s="2494"/>
      <c r="D29" s="1089"/>
    </row>
    <row r="30" spans="1:4" x14ac:dyDescent="0.2">
      <c r="A30" s="2494"/>
      <c r="B30" s="2494"/>
      <c r="D30" s="1089"/>
    </row>
    <row r="32" spans="1:4" x14ac:dyDescent="0.2">
      <c r="A32" s="1081" t="s">
        <v>1224</v>
      </c>
      <c r="D32" s="1084">
        <f>SUM(D19:D30)</f>
        <v>303697</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4"/>
      <c r="B40" s="2494"/>
      <c r="D40" s="1089"/>
    </row>
    <row r="41" spans="1:4" x14ac:dyDescent="0.2">
      <c r="A41" s="2494"/>
      <c r="B41" s="2494"/>
      <c r="D41" s="1092"/>
    </row>
    <row r="42" spans="1:4" x14ac:dyDescent="0.2">
      <c r="A42" s="2494"/>
      <c r="B42" s="2494"/>
      <c r="D42" s="1092"/>
    </row>
    <row r="43" spans="1:4" x14ac:dyDescent="0.2">
      <c r="A43" s="2494"/>
      <c r="B43" s="2494"/>
      <c r="D43" s="1092"/>
    </row>
    <row r="44" spans="1:4" x14ac:dyDescent="0.2">
      <c r="A44" s="2494"/>
      <c r="B44" s="2494"/>
      <c r="D44" s="1092"/>
    </row>
    <row r="45" spans="1:4" x14ac:dyDescent="0.2">
      <c r="A45" s="2494"/>
      <c r="B45" s="2494"/>
      <c r="D45" s="1092"/>
    </row>
    <row r="47" spans="1:4" x14ac:dyDescent="0.2">
      <c r="B47" s="1093" t="s">
        <v>1218</v>
      </c>
      <c r="C47" s="1093"/>
      <c r="D47" s="1094">
        <f>SUM(D35:D45)</f>
        <v>0</v>
      </c>
    </row>
    <row r="49" spans="2:4" x14ac:dyDescent="0.2">
      <c r="B49" s="1093" t="s">
        <v>1217</v>
      </c>
      <c r="C49" s="1093"/>
      <c r="D49" s="1094">
        <f>D32-D47</f>
        <v>303697</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C49" sqref="C49"/>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77" t="str">
        <f>'Single Audit Cover'!A7</f>
        <v>Breese SD 12</v>
      </c>
      <c r="C1" s="2499"/>
      <c r="D1" s="2499"/>
      <c r="E1" s="2499"/>
      <c r="F1" s="2499"/>
      <c r="G1" s="2499"/>
      <c r="H1" s="2499"/>
      <c r="I1" s="2499"/>
      <c r="J1" s="2499"/>
      <c r="K1" s="2499"/>
      <c r="L1" s="2499"/>
      <c r="M1" s="2499"/>
    </row>
    <row r="2" spans="2:14" ht="15" x14ac:dyDescent="0.2">
      <c r="B2" s="2500">
        <f>'Single Audit Cover'!E7</f>
        <v>13014012004</v>
      </c>
      <c r="C2" s="2500"/>
      <c r="D2" s="2500"/>
      <c r="E2" s="2500"/>
      <c r="F2" s="2500"/>
      <c r="G2" s="2500"/>
      <c r="H2" s="2500"/>
      <c r="I2" s="2500"/>
      <c r="J2" s="2500"/>
      <c r="K2" s="2500"/>
      <c r="L2" s="2500"/>
      <c r="M2" s="2500"/>
      <c r="N2" s="1123"/>
    </row>
    <row r="3" spans="2:14" ht="15" x14ac:dyDescent="0.2">
      <c r="B3" s="2501" t="s">
        <v>1210</v>
      </c>
      <c r="C3" s="2501"/>
      <c r="D3" s="2501"/>
      <c r="E3" s="2501"/>
      <c r="F3" s="2501"/>
      <c r="G3" s="2501"/>
      <c r="H3" s="2501"/>
      <c r="I3" s="2501"/>
      <c r="J3" s="2501"/>
      <c r="K3" s="2501"/>
      <c r="L3" s="2501"/>
      <c r="M3" s="2501"/>
      <c r="N3" s="1123"/>
    </row>
    <row r="4" spans="2:14" ht="15" x14ac:dyDescent="0.2">
      <c r="B4" s="2502" t="str">
        <f>'Single Audit Cover'!A4</f>
        <v>Year Ending June 30, 2020</v>
      </c>
      <c r="C4" s="2502"/>
      <c r="D4" s="2502"/>
      <c r="E4" s="2502"/>
      <c r="F4" s="2502"/>
      <c r="G4" s="2502"/>
      <c r="H4" s="2502"/>
      <c r="I4" s="2502"/>
      <c r="J4" s="2502"/>
      <c r="K4" s="2502"/>
      <c r="L4" s="2502"/>
      <c r="M4" s="2502"/>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C49" sqref="C49"/>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12" t="str">
        <f>'Single Audit Cover'!A7</f>
        <v>Breese SD 12</v>
      </c>
      <c r="B1" s="2512"/>
      <c r="C1" s="2512"/>
      <c r="D1" s="2512"/>
      <c r="E1" s="2512"/>
      <c r="F1" s="2512"/>
    </row>
    <row r="2" spans="1:7" ht="13.5" customHeight="1" x14ac:dyDescent="0.2">
      <c r="A2" s="2500">
        <f>'Single Audit Cover'!E7</f>
        <v>13014012004</v>
      </c>
      <c r="B2" s="2500"/>
      <c r="C2" s="2500"/>
      <c r="D2" s="2500"/>
      <c r="E2" s="2500"/>
      <c r="F2" s="2500"/>
      <c r="G2" s="1096"/>
    </row>
    <row r="3" spans="1:7" ht="15.75" customHeight="1" x14ac:dyDescent="0.2">
      <c r="A3" s="2513" t="s">
        <v>1262</v>
      </c>
      <c r="B3" s="2513"/>
      <c r="C3" s="2513"/>
      <c r="D3" s="2513"/>
      <c r="E3" s="2513"/>
      <c r="F3" s="2513"/>
    </row>
    <row r="4" spans="1:7" ht="13.5" customHeight="1" x14ac:dyDescent="0.2">
      <c r="A4" s="2514" t="str">
        <f>'Single Audit Cover'!A4</f>
        <v>Year Ending June 30, 2020</v>
      </c>
      <c r="B4" s="2514"/>
      <c r="C4" s="2514"/>
      <c r="D4" s="2514"/>
      <c r="E4" s="2514"/>
      <c r="F4" s="2514"/>
    </row>
    <row r="5" spans="1:7" ht="8.25" customHeight="1" x14ac:dyDescent="0.2">
      <c r="C5" s="295"/>
      <c r="D5" s="295"/>
    </row>
    <row r="6" spans="1:7" ht="13.5" customHeight="1" x14ac:dyDescent="0.2">
      <c r="A6" s="1097" t="s">
        <v>1708</v>
      </c>
      <c r="C6" s="295"/>
      <c r="D6" s="295"/>
    </row>
    <row r="7" spans="1:7" ht="60.95" customHeight="1" x14ac:dyDescent="0.2">
      <c r="A7" s="2511" t="s">
        <v>1709</v>
      </c>
      <c r="B7" s="2511"/>
      <c r="C7" s="2511"/>
      <c r="D7" s="2511"/>
      <c r="E7" s="2511"/>
      <c r="F7" s="2511"/>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11" t="s">
        <v>1711</v>
      </c>
      <c r="B13" s="2511"/>
      <c r="C13" s="2511"/>
      <c r="D13" s="2511"/>
      <c r="E13" s="2511"/>
      <c r="F13" s="2511"/>
    </row>
    <row r="14" spans="1:7" ht="9.75" customHeight="1" x14ac:dyDescent="0.2">
      <c r="C14" s="1081"/>
      <c r="D14" s="1081"/>
    </row>
    <row r="15" spans="1:7" ht="13.5" customHeight="1" x14ac:dyDescent="0.2">
      <c r="C15" s="1525" t="s">
        <v>1261</v>
      </c>
      <c r="D15" s="2509" t="s">
        <v>1260</v>
      </c>
      <c r="E15" s="2509"/>
      <c r="F15" s="2509"/>
    </row>
    <row r="16" spans="1:7" ht="13.5" customHeight="1" x14ac:dyDescent="0.2">
      <c r="A16" s="1103"/>
      <c r="B16" s="1097" t="s">
        <v>1259</v>
      </c>
      <c r="C16" s="1525" t="s">
        <v>1258</v>
      </c>
      <c r="D16" s="2510" t="s">
        <v>1574</v>
      </c>
      <c r="E16" s="2510"/>
      <c r="F16" s="2510"/>
    </row>
    <row r="17" spans="1:6" ht="20.45" customHeight="1" x14ac:dyDescent="0.2">
      <c r="A17" s="1104"/>
      <c r="B17" s="1105"/>
      <c r="C17" s="1106"/>
      <c r="D17" s="2504"/>
      <c r="E17" s="2504"/>
      <c r="F17" s="2504"/>
    </row>
    <row r="18" spans="1:6" ht="20.65" customHeight="1" x14ac:dyDescent="0.2">
      <c r="A18" s="1104"/>
      <c r="B18" s="1105"/>
      <c r="C18" s="1106"/>
      <c r="D18" s="2504"/>
      <c r="E18" s="2504"/>
      <c r="F18" s="2504"/>
    </row>
    <row r="19" spans="1:6" ht="20.65" customHeight="1" x14ac:dyDescent="0.2">
      <c r="A19" s="1104"/>
      <c r="B19" s="1105"/>
      <c r="C19" s="1106"/>
      <c r="D19" s="2504"/>
      <c r="E19" s="2504"/>
      <c r="F19" s="2504"/>
    </row>
    <row r="20" spans="1:6" ht="20.65" customHeight="1" x14ac:dyDescent="0.2">
      <c r="A20" s="1104"/>
      <c r="B20" s="1105"/>
      <c r="C20" s="1106"/>
      <c r="D20" s="2504"/>
      <c r="E20" s="2504"/>
      <c r="F20" s="2504"/>
    </row>
    <row r="21" spans="1:6" ht="20.65" customHeight="1" x14ac:dyDescent="0.2">
      <c r="A21" s="1104"/>
      <c r="B21" s="1105"/>
      <c r="C21" s="1106"/>
      <c r="D21" s="2504"/>
      <c r="E21" s="2504"/>
      <c r="F21" s="2504"/>
    </row>
    <row r="22" spans="1:6" ht="20.65" customHeight="1" x14ac:dyDescent="0.2">
      <c r="A22" s="1104"/>
      <c r="B22" s="1105"/>
      <c r="C22" s="1106"/>
      <c r="D22" s="2504"/>
      <c r="E22" s="2504"/>
      <c r="F22" s="2504"/>
    </row>
    <row r="23" spans="1:6" ht="20.65" customHeight="1" x14ac:dyDescent="0.2">
      <c r="A23" s="1104"/>
      <c r="B23" s="1105"/>
      <c r="C23" s="1106"/>
      <c r="D23" s="2504"/>
      <c r="E23" s="2504"/>
      <c r="F23" s="2504"/>
    </row>
    <row r="24" spans="1:6" ht="20.65" customHeight="1" x14ac:dyDescent="0.2">
      <c r="A24" s="1104"/>
      <c r="B24" s="1105"/>
      <c r="C24" s="1106"/>
      <c r="D24" s="2504"/>
      <c r="E24" s="2504"/>
      <c r="F24" s="2504"/>
    </row>
    <row r="25" spans="1:6" ht="20.65" customHeight="1" x14ac:dyDescent="0.2">
      <c r="A25" s="1104"/>
      <c r="B25" s="1105"/>
      <c r="C25" s="1106"/>
      <c r="D25" s="2504"/>
      <c r="E25" s="2504"/>
      <c r="F25" s="2504"/>
    </row>
    <row r="26" spans="1:6" ht="20.65" customHeight="1" x14ac:dyDescent="0.2">
      <c r="A26" s="1104"/>
      <c r="B26" s="1105"/>
      <c r="C26" s="1106"/>
      <c r="D26" s="2504"/>
      <c r="E26" s="2504"/>
      <c r="F26" s="2504"/>
    </row>
    <row r="27" spans="1:6" ht="20.65" customHeight="1" x14ac:dyDescent="0.2">
      <c r="A27" s="1104"/>
      <c r="B27" s="1105"/>
      <c r="C27" s="1106"/>
      <c r="D27" s="2504"/>
      <c r="E27" s="2504"/>
      <c r="F27" s="2504"/>
    </row>
    <row r="28" spans="1:6" ht="20.65" customHeight="1" x14ac:dyDescent="0.2">
      <c r="A28" s="1104"/>
      <c r="B28" s="1105"/>
      <c r="C28" s="1106"/>
      <c r="D28" s="2504"/>
      <c r="E28" s="2504"/>
      <c r="F28" s="2504"/>
    </row>
    <row r="29" spans="1:6" ht="20.65" customHeight="1" x14ac:dyDescent="0.2">
      <c r="A29" s="1104"/>
      <c r="B29" s="1105"/>
      <c r="C29" s="1106"/>
      <c r="D29" s="2504"/>
      <c r="E29" s="2504"/>
      <c r="F29" s="2504"/>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5" t="s">
        <v>1712</v>
      </c>
      <c r="B32" s="2505"/>
      <c r="C32" s="2505"/>
      <c r="D32" s="2505"/>
      <c r="E32" s="2505"/>
      <c r="F32" s="2505"/>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6">
        <f>+C33+C34</f>
        <v>0</v>
      </c>
      <c r="F34" s="2507"/>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08" t="s">
        <v>1576</v>
      </c>
      <c r="C49" s="2508"/>
      <c r="D49" s="2508"/>
      <c r="E49" s="1213"/>
    </row>
    <row r="50" spans="1:5" s="1121" customFormat="1" ht="3.75" customHeight="1" x14ac:dyDescent="0.2">
      <c r="A50" s="1120"/>
      <c r="B50" s="1524"/>
      <c r="C50" s="1524"/>
      <c r="D50" s="1524"/>
      <c r="E50" s="1213"/>
    </row>
    <row r="51" spans="1:5" s="1121" customFormat="1" ht="20.25" customHeight="1" x14ac:dyDescent="0.2">
      <c r="A51" s="1122">
        <v>6</v>
      </c>
      <c r="B51" s="2503" t="s">
        <v>1537</v>
      </c>
      <c r="C51" s="2503"/>
      <c r="D51" s="2503"/>
    </row>
    <row r="52" spans="1:5" ht="14.25" customHeight="1" x14ac:dyDescent="0.2">
      <c r="A52" s="1122"/>
      <c r="B52" s="2503"/>
      <c r="C52" s="2503"/>
      <c r="D52" s="2503"/>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view="pageLayout" zoomScaleNormal="110" workbookViewId="0">
      <selection activeCell="C49" sqref="C49"/>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6" t="str">
        <f>'Single Audit Cover'!A7</f>
        <v>Breese SD 12</v>
      </c>
      <c r="C1" s="2527"/>
      <c r="D1" s="2527"/>
      <c r="E1" s="2527"/>
      <c r="F1" s="2527"/>
      <c r="G1" s="2527"/>
      <c r="H1" s="2527"/>
      <c r="I1" s="2527"/>
      <c r="J1" s="1223"/>
    </row>
    <row r="2" spans="2:10" s="295" customFormat="1" ht="12.75" customHeight="1" x14ac:dyDescent="0.2">
      <c r="B2" s="2528">
        <f>'Single Audit Cover'!E7</f>
        <v>13014012004</v>
      </c>
      <c r="C2" s="2529"/>
      <c r="D2" s="2529"/>
      <c r="E2" s="2529"/>
      <c r="F2" s="2529"/>
      <c r="G2" s="2529"/>
      <c r="H2" s="2529"/>
      <c r="I2" s="2529"/>
      <c r="J2" s="1223"/>
    </row>
    <row r="3" spans="2:10" s="295" customFormat="1" ht="12.75" customHeight="1" x14ac:dyDescent="0.2">
      <c r="B3" s="2530" t="s">
        <v>1276</v>
      </c>
      <c r="C3" s="2531"/>
      <c r="D3" s="2531"/>
      <c r="E3" s="2531"/>
      <c r="F3" s="2531"/>
      <c r="G3" s="2531"/>
      <c r="H3" s="2531"/>
      <c r="I3" s="2531"/>
      <c r="J3" s="1224"/>
    </row>
    <row r="4" spans="2:10" s="295" customFormat="1" ht="12.75" customHeight="1" x14ac:dyDescent="0.2">
      <c r="B4" s="2530" t="str">
        <f>'Single Audit Cover'!A4</f>
        <v>Year Ending June 30, 2020</v>
      </c>
      <c r="C4" s="2531"/>
      <c r="D4" s="2531"/>
      <c r="E4" s="2531"/>
      <c r="F4" s="2531"/>
      <c r="G4" s="2531"/>
      <c r="H4" s="2531"/>
      <c r="I4" s="2531"/>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30" t="s">
        <v>1275</v>
      </c>
      <c r="C7" s="2531"/>
      <c r="D7" s="2531"/>
      <c r="E7" s="2531"/>
      <c r="F7" s="2531"/>
      <c r="G7" s="2531"/>
      <c r="H7" s="2531"/>
      <c r="I7" s="2531"/>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32" t="s">
        <v>1156</v>
      </c>
      <c r="D11" s="2532"/>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t="s">
        <v>2021</v>
      </c>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t="s">
        <v>2021</v>
      </c>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t="s">
        <v>2021</v>
      </c>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3"/>
      <c r="E29" s="2533"/>
      <c r="F29" s="2533"/>
      <c r="G29" s="2533"/>
      <c r="H29" s="2533"/>
      <c r="I29" s="2533"/>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4" t="s">
        <v>1731</v>
      </c>
      <c r="D37" s="2535"/>
      <c r="E37" s="2535"/>
      <c r="F37" s="2536"/>
      <c r="G37" s="2534" t="s">
        <v>1578</v>
      </c>
      <c r="H37" s="2535"/>
      <c r="I37" s="2536"/>
    </row>
    <row r="38" spans="2:9" ht="16.5" customHeight="1" x14ac:dyDescent="0.2">
      <c r="B38" s="1245"/>
      <c r="C38" s="2522"/>
      <c r="D38" s="2523"/>
      <c r="E38" s="2523"/>
      <c r="F38" s="2524"/>
      <c r="G38" s="2537"/>
      <c r="H38" s="2538"/>
      <c r="I38" s="2539"/>
    </row>
    <row r="39" spans="2:9" ht="16.5" customHeight="1" x14ac:dyDescent="0.2">
      <c r="B39" s="1245"/>
      <c r="C39" s="2522"/>
      <c r="D39" s="2523"/>
      <c r="E39" s="2523"/>
      <c r="F39" s="2524"/>
      <c r="G39" s="2525"/>
      <c r="H39" s="2525"/>
      <c r="I39" s="2525"/>
    </row>
    <row r="40" spans="2:9" ht="16.5" customHeight="1" x14ac:dyDescent="0.2">
      <c r="B40" s="1245"/>
      <c r="C40" s="2522"/>
      <c r="D40" s="2523"/>
      <c r="E40" s="2523"/>
      <c r="F40" s="2524"/>
      <c r="G40" s="2525"/>
      <c r="H40" s="2525"/>
      <c r="I40" s="2525"/>
    </row>
    <row r="41" spans="2:9" ht="16.5" customHeight="1" x14ac:dyDescent="0.2">
      <c r="B41" s="1245"/>
      <c r="C41" s="2522"/>
      <c r="D41" s="2523"/>
      <c r="E41" s="2523"/>
      <c r="F41" s="2524"/>
      <c r="G41" s="2525"/>
      <c r="H41" s="2525"/>
      <c r="I41" s="2525"/>
    </row>
    <row r="42" spans="2:9" ht="16.5" customHeight="1" x14ac:dyDescent="0.2">
      <c r="B42" s="1245"/>
      <c r="C42" s="2522"/>
      <c r="D42" s="2523"/>
      <c r="E42" s="2523"/>
      <c r="F42" s="2524"/>
      <c r="G42" s="2525"/>
      <c r="H42" s="2525"/>
      <c r="I42" s="2525"/>
    </row>
    <row r="43" spans="2:9" ht="16.5" customHeight="1" x14ac:dyDescent="0.2">
      <c r="B43" s="1245"/>
      <c r="C43" s="2515" t="s">
        <v>1579</v>
      </c>
      <c r="D43" s="2516"/>
      <c r="E43" s="2516"/>
      <c r="F43" s="2517"/>
      <c r="G43" s="2518">
        <f>SUM(G38:I42)</f>
        <v>0</v>
      </c>
      <c r="H43" s="2518"/>
      <c r="I43" s="2518"/>
    </row>
    <row r="44" spans="2:9" ht="12.75" customHeight="1" x14ac:dyDescent="0.2"/>
    <row r="45" spans="2:9" ht="12.75" customHeight="1" x14ac:dyDescent="0.2">
      <c r="B45" s="1984" t="str">
        <f>"Total Federal Expenditures for 7/1/"&amp;MID('AFR20'!E2,3,2)-1&amp;"-6/30/"&amp;MID('AFR20'!E2,3,2)</f>
        <v>Total Federal Expenditures for 7/1/19-6/30/20</v>
      </c>
      <c r="C45" s="1985"/>
      <c r="D45" s="2519">
        <v>0</v>
      </c>
      <c r="E45" s="2520"/>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21"/>
      <c r="F49" s="2521"/>
      <c r="G49" s="2521"/>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Footer>&amp;LSee notes to financial statements.&amp;C75</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49" sqref="C4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6" t="str">
        <f>'Single Audit Cover'!A7</f>
        <v>Breese SD 12</v>
      </c>
      <c r="C1" s="2526"/>
      <c r="D1" s="2526"/>
      <c r="E1" s="2526"/>
      <c r="F1" s="2526"/>
      <c r="G1" s="2526"/>
      <c r="H1" s="2526"/>
      <c r="I1" s="2526"/>
      <c r="J1" s="2526"/>
      <c r="K1" s="2526"/>
      <c r="L1" s="1189"/>
      <c r="M1" s="1189"/>
    </row>
    <row r="2" spans="1:13" ht="12" customHeight="1" x14ac:dyDescent="0.2">
      <c r="B2" s="2528">
        <f>'Single Audit Cover'!E7</f>
        <v>13014012004</v>
      </c>
      <c r="C2" s="2528"/>
      <c r="D2" s="2528"/>
      <c r="E2" s="2528"/>
      <c r="F2" s="2528"/>
      <c r="G2" s="2528"/>
      <c r="H2" s="2528"/>
      <c r="I2" s="2528"/>
      <c r="J2" s="2528"/>
      <c r="K2" s="2528"/>
      <c r="L2" s="1190"/>
      <c r="M2" s="1191"/>
    </row>
    <row r="3" spans="1:13" ht="10.35" customHeight="1" x14ac:dyDescent="0.2">
      <c r="B3" s="2542" t="s">
        <v>1276</v>
      </c>
      <c r="C3" s="2542"/>
      <c r="D3" s="2542"/>
      <c r="E3" s="2542"/>
      <c r="F3" s="2542"/>
      <c r="G3" s="2542"/>
      <c r="H3" s="2542"/>
      <c r="I3" s="2542"/>
      <c r="J3" s="2542"/>
      <c r="K3" s="2542"/>
      <c r="L3" s="1192"/>
      <c r="M3" s="1192"/>
    </row>
    <row r="4" spans="1:13" ht="14.25" customHeight="1" x14ac:dyDescent="0.2">
      <c r="B4" s="2543" t="str">
        <f>'Single Audit Cover'!A4</f>
        <v>Year Ending June 30, 2020</v>
      </c>
      <c r="C4" s="2543"/>
      <c r="D4" s="2543"/>
      <c r="E4" s="2543"/>
      <c r="F4" s="2543"/>
      <c r="G4" s="2543"/>
      <c r="H4" s="2543"/>
      <c r="I4" s="2543"/>
      <c r="J4" s="2543"/>
      <c r="K4" s="2543"/>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3" t="s">
        <v>1287</v>
      </c>
      <c r="C7" s="2543"/>
      <c r="D7" s="2544"/>
      <c r="E7" s="2544"/>
      <c r="F7" s="2544"/>
      <c r="G7" s="2544"/>
      <c r="H7" s="2544"/>
      <c r="I7" s="2544"/>
      <c r="J7" s="2544"/>
      <c r="K7" s="2544"/>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v>1</v>
      </c>
      <c r="E10" s="300"/>
      <c r="F10" s="1201" t="s">
        <v>1286</v>
      </c>
      <c r="G10" s="1202" t="s">
        <v>2021</v>
      </c>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1" t="s">
        <v>2068</v>
      </c>
      <c r="C14" s="2541"/>
      <c r="D14" s="2541"/>
      <c r="E14" s="2541"/>
      <c r="F14" s="2541"/>
      <c r="G14" s="2541"/>
      <c r="H14" s="2541"/>
      <c r="I14" s="2541"/>
      <c r="J14" s="2541"/>
      <c r="K14" s="2541"/>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1" t="s">
        <v>2060</v>
      </c>
      <c r="C17" s="2541"/>
      <c r="D17" s="2541"/>
      <c r="E17" s="2541"/>
      <c r="F17" s="2541"/>
      <c r="G17" s="2541"/>
      <c r="H17" s="2541"/>
      <c r="I17" s="2541"/>
      <c r="J17" s="2541"/>
      <c r="K17" s="2541"/>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5" t="s">
        <v>2060</v>
      </c>
      <c r="C20" s="2545"/>
      <c r="D20" s="2541"/>
      <c r="E20" s="2541"/>
      <c r="F20" s="2541"/>
      <c r="G20" s="2541"/>
      <c r="H20" s="2541"/>
      <c r="I20" s="2541"/>
      <c r="J20" s="2541"/>
      <c r="K20" s="2541"/>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1" t="s">
        <v>2061</v>
      </c>
      <c r="C23" s="2541"/>
      <c r="D23" s="2541"/>
      <c r="E23" s="2541"/>
      <c r="F23" s="2541"/>
      <c r="G23" s="2541"/>
      <c r="H23" s="2541"/>
      <c r="I23" s="2541"/>
      <c r="J23" s="2541"/>
      <c r="K23" s="2541"/>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1" t="s">
        <v>2062</v>
      </c>
      <c r="C26" s="2541"/>
      <c r="D26" s="2541"/>
      <c r="E26" s="2541"/>
      <c r="F26" s="2541"/>
      <c r="G26" s="2541"/>
      <c r="H26" s="2541"/>
      <c r="I26" s="2541"/>
      <c r="J26" s="2541"/>
      <c r="K26" s="2541"/>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0" t="s">
        <v>2063</v>
      </c>
      <c r="C29" s="2540"/>
      <c r="D29" s="2541"/>
      <c r="E29" s="2541"/>
      <c r="F29" s="2541"/>
      <c r="G29" s="2541"/>
      <c r="H29" s="2541"/>
      <c r="I29" s="2541"/>
      <c r="J29" s="2541"/>
      <c r="K29" s="2541"/>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0" t="s">
        <v>2064</v>
      </c>
      <c r="C32" s="2540"/>
      <c r="D32" s="2541"/>
      <c r="E32" s="2541"/>
      <c r="F32" s="2541"/>
      <c r="G32" s="2541"/>
      <c r="H32" s="2541"/>
      <c r="I32" s="2541"/>
      <c r="J32" s="2541"/>
      <c r="K32" s="2541"/>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Footer>&amp;LSee notes to financial statements.&amp;C76</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49" sqref="C4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9" t="str">
        <f>'Single Audit Cover'!A7</f>
        <v>Breese SD 12</v>
      </c>
      <c r="C1" s="2549"/>
      <c r="D1" s="2549"/>
      <c r="E1" s="2549"/>
      <c r="F1" s="2549"/>
      <c r="G1" s="2549"/>
      <c r="H1" s="2549"/>
      <c r="I1" s="2549"/>
      <c r="J1" s="2549"/>
      <c r="K1" s="2549"/>
      <c r="L1" s="1266"/>
    </row>
    <row r="2" spans="1:12" ht="12.75" customHeight="1" x14ac:dyDescent="0.2">
      <c r="B2" s="2550">
        <f>'Single Audit Cover'!E7</f>
        <v>13014012004</v>
      </c>
      <c r="C2" s="2550"/>
      <c r="D2" s="2550"/>
      <c r="E2" s="2550"/>
      <c r="F2" s="2550"/>
      <c r="G2" s="2550"/>
      <c r="H2" s="2550"/>
      <c r="I2" s="2550"/>
      <c r="J2" s="2550"/>
      <c r="K2" s="2550"/>
      <c r="L2" s="1267"/>
    </row>
    <row r="3" spans="1:12" ht="12.75" customHeight="1" x14ac:dyDescent="0.2">
      <c r="B3" s="2542" t="s">
        <v>1276</v>
      </c>
      <c r="C3" s="2542"/>
      <c r="D3" s="2542"/>
      <c r="E3" s="2542"/>
      <c r="F3" s="2542"/>
      <c r="G3" s="2542"/>
      <c r="H3" s="2542"/>
      <c r="I3" s="2542"/>
      <c r="J3" s="2542"/>
      <c r="K3" s="2542"/>
      <c r="L3" s="1192"/>
    </row>
    <row r="4" spans="1:12" ht="12.75" customHeight="1" x14ac:dyDescent="0.2">
      <c r="B4" s="2542" t="str">
        <f>'Single Audit Cover'!A4</f>
        <v>Year Ending June 30, 2020</v>
      </c>
      <c r="C4" s="2542"/>
      <c r="D4" s="2542"/>
      <c r="E4" s="2542"/>
      <c r="F4" s="2542"/>
      <c r="G4" s="2542"/>
      <c r="H4" s="2542"/>
      <c r="I4" s="2542"/>
      <c r="J4" s="2542"/>
      <c r="K4" s="2542"/>
      <c r="L4" s="1192"/>
    </row>
    <row r="5" spans="1:12" ht="5.25" customHeight="1" x14ac:dyDescent="0.2">
      <c r="B5" s="1081" t="s">
        <v>1161</v>
      </c>
      <c r="C5" s="1081"/>
      <c r="L5" s="300"/>
    </row>
    <row r="6" spans="1:12" ht="30.75" customHeight="1" x14ac:dyDescent="0.2">
      <c r="A6" s="300"/>
      <c r="B6" s="2551" t="s">
        <v>1299</v>
      </c>
      <c r="C6" s="2551"/>
      <c r="D6" s="2551"/>
      <c r="E6" s="2551"/>
      <c r="F6" s="2551"/>
      <c r="G6" s="2551"/>
      <c r="H6" s="2551"/>
      <c r="I6" s="2551"/>
      <c r="J6" s="2551"/>
      <c r="K6" s="2551"/>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3"/>
      <c r="G12" s="2533"/>
      <c r="H12" s="2533"/>
      <c r="I12" s="2533"/>
      <c r="J12" s="2533"/>
      <c r="K12" s="2533"/>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6"/>
      <c r="E14" s="2546"/>
      <c r="F14" s="2546"/>
      <c r="H14" s="1275" t="s">
        <v>1294</v>
      </c>
      <c r="I14" s="2547"/>
      <c r="J14" s="2547"/>
      <c r="K14" s="2547"/>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7"/>
      <c r="E16" s="2547"/>
      <c r="F16" s="2547"/>
      <c r="G16" s="2547"/>
      <c r="H16" s="2547"/>
      <c r="I16" s="2547"/>
      <c r="J16" s="2547"/>
      <c r="K16" s="2547"/>
      <c r="L16" s="300"/>
    </row>
    <row r="17" spans="2:12" ht="13.5" customHeight="1" x14ac:dyDescent="0.2">
      <c r="B17" s="1201" t="s">
        <v>1292</v>
      </c>
      <c r="C17" s="1201"/>
      <c r="D17" s="2548"/>
      <c r="E17" s="2548"/>
      <c r="F17" s="2548"/>
      <c r="G17" s="2548"/>
      <c r="H17" s="2548"/>
      <c r="I17" s="2548"/>
      <c r="J17" s="2548"/>
      <c r="K17" s="2548"/>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1"/>
      <c r="C20" s="2541"/>
      <c r="D20" s="2541"/>
      <c r="E20" s="2541"/>
      <c r="F20" s="2541"/>
      <c r="G20" s="2541"/>
      <c r="H20" s="2541"/>
      <c r="I20" s="2541"/>
      <c r="J20" s="2541"/>
      <c r="K20" s="2541"/>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1"/>
      <c r="C23" s="2541"/>
      <c r="D23" s="2541"/>
      <c r="E23" s="2541"/>
      <c r="F23" s="2541"/>
      <c r="G23" s="2541"/>
      <c r="H23" s="2541"/>
      <c r="I23" s="2541"/>
      <c r="J23" s="2541"/>
      <c r="K23" s="2541"/>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1"/>
      <c r="C26" s="2541"/>
      <c r="D26" s="2541"/>
      <c r="E26" s="2541"/>
      <c r="F26" s="2541"/>
      <c r="G26" s="2541"/>
      <c r="H26" s="2541"/>
      <c r="I26" s="2541"/>
      <c r="J26" s="2541"/>
      <c r="K26" s="2541"/>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1"/>
      <c r="C29" s="2541"/>
      <c r="D29" s="2541"/>
      <c r="E29" s="2541"/>
      <c r="F29" s="2541"/>
      <c r="G29" s="2541"/>
      <c r="H29" s="2541"/>
      <c r="I29" s="2541"/>
      <c r="J29" s="2541"/>
      <c r="K29" s="2541"/>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1"/>
      <c r="C32" s="2541"/>
      <c r="D32" s="2541"/>
      <c r="E32" s="2541"/>
      <c r="F32" s="2541"/>
      <c r="G32" s="2541"/>
      <c r="H32" s="2541"/>
      <c r="I32" s="2541"/>
      <c r="J32" s="2541"/>
      <c r="K32" s="2541"/>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1"/>
      <c r="C35" s="2541"/>
      <c r="D35" s="2541"/>
      <c r="E35" s="2541"/>
      <c r="F35" s="2541"/>
      <c r="G35" s="2541"/>
      <c r="H35" s="2541"/>
      <c r="I35" s="2541"/>
      <c r="J35" s="2541"/>
      <c r="K35" s="2541"/>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1"/>
      <c r="C38" s="2541"/>
      <c r="D38" s="2541"/>
      <c r="E38" s="2541"/>
      <c r="F38" s="2541"/>
      <c r="G38" s="2541"/>
      <c r="H38" s="2541"/>
      <c r="I38" s="2541"/>
      <c r="J38" s="2541"/>
      <c r="K38" s="2541"/>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1"/>
      <c r="C41" s="2541"/>
      <c r="D41" s="2541"/>
      <c r="E41" s="2541"/>
      <c r="F41" s="2541"/>
      <c r="G41" s="2541"/>
      <c r="H41" s="2541"/>
      <c r="I41" s="2541"/>
      <c r="J41" s="2541"/>
      <c r="K41" s="2541"/>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C49" sqref="C49"/>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6" t="str">
        <f>'Single Audit Cover'!A7</f>
        <v>Breese SD 12</v>
      </c>
      <c r="C1" s="2526"/>
      <c r="D1" s="2526"/>
      <c r="E1" s="1285"/>
    </row>
    <row r="2" spans="2:5" s="1103" customFormat="1" ht="12.75" customHeight="1" x14ac:dyDescent="0.2">
      <c r="B2" s="2528">
        <f>'Single Audit Cover'!E7</f>
        <v>13014012004</v>
      </c>
      <c r="C2" s="2528"/>
      <c r="D2" s="2528"/>
      <c r="E2" s="1286"/>
    </row>
    <row r="3" spans="2:5" ht="12.75" customHeight="1" x14ac:dyDescent="0.2">
      <c r="B3" s="2542" t="s">
        <v>1746</v>
      </c>
      <c r="C3" s="2542"/>
      <c r="D3" s="2542"/>
      <c r="E3" s="1095"/>
    </row>
    <row r="4" spans="2:5" s="1103" customFormat="1" ht="12.75" customHeight="1" x14ac:dyDescent="0.2">
      <c r="B4" s="2552" t="str">
        <f>'Single Audit Cover'!A4</f>
        <v>Year Ending June 30, 2020</v>
      </c>
      <c r="C4" s="2552"/>
      <c r="D4" s="2552"/>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t="s">
        <v>2065</v>
      </c>
      <c r="C8" s="302" t="s">
        <v>2067</v>
      </c>
      <c r="D8" s="302" t="s">
        <v>2066</v>
      </c>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Footer>&amp;LSee notes to financial statements.&amp;C77</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d21dc803-237d-4c68-8692-8d731fd29118"/>
    <ds:schemaRef ds:uri="http://www.w3.org/XML/1998/namespace"/>
    <ds:schemaRef ds:uri="http://purl.org/dc/terms/"/>
    <ds:schemaRef ds:uri="http://schemas.microsoft.com/office/2006/metadata/properties"/>
    <ds:schemaRef ds:uri="http://schemas.microsoft.com/office/infopath/2007/PartnerControls"/>
    <ds:schemaRef ds:uri="http://purl.org/dc/dcmitype/"/>
    <ds:schemaRef ds:uri="http://schemas.openxmlformats.org/package/2006/metadata/core-properties"/>
    <ds:schemaRef ds:uri="4d435f69-8686-490b-bd6d-b153bf22ab50"/>
    <ds:schemaRef ds:uri="6ce3111e-7420-4802-b50a-75d4e9a0b980"/>
    <ds:schemaRef ds:uri="http://schemas.microsoft.com/sharepoint/v3"/>
    <ds:schemaRef ds:uri="http://purl.org/dc/elements/1.1/"/>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2020-09-15T15:07:32Z</cp:lastPrinted>
  <dcterms:created xsi:type="dcterms:W3CDTF">2003-10-29T19:06:34Z</dcterms:created>
  <dcterms:modified xsi:type="dcterms:W3CDTF">2020-11-05T13:59:12Z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